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9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0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4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5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6.xml" ContentType="application/vnd.openxmlformats-officedocument.drawingml.chartshap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29.xml" ContentType="application/vnd.openxmlformats-officedocument.drawingml.chartshapes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ml.chartshapes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31.xml" ContentType="application/vnd.openxmlformats-officedocument.drawingml.chartshapes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34.xml" ContentType="application/vnd.openxmlformats-officedocument.drawingml.chartshapes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35.xml" ContentType="application/vnd.openxmlformats-officedocument.drawingml.chartshapes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6.xml" ContentType="application/vnd.openxmlformats-officedocument.drawingml.chartshapes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ml.chartshapes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40.xml" ContentType="application/vnd.openxmlformats-officedocument.drawingml.chartshapes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41.xml" ContentType="application/vnd.openxmlformats-officedocument.drawingml.chartshapes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44.xml" ContentType="application/vnd.openxmlformats-officedocument.drawingml.chartshapes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5.xml" ContentType="application/vnd.openxmlformats-officedocument.drawingml.chartshapes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46.xml" ContentType="application/vnd.openxmlformats-officedocument.drawingml.chartshapes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49.xml" ContentType="application/vnd.openxmlformats-officedocument.drawingml.chartshapes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50.xml" ContentType="application/vnd.openxmlformats-officedocument.drawingml.chartshapes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51.xml" ContentType="application/vnd.openxmlformats-officedocument.drawingml.chartshapes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4.xml" ContentType="application/vnd.openxmlformats-officedocument.drawingml.chartshapes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drawings/drawing55.xml" ContentType="application/vnd.openxmlformats-officedocument.drawingml.chartshapes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drawings/drawing56.xml" ContentType="application/vnd.openxmlformats-officedocument.drawingml.chartshapes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7.xml" ContentType="application/vnd.openxmlformats-officedocument.drawingml.chartshapes+xml"/>
  <Override PartName="/xl/drawings/drawing58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drawings/drawing59.xml" ContentType="application/vnd.openxmlformats-officedocument.drawingml.chartshapes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60.xml" ContentType="application/vnd.openxmlformats-officedocument.drawingml.chartshapes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drawings/drawing61.xml" ContentType="application/vnd.openxmlformats-officedocument.drawingml.chartshapes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drawings/drawing64.xml" ContentType="application/vnd.openxmlformats-officedocument.drawingml.chartshapes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drawings/drawing65.xml" ContentType="application/vnd.openxmlformats-officedocument.drawingml.chartshapes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6.xml" ContentType="application/vnd.openxmlformats-officedocument.drawingml.chartshapes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drawings/drawing6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db\"/>
    </mc:Choice>
  </mc:AlternateContent>
  <xr:revisionPtr revIDLastSave="0" documentId="13_ncr:1_{CD146670-AAF3-4945-9B8D-2D3383DB1479}" xr6:coauthVersionLast="47" xr6:coauthVersionMax="47" xr10:uidLastSave="{00000000-0000-0000-0000-000000000000}"/>
  <bookViews>
    <workbookView xWindow="-120" yWindow="-120" windowWidth="29040" windowHeight="17640" tabRatio="682" activeTab="3" xr2:uid="{2994D50D-FBF3-478C-BAF1-5A6945798C74}"/>
  </bookViews>
  <sheets>
    <sheet name="db_ESP_curves" sheetId="1" r:id="rId1"/>
    <sheet name="db_ESP_params" sheetId="3" r:id="rId2"/>
    <sheet name="series" sheetId="18" r:id="rId3"/>
    <sheet name="process" sheetId="2" r:id="rId4"/>
    <sheet name="tnav 254" sheetId="4" r:id="rId5"/>
    <sheet name="1" sheetId="5" r:id="rId6"/>
    <sheet name="68" sheetId="6" r:id="rId7"/>
    <sheet name="80" sheetId="7" r:id="rId8"/>
    <sheet name="84" sheetId="8" r:id="rId9"/>
    <sheet name="86" sheetId="9" r:id="rId10"/>
    <sheet name="89" sheetId="17" r:id="rId11"/>
    <sheet name="88" sheetId="10" r:id="rId12"/>
    <sheet name="158" sheetId="11" r:id="rId13"/>
    <sheet name="161" sheetId="12" r:id="rId14"/>
    <sheet name="166" sheetId="13" r:id="rId15"/>
    <sheet name="168" sheetId="14" r:id="rId16"/>
    <sheet name="191" sheetId="15" r:id="rId17"/>
    <sheet name="193" sheetId="16" r:id="rId18"/>
  </sheets>
  <functionGroups builtInGroupCount="19"/>
  <externalReferences>
    <externalReference r:id="rId19"/>
  </externalReferences>
  <definedNames>
    <definedName name="_xlnm._FilterDatabase" localSheetId="0" hidden="1">db_ESP_curves!$A$5:$E$648</definedName>
    <definedName name="_xlnm._FilterDatabase" localSheetId="4" hidden="1">'tnav 254'!$A$1:$WVS$263</definedName>
    <definedName name="curve_filter_criteria">process!$A$4:$E$5</definedName>
    <definedName name="db_ESP_curve_topleft">db_ESP_curves!$A$5</definedName>
    <definedName name="db_ESP_params_topleft">db_ESP_params!$A$5</definedName>
    <definedName name="f_50_hz" localSheetId="12">'158'!$P$39</definedName>
    <definedName name="f_50_hz" localSheetId="13">'161'!$P$39</definedName>
    <definedName name="f_50_hz" localSheetId="14">'166'!$P$39</definedName>
    <definedName name="f_50_hz" localSheetId="15">'168'!$P$39</definedName>
    <definedName name="f_50_hz" localSheetId="16">'191'!$P$39</definedName>
    <definedName name="f_50_hz" localSheetId="17">'193'!$P$39</definedName>
    <definedName name="f_50_hz" localSheetId="6">'68'!$P$39</definedName>
    <definedName name="f_50_hz" localSheetId="7">'80'!$P$39</definedName>
    <definedName name="f_50_hz" localSheetId="8">'84'!$P$39</definedName>
    <definedName name="f_50_hz" localSheetId="9">'86'!$P$39</definedName>
    <definedName name="f_50_hz" localSheetId="11">'88'!$P$39</definedName>
    <definedName name="f_50_hz" localSheetId="10">'89'!$P$39</definedName>
    <definedName name="f_50_hz">'1'!$P$39</definedName>
    <definedName name="f_nom" localSheetId="12">'158'!$O$1</definedName>
    <definedName name="f_nom" localSheetId="13">'161'!$O$1</definedName>
    <definedName name="f_nom" localSheetId="14">'166'!$O$1</definedName>
    <definedName name="f_nom" localSheetId="15">'168'!$O$1</definedName>
    <definedName name="f_nom" localSheetId="16">'191'!$O$1</definedName>
    <definedName name="f_nom" localSheetId="17">'193'!$O$1</definedName>
    <definedName name="f_nom" localSheetId="6">'68'!$O$1</definedName>
    <definedName name="f_nom" localSheetId="7">'80'!$O$1</definedName>
    <definedName name="f_nom" localSheetId="8">'84'!$O$1</definedName>
    <definedName name="f_nom" localSheetId="9">'86'!$O$1</definedName>
    <definedName name="f_nom" localSheetId="11">'88'!$O$1</definedName>
    <definedName name="f_nom" localSheetId="10">'89'!$O$1</definedName>
    <definedName name="f_nom">'1'!$O$1</definedName>
    <definedName name="ID_">process!$A$5</definedName>
    <definedName name="num" localSheetId="12">'158'!$E$1</definedName>
    <definedName name="num" localSheetId="13">'161'!$E$1</definedName>
    <definedName name="num" localSheetId="14">'166'!$E$1</definedName>
    <definedName name="num" localSheetId="15">'168'!$E$1</definedName>
    <definedName name="num" localSheetId="16">'191'!$E$1</definedName>
    <definedName name="num" localSheetId="17">'193'!$E$1</definedName>
    <definedName name="num" localSheetId="6">'68'!$E$1</definedName>
    <definedName name="num" localSheetId="7">'80'!$E$1</definedName>
    <definedName name="num" localSheetId="8">'84'!$E$1</definedName>
    <definedName name="num" localSheetId="9">'86'!$E$1</definedName>
    <definedName name="num" localSheetId="11">'88'!$E$1</definedName>
    <definedName name="num" localSheetId="10">'89'!$E$1</definedName>
    <definedName name="num">'1'!$E$1</definedName>
    <definedName name="num_col_">db_ESP_params!$F$1</definedName>
    <definedName name="one_curve_topleft">process!$A$9</definedName>
    <definedName name="q_nom" localSheetId="12">'158'!$H$1</definedName>
    <definedName name="q_nom" localSheetId="13">'161'!$H$1</definedName>
    <definedName name="q_nom" localSheetId="14">'166'!$H$1</definedName>
    <definedName name="q_nom" localSheetId="15">'168'!$H$1</definedName>
    <definedName name="q_nom" localSheetId="16">'191'!$H$1</definedName>
    <definedName name="q_nom" localSheetId="17">'193'!$H$1</definedName>
    <definedName name="q_nom" localSheetId="6">'68'!$H$1</definedName>
    <definedName name="q_nom" localSheetId="7">'80'!$H$1</definedName>
    <definedName name="q_nom" localSheetId="8">'84'!$H$1</definedName>
    <definedName name="q_nom" localSheetId="9">'86'!$H$1</definedName>
    <definedName name="q_nom" localSheetId="11">'88'!$H$1</definedName>
    <definedName name="q_nom" localSheetId="10">'89'!$H$1</definedName>
    <definedName name="q_nom">'1'!$H$1</definedName>
    <definedName name="report">process!$I$4</definedName>
    <definedName name="_xlnm.Extract" localSheetId="3">process!$A$9:$E$9</definedName>
    <definedName name="К.П.Д.0" localSheetId="12">'158'!$B$27</definedName>
    <definedName name="К.П.Д.0" localSheetId="13">'161'!$B$27</definedName>
    <definedName name="К.П.Д.0" localSheetId="14">'166'!$B$27</definedName>
    <definedName name="К.П.Д.0" localSheetId="15">'168'!$B$27</definedName>
    <definedName name="К.П.Д.0" localSheetId="16">'191'!$B$27</definedName>
    <definedName name="К.П.Д.0" localSheetId="17">'193'!$B$27</definedName>
    <definedName name="К.П.Д.0" localSheetId="6">'68'!$B$27</definedName>
    <definedName name="К.П.Д.0" localSheetId="7">'80'!$B$27</definedName>
    <definedName name="К.П.Д.0" localSheetId="8">'84'!$B$27</definedName>
    <definedName name="К.П.Д.0" localSheetId="9">'86'!$B$27</definedName>
    <definedName name="К.П.Д.0" localSheetId="11">'88'!$B$27</definedName>
    <definedName name="К.П.Д.0" localSheetId="10">'89'!$B$27</definedName>
    <definedName name="К.П.Д.0">'1'!$B$27</definedName>
    <definedName name="К.П.Д.1" localSheetId="12">'158'!$B$28</definedName>
    <definedName name="К.П.Д.1" localSheetId="13">'161'!$B$28</definedName>
    <definedName name="К.П.Д.1" localSheetId="14">'166'!$B$28</definedName>
    <definedName name="К.П.Д.1" localSheetId="15">'168'!$B$28</definedName>
    <definedName name="К.П.Д.1" localSheetId="16">'191'!$B$28</definedName>
    <definedName name="К.П.Д.1" localSheetId="17">'193'!$B$28</definedName>
    <definedName name="К.П.Д.1" localSheetId="6">'68'!$B$28</definedName>
    <definedName name="К.П.Д.1" localSheetId="7">'80'!$B$28</definedName>
    <definedName name="К.П.Д.1" localSheetId="8">'84'!$B$28</definedName>
    <definedName name="К.П.Д.1" localSheetId="9">'86'!$B$28</definedName>
    <definedName name="К.П.Д.1" localSheetId="11">'88'!$B$28</definedName>
    <definedName name="К.П.Д.1" localSheetId="10">'89'!$B$28</definedName>
    <definedName name="К.П.Д.1">'1'!$B$28</definedName>
    <definedName name="К.П.Д.10" localSheetId="12">'158'!$B$37</definedName>
    <definedName name="К.П.Д.10" localSheetId="13">'161'!$B$37</definedName>
    <definedName name="К.П.Д.10" localSheetId="14">'166'!$B$37</definedName>
    <definedName name="К.П.Д.10" localSheetId="15">'168'!$B$37</definedName>
    <definedName name="К.П.Д.10" localSheetId="16">'191'!$B$37</definedName>
    <definedName name="К.П.Д.10" localSheetId="17">'193'!$B$37</definedName>
    <definedName name="К.П.Д.10" localSheetId="6">'68'!$B$37</definedName>
    <definedName name="К.П.Д.10" localSheetId="7">'80'!$B$37</definedName>
    <definedName name="К.П.Д.10" localSheetId="8">'84'!$B$37</definedName>
    <definedName name="К.П.Д.10" localSheetId="9">'86'!$B$37</definedName>
    <definedName name="К.П.Д.10" localSheetId="11">'88'!$B$37</definedName>
    <definedName name="К.П.Д.10" localSheetId="10">'89'!$B$37</definedName>
    <definedName name="К.П.Д.10">'1'!$B$37</definedName>
    <definedName name="К.П.Д.2" localSheetId="12">'158'!$B$29</definedName>
    <definedName name="К.П.Д.2" localSheetId="13">'161'!$B$29</definedName>
    <definedName name="К.П.Д.2" localSheetId="14">'166'!$B$29</definedName>
    <definedName name="К.П.Д.2" localSheetId="15">'168'!$B$29</definedName>
    <definedName name="К.П.Д.2" localSheetId="16">'191'!$B$29</definedName>
    <definedName name="К.П.Д.2" localSheetId="17">'193'!$B$29</definedName>
    <definedName name="К.П.Д.2" localSheetId="6">'68'!$B$29</definedName>
    <definedName name="К.П.Д.2" localSheetId="7">'80'!$B$29</definedName>
    <definedName name="К.П.Д.2" localSheetId="8">'84'!$B$29</definedName>
    <definedName name="К.П.Д.2" localSheetId="9">'86'!$B$29</definedName>
    <definedName name="К.П.Д.2" localSheetId="11">'88'!$B$29</definedName>
    <definedName name="К.П.Д.2" localSheetId="10">'89'!$B$29</definedName>
    <definedName name="К.П.Д.2">'1'!$B$29</definedName>
    <definedName name="К.П.Д.3" localSheetId="12">'158'!$B$30</definedName>
    <definedName name="К.П.Д.3" localSheetId="13">'161'!$B$30</definedName>
    <definedName name="К.П.Д.3" localSheetId="14">'166'!$B$30</definedName>
    <definedName name="К.П.Д.3" localSheetId="15">'168'!$B$30</definedName>
    <definedName name="К.П.Д.3" localSheetId="16">'191'!$B$30</definedName>
    <definedName name="К.П.Д.3" localSheetId="17">'193'!$B$30</definedName>
    <definedName name="К.П.Д.3" localSheetId="6">'68'!$B$30</definedName>
    <definedName name="К.П.Д.3" localSheetId="7">'80'!$B$30</definedName>
    <definedName name="К.П.Д.3" localSheetId="8">'84'!$B$30</definedName>
    <definedName name="К.П.Д.3" localSheetId="9">'86'!$B$30</definedName>
    <definedName name="К.П.Д.3" localSheetId="11">'88'!$B$30</definedName>
    <definedName name="К.П.Д.3" localSheetId="10">'89'!$B$30</definedName>
    <definedName name="К.П.Д.3">'1'!$B$30</definedName>
    <definedName name="К.П.Д.4" localSheetId="12">'158'!$B$31</definedName>
    <definedName name="К.П.Д.4" localSheetId="13">'161'!$B$31</definedName>
    <definedName name="К.П.Д.4" localSheetId="14">'166'!$B$31</definedName>
    <definedName name="К.П.Д.4" localSheetId="15">'168'!$B$31</definedName>
    <definedName name="К.П.Д.4" localSheetId="16">'191'!$B$31</definedName>
    <definedName name="К.П.Д.4" localSheetId="17">'193'!$B$31</definedName>
    <definedName name="К.П.Д.4" localSheetId="6">'68'!$B$31</definedName>
    <definedName name="К.П.Д.4" localSheetId="7">'80'!$B$31</definedName>
    <definedName name="К.П.Д.4" localSheetId="8">'84'!$B$31</definedName>
    <definedName name="К.П.Д.4" localSheetId="9">'86'!$B$31</definedName>
    <definedName name="К.П.Д.4" localSheetId="11">'88'!$B$31</definedName>
    <definedName name="К.П.Д.4" localSheetId="10">'89'!$B$31</definedName>
    <definedName name="К.П.Д.4">'1'!$B$31</definedName>
    <definedName name="К.П.Д.5" localSheetId="12">'158'!$B$32</definedName>
    <definedName name="К.П.Д.5" localSheetId="13">'161'!$B$32</definedName>
    <definedName name="К.П.Д.5" localSheetId="14">'166'!$B$32</definedName>
    <definedName name="К.П.Д.5" localSheetId="15">'168'!$B$32</definedName>
    <definedName name="К.П.Д.5" localSheetId="16">'191'!$B$32</definedName>
    <definedName name="К.П.Д.5" localSheetId="17">'193'!$B$32</definedName>
    <definedName name="К.П.Д.5" localSheetId="6">'68'!$B$32</definedName>
    <definedName name="К.П.Д.5" localSheetId="7">'80'!$B$32</definedName>
    <definedName name="К.П.Д.5" localSheetId="8">'84'!$B$32</definedName>
    <definedName name="К.П.Д.5" localSheetId="9">'86'!$B$32</definedName>
    <definedName name="К.П.Д.5" localSheetId="11">'88'!$B$32</definedName>
    <definedName name="К.П.Д.5" localSheetId="10">'89'!$B$32</definedName>
    <definedName name="К.П.Д.5">'1'!$B$32</definedName>
    <definedName name="К.П.Д.6" localSheetId="12">'158'!$B$33</definedName>
    <definedName name="К.П.Д.6" localSheetId="13">'161'!$B$33</definedName>
    <definedName name="К.П.Д.6" localSheetId="14">'166'!$B$33</definedName>
    <definedName name="К.П.Д.6" localSheetId="15">'168'!$B$33</definedName>
    <definedName name="К.П.Д.6" localSheetId="16">'191'!$B$33</definedName>
    <definedName name="К.П.Д.6" localSheetId="17">'193'!$B$33</definedName>
    <definedName name="К.П.Д.6" localSheetId="6">'68'!$B$33</definedName>
    <definedName name="К.П.Д.6" localSheetId="7">'80'!$B$33</definedName>
    <definedName name="К.П.Д.6" localSheetId="8">'84'!$B$33</definedName>
    <definedName name="К.П.Д.6" localSheetId="9">'86'!$B$33</definedName>
    <definedName name="К.П.Д.6" localSheetId="11">'88'!$B$33</definedName>
    <definedName name="К.П.Д.6" localSheetId="10">'89'!$B$33</definedName>
    <definedName name="К.П.Д.6">'1'!$B$33</definedName>
    <definedName name="К.П.Д.7" localSheetId="12">'158'!$B$34</definedName>
    <definedName name="К.П.Д.7" localSheetId="13">'161'!$B$34</definedName>
    <definedName name="К.П.Д.7" localSheetId="14">'166'!$B$34</definedName>
    <definedName name="К.П.Д.7" localSheetId="15">'168'!$B$34</definedName>
    <definedName name="К.П.Д.7" localSheetId="16">'191'!$B$34</definedName>
    <definedName name="К.П.Д.7" localSheetId="17">'193'!$B$34</definedName>
    <definedName name="К.П.Д.7" localSheetId="6">'68'!$B$34</definedName>
    <definedName name="К.П.Д.7" localSheetId="7">'80'!$B$34</definedName>
    <definedName name="К.П.Д.7" localSheetId="8">'84'!$B$34</definedName>
    <definedName name="К.П.Д.7" localSheetId="9">'86'!$B$34</definedName>
    <definedName name="К.П.Д.7" localSheetId="11">'88'!$B$34</definedName>
    <definedName name="К.П.Д.7" localSheetId="10">'89'!$B$34</definedName>
    <definedName name="К.П.Д.7">'1'!$B$34</definedName>
    <definedName name="К.П.Д.8" localSheetId="12">'158'!$B$35</definedName>
    <definedName name="К.П.Д.8" localSheetId="13">'161'!$B$35</definedName>
    <definedName name="К.П.Д.8" localSheetId="14">'166'!$B$35</definedName>
    <definedName name="К.П.Д.8" localSheetId="15">'168'!$B$35</definedName>
    <definedName name="К.П.Д.8" localSheetId="16">'191'!$B$35</definedName>
    <definedName name="К.П.Д.8" localSheetId="17">'193'!$B$35</definedName>
    <definedName name="К.П.Д.8" localSheetId="6">'68'!$B$35</definedName>
    <definedName name="К.П.Д.8" localSheetId="7">'80'!$B$35</definedName>
    <definedName name="К.П.Д.8" localSheetId="8">'84'!$B$35</definedName>
    <definedName name="К.П.Д.8" localSheetId="9">'86'!$B$35</definedName>
    <definedName name="К.П.Д.8" localSheetId="11">'88'!$B$35</definedName>
    <definedName name="К.П.Д.8" localSheetId="10">'89'!$B$35</definedName>
    <definedName name="К.П.Д.8">'1'!$B$35</definedName>
    <definedName name="К.П.Д.9" localSheetId="12">'158'!$B$36</definedName>
    <definedName name="К.П.Д.9" localSheetId="13">'161'!$B$36</definedName>
    <definedName name="К.П.Д.9" localSheetId="14">'166'!$B$36</definedName>
    <definedName name="К.П.Д.9" localSheetId="15">'168'!$B$36</definedName>
    <definedName name="К.П.Д.9" localSheetId="16">'191'!$B$36</definedName>
    <definedName name="К.П.Д.9" localSheetId="17">'193'!$B$36</definedName>
    <definedName name="К.П.Д.9" localSheetId="6">'68'!$B$36</definedName>
    <definedName name="К.П.Д.9" localSheetId="7">'80'!$B$36</definedName>
    <definedName name="К.П.Д.9" localSheetId="8">'84'!$B$36</definedName>
    <definedName name="К.П.Д.9" localSheetId="9">'86'!$B$36</definedName>
    <definedName name="К.П.Д.9" localSheetId="11">'88'!$B$36</definedName>
    <definedName name="К.П.Д.9" localSheetId="10">'89'!$B$36</definedName>
    <definedName name="К.П.Д.9">'1'!$B$36</definedName>
    <definedName name="КПД" localSheetId="12">'158'!$D$42:$D$91</definedName>
    <definedName name="КПД" localSheetId="13">'161'!$D$42:$D$91</definedName>
    <definedName name="КПД" localSheetId="14">'166'!$D$42:$D$91</definedName>
    <definedName name="КПД" localSheetId="15">'168'!$D$42:$D$91</definedName>
    <definedName name="КПД" localSheetId="16">'191'!$D$42:$D$91</definedName>
    <definedName name="КПД" localSheetId="17">'193'!$D$42:$D$91</definedName>
    <definedName name="КПД" localSheetId="6">'68'!$D$42:$D$91</definedName>
    <definedName name="КПД" localSheetId="7">'80'!$D$42:$D$91</definedName>
    <definedName name="КПД" localSheetId="8">'84'!$D$42:$D$91</definedName>
    <definedName name="КПД" localSheetId="9">'86'!$D$42:$D$91</definedName>
    <definedName name="КПД" localSheetId="11">'88'!$D$42:$D$91</definedName>
    <definedName name="КПД" localSheetId="10">'89'!$D$42:$D$91</definedName>
    <definedName name="КПД">'1'!$D$42:$D$91</definedName>
    <definedName name="_xlnm.Criteria" localSheetId="3">process!$A$4:$E$5</definedName>
    <definedName name="макс_дебит_коррект" localSheetId="13">'161'!$Z$9</definedName>
    <definedName name="макс_дебит_коррект" localSheetId="14">'166'!$Z$9</definedName>
    <definedName name="макс_дебит_коррект" localSheetId="15">'168'!$Z$9</definedName>
    <definedName name="макс_дебит_коррект" localSheetId="16">'191'!$Z$9</definedName>
    <definedName name="макс_дебит_коррект" localSheetId="17">'193'!$Z$9</definedName>
    <definedName name="макс_дебит_коррект">'158'!$Z$9</definedName>
    <definedName name="Мощность_кВт" localSheetId="12">'158'!$E$42:$E$91</definedName>
    <definedName name="Мощность_кВт" localSheetId="13">'161'!$E$42:$E$91</definedName>
    <definedName name="Мощность_кВт" localSheetId="14">'166'!$E$42:$E$91</definedName>
    <definedName name="Мощность_кВт" localSheetId="15">'168'!$E$42:$E$91</definedName>
    <definedName name="Мощность_кВт" localSheetId="16">'191'!$E$42:$E$91</definedName>
    <definedName name="Мощность_кВт" localSheetId="17">'193'!$E$42:$E$91</definedName>
    <definedName name="Мощность_кВт" localSheetId="6">'68'!$E$42:$E$91</definedName>
    <definedName name="Мощность_кВт" localSheetId="7">'80'!$E$42:$E$91</definedName>
    <definedName name="Мощность_кВт" localSheetId="8">'84'!$E$42:$E$91</definedName>
    <definedName name="Мощность_кВт" localSheetId="9">'86'!$E$42:$E$91</definedName>
    <definedName name="Мощность_кВт" localSheetId="11">'88'!$E$42:$E$91</definedName>
    <definedName name="Мощность_кВт" localSheetId="10">'89'!$E$42:$E$91</definedName>
    <definedName name="Мощность_кВт">'1'!$E$42:$E$91</definedName>
    <definedName name="Мощность0" localSheetId="12">'158'!$B$16</definedName>
    <definedName name="Мощность0" localSheetId="13">'161'!$B$16</definedName>
    <definedName name="Мощность0" localSheetId="14">'166'!$B$16</definedName>
    <definedName name="Мощность0" localSheetId="15">'168'!$B$16</definedName>
    <definedName name="Мощность0" localSheetId="16">'191'!$B$16</definedName>
    <definedName name="Мощность0" localSheetId="17">'193'!$B$16</definedName>
    <definedName name="Мощность0" localSheetId="6">'68'!$B$16</definedName>
    <definedName name="Мощность0" localSheetId="7">'80'!$B$16</definedName>
    <definedName name="Мощность0" localSheetId="8">'84'!$B$16</definedName>
    <definedName name="Мощность0" localSheetId="9">'86'!$B$16</definedName>
    <definedName name="Мощность0" localSheetId="11">'88'!$B$16</definedName>
    <definedName name="Мощность0" localSheetId="10">'89'!$B$16</definedName>
    <definedName name="Мощность0">'1'!$B$16</definedName>
    <definedName name="Мощность1" localSheetId="12">'158'!$B$17</definedName>
    <definedName name="Мощность1" localSheetId="13">'161'!$B$17</definedName>
    <definedName name="Мощность1" localSheetId="14">'166'!$B$17</definedName>
    <definedName name="Мощность1" localSheetId="15">'168'!$B$17</definedName>
    <definedName name="Мощность1" localSheetId="16">'191'!$B$17</definedName>
    <definedName name="Мощность1" localSheetId="17">'193'!$B$17</definedName>
    <definedName name="Мощность1" localSheetId="6">'68'!$B$17</definedName>
    <definedName name="Мощность1" localSheetId="7">'80'!$B$17</definedName>
    <definedName name="Мощность1" localSheetId="8">'84'!$B$17</definedName>
    <definedName name="Мощность1" localSheetId="9">'86'!$B$17</definedName>
    <definedName name="Мощность1" localSheetId="11">'88'!$B$17</definedName>
    <definedName name="Мощность1" localSheetId="10">'89'!$B$17</definedName>
    <definedName name="Мощность1">'1'!$B$17</definedName>
    <definedName name="Мощность10" localSheetId="12">'158'!$B$26</definedName>
    <definedName name="Мощность10" localSheetId="13">'161'!$B$26</definedName>
    <definedName name="Мощность10" localSheetId="14">'166'!$B$26</definedName>
    <definedName name="Мощность10" localSheetId="15">'168'!$B$26</definedName>
    <definedName name="Мощность10" localSheetId="16">'191'!$B$26</definedName>
    <definedName name="Мощность10" localSheetId="17">'193'!$B$26</definedName>
    <definedName name="Мощность10" localSheetId="6">'68'!$B$26</definedName>
    <definedName name="Мощность10" localSheetId="7">'80'!$B$26</definedName>
    <definedName name="Мощность10" localSheetId="8">'84'!$B$26</definedName>
    <definedName name="Мощность10" localSheetId="9">'86'!$B$26</definedName>
    <definedName name="Мощность10" localSheetId="11">'88'!$B$26</definedName>
    <definedName name="Мощность10" localSheetId="10">'89'!$B$26</definedName>
    <definedName name="Мощность10">'1'!$B$26</definedName>
    <definedName name="Мощность2" localSheetId="12">'158'!$B$18</definedName>
    <definedName name="Мощность2" localSheetId="13">'161'!$B$18</definedName>
    <definedName name="Мощность2" localSheetId="14">'166'!$B$18</definedName>
    <definedName name="Мощность2" localSheetId="15">'168'!$B$18</definedName>
    <definedName name="Мощность2" localSheetId="16">'191'!$B$18</definedName>
    <definedName name="Мощность2" localSheetId="17">'193'!$B$18</definedName>
    <definedName name="Мощность2" localSheetId="6">'68'!$B$18</definedName>
    <definedName name="Мощность2" localSheetId="7">'80'!$B$18</definedName>
    <definedName name="Мощность2" localSheetId="8">'84'!$B$18</definedName>
    <definedName name="Мощность2" localSheetId="9">'86'!$B$18</definedName>
    <definedName name="Мощность2" localSheetId="11">'88'!$B$18</definedName>
    <definedName name="Мощность2" localSheetId="10">'89'!$B$18</definedName>
    <definedName name="Мощность2">'1'!$B$18</definedName>
    <definedName name="Мощность3" localSheetId="12">'158'!$B$19</definedName>
    <definedName name="Мощность3" localSheetId="13">'161'!$B$19</definedName>
    <definedName name="Мощность3" localSheetId="14">'166'!$B$19</definedName>
    <definedName name="Мощность3" localSheetId="15">'168'!$B$19</definedName>
    <definedName name="Мощность3" localSheetId="16">'191'!$B$19</definedName>
    <definedName name="Мощность3" localSheetId="17">'193'!$B$19</definedName>
    <definedName name="Мощность3" localSheetId="6">'68'!$B$19</definedName>
    <definedName name="Мощность3" localSheetId="7">'80'!$B$19</definedName>
    <definedName name="Мощность3" localSheetId="8">'84'!$B$19</definedName>
    <definedName name="Мощность3" localSheetId="9">'86'!$B$19</definedName>
    <definedName name="Мощность3" localSheetId="11">'88'!$B$19</definedName>
    <definedName name="Мощность3" localSheetId="10">'89'!$B$19</definedName>
    <definedName name="Мощность3">'1'!$B$19</definedName>
    <definedName name="Мощность4" localSheetId="12">'158'!$B$20</definedName>
    <definedName name="Мощность4" localSheetId="13">'161'!$B$20</definedName>
    <definedName name="Мощность4" localSheetId="14">'166'!$B$20</definedName>
    <definedName name="Мощность4" localSheetId="15">'168'!$B$20</definedName>
    <definedName name="Мощность4" localSheetId="16">'191'!$B$20</definedName>
    <definedName name="Мощность4" localSheetId="17">'193'!$B$20</definedName>
    <definedName name="Мощность4" localSheetId="6">'68'!$B$20</definedName>
    <definedName name="Мощность4" localSheetId="7">'80'!$B$20</definedName>
    <definedName name="Мощность4" localSheetId="8">'84'!$B$20</definedName>
    <definedName name="Мощность4" localSheetId="9">'86'!$B$20</definedName>
    <definedName name="Мощность4" localSheetId="11">'88'!$B$20</definedName>
    <definedName name="Мощность4" localSheetId="10">'89'!$B$20</definedName>
    <definedName name="Мощность4">'1'!$B$20</definedName>
    <definedName name="Мощность5" localSheetId="12">'158'!$B$21</definedName>
    <definedName name="Мощность5" localSheetId="13">'161'!$B$21</definedName>
    <definedName name="Мощность5" localSheetId="14">'166'!$B$21</definedName>
    <definedName name="Мощность5" localSheetId="15">'168'!$B$21</definedName>
    <definedName name="Мощность5" localSheetId="16">'191'!$B$21</definedName>
    <definedName name="Мощность5" localSheetId="17">'193'!$B$21</definedName>
    <definedName name="Мощность5" localSheetId="6">'68'!$B$21</definedName>
    <definedName name="Мощность5" localSheetId="7">'80'!$B$21</definedName>
    <definedName name="Мощность5" localSheetId="8">'84'!$B$21</definedName>
    <definedName name="Мощность5" localSheetId="9">'86'!$B$21</definedName>
    <definedName name="Мощность5" localSheetId="11">'88'!$B$21</definedName>
    <definedName name="Мощность5" localSheetId="10">'89'!$B$21</definedName>
    <definedName name="Мощность5">'1'!$B$21</definedName>
    <definedName name="Мощность6" localSheetId="12">'158'!$B$22</definedName>
    <definedName name="Мощность6" localSheetId="13">'161'!$B$22</definedName>
    <definedName name="Мощность6" localSheetId="14">'166'!$B$22</definedName>
    <definedName name="Мощность6" localSheetId="15">'168'!$B$22</definedName>
    <definedName name="Мощность6" localSheetId="16">'191'!$B$22</definedName>
    <definedName name="Мощность6" localSheetId="17">'193'!$B$22</definedName>
    <definedName name="Мощность6" localSheetId="6">'68'!$B$22</definedName>
    <definedName name="Мощность6" localSheetId="7">'80'!$B$22</definedName>
    <definedName name="Мощность6" localSheetId="8">'84'!$B$22</definedName>
    <definedName name="Мощность6" localSheetId="9">'86'!$B$22</definedName>
    <definedName name="Мощность6" localSheetId="11">'88'!$B$22</definedName>
    <definedName name="Мощность6" localSheetId="10">'89'!$B$22</definedName>
    <definedName name="Мощность6">'1'!$B$22</definedName>
    <definedName name="Мощность7" localSheetId="12">'158'!$B$23</definedName>
    <definedName name="Мощность7" localSheetId="13">'161'!$B$23</definedName>
    <definedName name="Мощность7" localSheetId="14">'166'!$B$23</definedName>
    <definedName name="Мощность7" localSheetId="15">'168'!$B$23</definedName>
    <definedName name="Мощность7" localSheetId="16">'191'!$B$23</definedName>
    <definedName name="Мощность7" localSheetId="17">'193'!$B$23</definedName>
    <definedName name="Мощность7" localSheetId="6">'68'!$B$23</definedName>
    <definedName name="Мощность7" localSheetId="7">'80'!$B$23</definedName>
    <definedName name="Мощность7" localSheetId="8">'84'!$B$23</definedName>
    <definedName name="Мощность7" localSheetId="9">'86'!$B$23</definedName>
    <definedName name="Мощность7" localSheetId="11">'88'!$B$23</definedName>
    <definedName name="Мощность7" localSheetId="10">'89'!$B$23</definedName>
    <definedName name="Мощность7">'1'!$B$23</definedName>
    <definedName name="Мощность8" localSheetId="12">'158'!$B$24</definedName>
    <definedName name="Мощность8" localSheetId="13">'161'!$B$24</definedName>
    <definedName name="Мощность8" localSheetId="14">'166'!$B$24</definedName>
    <definedName name="Мощность8" localSheetId="15">'168'!$B$24</definedName>
    <definedName name="Мощность8" localSheetId="16">'191'!$B$24</definedName>
    <definedName name="Мощность8" localSheetId="17">'193'!$B$24</definedName>
    <definedName name="Мощность8" localSheetId="6">'68'!$B$24</definedName>
    <definedName name="Мощность8" localSheetId="7">'80'!$B$24</definedName>
    <definedName name="Мощность8" localSheetId="8">'84'!$B$24</definedName>
    <definedName name="Мощность8" localSheetId="9">'86'!$B$24</definedName>
    <definedName name="Мощность8" localSheetId="11">'88'!$B$24</definedName>
    <definedName name="Мощность8" localSheetId="10">'89'!$B$24</definedName>
    <definedName name="Мощность8">'1'!$B$24</definedName>
    <definedName name="Мощность9" localSheetId="12">'158'!$B$25</definedName>
    <definedName name="Мощность9" localSheetId="13">'161'!$B$25</definedName>
    <definedName name="Мощность9" localSheetId="14">'166'!$B$25</definedName>
    <definedName name="Мощность9" localSheetId="15">'168'!$B$25</definedName>
    <definedName name="Мощность9" localSheetId="16">'191'!$B$25</definedName>
    <definedName name="Мощность9" localSheetId="17">'193'!$B$25</definedName>
    <definedName name="Мощность9" localSheetId="6">'68'!$B$25</definedName>
    <definedName name="Мощность9" localSheetId="7">'80'!$B$25</definedName>
    <definedName name="Мощность9" localSheetId="8">'84'!$B$25</definedName>
    <definedName name="Мощность9" localSheetId="9">'86'!$B$25</definedName>
    <definedName name="Мощность9" localSheetId="11">'88'!$B$25</definedName>
    <definedName name="Мощность9" localSheetId="10">'89'!$B$25</definedName>
    <definedName name="Мощность9">'1'!$B$25</definedName>
    <definedName name="Напор_м" localSheetId="12">'158'!$C$42:$C$91</definedName>
    <definedName name="Напор_м" localSheetId="13">'161'!$C$42:$C$91</definedName>
    <definedName name="Напор_м" localSheetId="14">'166'!$C$42:$C$91</definedName>
    <definedName name="Напор_м" localSheetId="15">'168'!$C$42:$C$91</definedName>
    <definedName name="Напор_м" localSheetId="16">'191'!$C$42:$C$91</definedName>
    <definedName name="Напор_м" localSheetId="17">'193'!$C$42:$C$91</definedName>
    <definedName name="Напор_м" localSheetId="6">'68'!$C$42:$C$91</definedName>
    <definedName name="Напор_м" localSheetId="7">'80'!$C$42:$C$91</definedName>
    <definedName name="Напор_м" localSheetId="8">'84'!$C$42:$C$91</definedName>
    <definedName name="Напор_м" localSheetId="9">'86'!$C$42:$C$91</definedName>
    <definedName name="Напор_м" localSheetId="11">'88'!$C$42:$C$91</definedName>
    <definedName name="Напор_м" localSheetId="10">'89'!$C$42:$C$91</definedName>
    <definedName name="Напор_м">'1'!$C$42:$C$91</definedName>
    <definedName name="Напор0" localSheetId="12">'158'!$B$5</definedName>
    <definedName name="Напор0" localSheetId="13">'161'!$B$5</definedName>
    <definedName name="Напор0" localSheetId="14">'166'!$B$5</definedName>
    <definedName name="Напор0" localSheetId="15">'168'!$B$5</definedName>
    <definedName name="Напор0" localSheetId="16">'191'!$B$5</definedName>
    <definedName name="Напор0" localSheetId="17">'193'!$B$5</definedName>
    <definedName name="Напор0" localSheetId="6">'68'!$B$5</definedName>
    <definedName name="Напор0" localSheetId="7">'80'!$B$5</definedName>
    <definedName name="Напор0" localSheetId="8">'84'!$B$5</definedName>
    <definedName name="Напор0" localSheetId="9">'86'!$B$5</definedName>
    <definedName name="Напор0" localSheetId="11">'88'!$B$5</definedName>
    <definedName name="Напор0" localSheetId="10">'89'!$B$5</definedName>
    <definedName name="Напор0">'1'!$B$5</definedName>
    <definedName name="Напор1" localSheetId="12">'158'!$B$6</definedName>
    <definedName name="Напор1" localSheetId="13">'161'!$B$6</definedName>
    <definedName name="Напор1" localSheetId="14">'166'!$B$6</definedName>
    <definedName name="Напор1" localSheetId="15">'168'!$B$6</definedName>
    <definedName name="Напор1" localSheetId="16">'191'!$B$6</definedName>
    <definedName name="Напор1" localSheetId="17">'193'!$B$6</definedName>
    <definedName name="Напор1" localSheetId="6">'68'!$B$6</definedName>
    <definedName name="Напор1" localSheetId="7">'80'!$B$6</definedName>
    <definedName name="Напор1" localSheetId="8">'84'!$B$6</definedName>
    <definedName name="Напор1" localSheetId="9">'86'!$B$6</definedName>
    <definedName name="Напор1" localSheetId="11">'88'!$B$6</definedName>
    <definedName name="Напор1" localSheetId="10">'89'!$B$6</definedName>
    <definedName name="Напор1">'1'!$B$6</definedName>
    <definedName name="Напор10" localSheetId="12">'158'!$B$15</definedName>
    <definedName name="Напор10" localSheetId="13">'161'!$B$15</definedName>
    <definedName name="Напор10" localSheetId="14">'166'!$B$15</definedName>
    <definedName name="Напор10" localSheetId="15">'168'!$B$15</definedName>
    <definedName name="Напор10" localSheetId="16">'191'!$B$15</definedName>
    <definedName name="Напор10" localSheetId="17">'193'!$B$15</definedName>
    <definedName name="Напор10" localSheetId="6">'68'!$B$15</definedName>
    <definedName name="Напор10" localSheetId="7">'80'!$B$15</definedName>
    <definedName name="Напор10" localSheetId="8">'84'!$B$15</definedName>
    <definedName name="Напор10" localSheetId="9">'86'!$B$15</definedName>
    <definedName name="Напор10" localSheetId="11">'88'!$B$15</definedName>
    <definedName name="Напор10" localSheetId="10">'89'!$B$15</definedName>
    <definedName name="Напор10">'1'!$B$15</definedName>
    <definedName name="Напор2" localSheetId="12">'158'!$B$7</definedName>
    <definedName name="Напор2" localSheetId="13">'161'!$B$7</definedName>
    <definedName name="Напор2" localSheetId="14">'166'!$B$7</definedName>
    <definedName name="Напор2" localSheetId="15">'168'!$B$7</definedName>
    <definedName name="Напор2" localSheetId="16">'191'!$B$7</definedName>
    <definedName name="Напор2" localSheetId="17">'193'!$B$7</definedName>
    <definedName name="Напор2" localSheetId="6">'68'!$B$7</definedName>
    <definedName name="Напор2" localSheetId="7">'80'!$B$7</definedName>
    <definedName name="Напор2" localSheetId="8">'84'!$B$7</definedName>
    <definedName name="Напор2" localSheetId="9">'86'!$B$7</definedName>
    <definedName name="Напор2" localSheetId="11">'88'!$B$7</definedName>
    <definedName name="Напор2" localSheetId="10">'89'!$B$7</definedName>
    <definedName name="Напор2">'1'!$B$7</definedName>
    <definedName name="Напор3" localSheetId="12">'158'!$B$8</definedName>
    <definedName name="Напор3" localSheetId="13">'161'!$B$8</definedName>
    <definedName name="Напор3" localSheetId="14">'166'!$B$8</definedName>
    <definedName name="Напор3" localSheetId="15">'168'!$B$8</definedName>
    <definedName name="Напор3" localSheetId="16">'191'!$B$8</definedName>
    <definedName name="Напор3" localSheetId="17">'193'!$B$8</definedName>
    <definedName name="Напор3" localSheetId="6">'68'!$B$8</definedName>
    <definedName name="Напор3" localSheetId="7">'80'!$B$8</definedName>
    <definedName name="Напор3" localSheetId="8">'84'!$B$8</definedName>
    <definedName name="Напор3" localSheetId="9">'86'!$B$8</definedName>
    <definedName name="Напор3" localSheetId="11">'88'!$B$8</definedName>
    <definedName name="Напор3" localSheetId="10">'89'!$B$8</definedName>
    <definedName name="Напор3">'1'!$B$8</definedName>
    <definedName name="Напор4" localSheetId="12">'158'!$B$9</definedName>
    <definedName name="Напор4" localSheetId="13">'161'!$B$9</definedName>
    <definedName name="Напор4" localSheetId="14">'166'!$B$9</definedName>
    <definedName name="Напор4" localSheetId="15">'168'!$B$9</definedName>
    <definedName name="Напор4" localSheetId="16">'191'!$B$9</definedName>
    <definedName name="Напор4" localSheetId="17">'193'!$B$9</definedName>
    <definedName name="Напор4" localSheetId="6">'68'!$B$9</definedName>
    <definedName name="Напор4" localSheetId="7">'80'!$B$9</definedName>
    <definedName name="Напор4" localSheetId="8">'84'!$B$9</definedName>
    <definedName name="Напор4" localSheetId="9">'86'!$B$9</definedName>
    <definedName name="Напор4" localSheetId="11">'88'!$B$9</definedName>
    <definedName name="Напор4" localSheetId="10">'89'!$B$9</definedName>
    <definedName name="Напор4">'1'!$B$9</definedName>
    <definedName name="Напор5" localSheetId="12">'158'!$B$10</definedName>
    <definedName name="Напор5" localSheetId="13">'161'!$B$10</definedName>
    <definedName name="Напор5" localSheetId="14">'166'!$B$10</definedName>
    <definedName name="Напор5" localSheetId="15">'168'!$B$10</definedName>
    <definedName name="Напор5" localSheetId="16">'191'!$B$10</definedName>
    <definedName name="Напор5" localSheetId="17">'193'!$B$10</definedName>
    <definedName name="Напор5" localSheetId="6">'68'!$B$10</definedName>
    <definedName name="Напор5" localSheetId="7">'80'!$B$10</definedName>
    <definedName name="Напор5" localSheetId="8">'84'!$B$10</definedName>
    <definedName name="Напор5" localSheetId="9">'86'!$B$10</definedName>
    <definedName name="Напор5" localSheetId="11">'88'!$B$10</definedName>
    <definedName name="Напор5" localSheetId="10">'89'!$B$10</definedName>
    <definedName name="Напор5">'1'!$B$10</definedName>
    <definedName name="Напор6" localSheetId="12">'158'!$B$11</definedName>
    <definedName name="Напор6" localSheetId="13">'161'!$B$11</definedName>
    <definedName name="Напор6" localSheetId="14">'166'!$B$11</definedName>
    <definedName name="Напор6" localSheetId="15">'168'!$B$11</definedName>
    <definedName name="Напор6" localSheetId="16">'191'!$B$11</definedName>
    <definedName name="Напор6" localSheetId="17">'193'!$B$11</definedName>
    <definedName name="Напор6" localSheetId="6">'68'!$B$11</definedName>
    <definedName name="Напор6" localSheetId="7">'80'!$B$11</definedName>
    <definedName name="Напор6" localSheetId="8">'84'!$B$11</definedName>
    <definedName name="Напор6" localSheetId="9">'86'!$B$11</definedName>
    <definedName name="Напор6" localSheetId="11">'88'!$B$11</definedName>
    <definedName name="Напор6" localSheetId="10">'89'!$B$11</definedName>
    <definedName name="Напор6">'1'!$B$11</definedName>
    <definedName name="Напор7" localSheetId="12">'158'!$B$12</definedName>
    <definedName name="Напор7" localSheetId="13">'161'!$B$12</definedName>
    <definedName name="Напор7" localSheetId="14">'166'!$B$12</definedName>
    <definedName name="Напор7" localSheetId="15">'168'!$B$12</definedName>
    <definedName name="Напор7" localSheetId="16">'191'!$B$12</definedName>
    <definedName name="Напор7" localSheetId="17">'193'!$B$12</definedName>
    <definedName name="Напор7" localSheetId="6">'68'!$B$12</definedName>
    <definedName name="Напор7" localSheetId="7">'80'!$B$12</definedName>
    <definedName name="Напор7" localSheetId="8">'84'!$B$12</definedName>
    <definedName name="Напор7" localSheetId="9">'86'!$B$12</definedName>
    <definedName name="Напор7" localSheetId="11">'88'!$B$12</definedName>
    <definedName name="Напор7" localSheetId="10">'89'!$B$12</definedName>
    <definedName name="Напор7">'1'!$B$12</definedName>
    <definedName name="Напор8" localSheetId="12">'158'!$B$13</definedName>
    <definedName name="Напор8" localSheetId="13">'161'!$B$13</definedName>
    <definedName name="Напор8" localSheetId="14">'166'!$B$13</definedName>
    <definedName name="Напор8" localSheetId="15">'168'!$B$13</definedName>
    <definedName name="Напор8" localSheetId="16">'191'!$B$13</definedName>
    <definedName name="Напор8" localSheetId="17">'193'!$B$13</definedName>
    <definedName name="Напор8" localSheetId="6">'68'!$B$13</definedName>
    <definedName name="Напор8" localSheetId="7">'80'!$B$13</definedName>
    <definedName name="Напор8" localSheetId="8">'84'!$B$13</definedName>
    <definedName name="Напор8" localSheetId="9">'86'!$B$13</definedName>
    <definedName name="Напор8" localSheetId="11">'88'!$B$13</definedName>
    <definedName name="Напор8" localSheetId="10">'89'!$B$13</definedName>
    <definedName name="Напор8">'1'!$B$13</definedName>
    <definedName name="Напор9" localSheetId="12">'158'!$B$14</definedName>
    <definedName name="Напор9" localSheetId="13">'161'!$B$14</definedName>
    <definedName name="Напор9" localSheetId="14">'166'!$B$14</definedName>
    <definedName name="Напор9" localSheetId="15">'168'!$B$14</definedName>
    <definedName name="Напор9" localSheetId="16">'191'!$B$14</definedName>
    <definedName name="Напор9" localSheetId="17">'193'!$B$14</definedName>
    <definedName name="Напор9" localSheetId="6">'68'!$B$14</definedName>
    <definedName name="Напор9" localSheetId="7">'80'!$B$14</definedName>
    <definedName name="Напор9" localSheetId="8">'84'!$B$14</definedName>
    <definedName name="Напор9" localSheetId="9">'86'!$B$14</definedName>
    <definedName name="Напор9" localSheetId="11">'88'!$B$14</definedName>
    <definedName name="Напор9" localSheetId="10">'89'!$B$14</definedName>
    <definedName name="Напор9">'1'!$B$14</definedName>
    <definedName name="Подача_f50_" localSheetId="12">'158'!$P$42:$P$91</definedName>
    <definedName name="Подача_f50_" localSheetId="13">'161'!$P$42:$P$91</definedName>
    <definedName name="Подача_f50_" localSheetId="14">'166'!$P$42:$P$91</definedName>
    <definedName name="Подача_f50_" localSheetId="15">'168'!$P$42:$P$91</definedName>
    <definedName name="Подача_f50_" localSheetId="16">'191'!$P$42:$P$91</definedName>
    <definedName name="Подача_f50_" localSheetId="17">'193'!$P$42:$P$91</definedName>
    <definedName name="Подача_f50_" localSheetId="6">'68'!$P$42:$P$91</definedName>
    <definedName name="Подача_f50_" localSheetId="7">'80'!$P$42:$P$91</definedName>
    <definedName name="Подача_f50_" localSheetId="8">'84'!$P$42:$P$91</definedName>
    <definedName name="Подача_f50_" localSheetId="9">'86'!$P$42:$P$91</definedName>
    <definedName name="Подача_f50_" localSheetId="11">'88'!$P$42:$P$91</definedName>
    <definedName name="Подача_f50_" localSheetId="10">'89'!$P$42:$P$91</definedName>
    <definedName name="Подача_f50_">'1'!$P$42:$P$91</definedName>
    <definedName name="Подача_пласт_м3_сут" localSheetId="12">'158'!$B$42:$B$91</definedName>
    <definedName name="Подача_пласт_м3_сут" localSheetId="13">'161'!$B$42:$B$91</definedName>
    <definedName name="Подача_пласт_м3_сут" localSheetId="14">'166'!$B$42:$B$91</definedName>
    <definedName name="Подача_пласт_м3_сут" localSheetId="15">'168'!$B$42:$B$91</definedName>
    <definedName name="Подача_пласт_м3_сут" localSheetId="16">'191'!$B$42:$B$91</definedName>
    <definedName name="Подача_пласт_м3_сут" localSheetId="17">'193'!$B$42:$B$91</definedName>
    <definedName name="Подача_пласт_м3_сут" localSheetId="6">'68'!$B$42:$B$91</definedName>
    <definedName name="Подача_пласт_м3_сут" localSheetId="7">'80'!$B$42:$B$91</definedName>
    <definedName name="Подача_пласт_м3_сут" localSheetId="8">'84'!$B$42:$B$91</definedName>
    <definedName name="Подача_пласт_м3_сут" localSheetId="9">'86'!$B$42:$B$91</definedName>
    <definedName name="Подача_пласт_м3_сут" localSheetId="11">'88'!$B$42:$B$91</definedName>
    <definedName name="Подача_пласт_м3_сут" localSheetId="10">'89'!$B$42:$B$91</definedName>
    <definedName name="Подача_пласт_м3_сут">'1'!$B$42:$B$91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7" i="3" l="1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" i="3"/>
  <c r="T7" i="3"/>
  <c r="U7" i="3"/>
  <c r="T8" i="3"/>
  <c r="U8" i="3"/>
  <c r="T9" i="3"/>
  <c r="U9" i="3"/>
  <c r="T10" i="3"/>
  <c r="U10" i="3"/>
  <c r="T11" i="3"/>
  <c r="U11" i="3"/>
  <c r="T12" i="3"/>
  <c r="U12" i="3"/>
  <c r="T13" i="3"/>
  <c r="U13" i="3"/>
  <c r="T14" i="3"/>
  <c r="U14" i="3"/>
  <c r="T15" i="3"/>
  <c r="U15" i="3"/>
  <c r="T16" i="3"/>
  <c r="U16" i="3"/>
  <c r="T17" i="3"/>
  <c r="U17" i="3"/>
  <c r="T18" i="3"/>
  <c r="U18" i="3"/>
  <c r="T19" i="3"/>
  <c r="U19" i="3"/>
  <c r="T20" i="3"/>
  <c r="U20" i="3"/>
  <c r="T21" i="3"/>
  <c r="U21" i="3"/>
  <c r="T22" i="3"/>
  <c r="U22" i="3"/>
  <c r="T23" i="3"/>
  <c r="U23" i="3"/>
  <c r="T24" i="3"/>
  <c r="U24" i="3"/>
  <c r="T25" i="3"/>
  <c r="U25" i="3"/>
  <c r="T26" i="3"/>
  <c r="U26" i="3"/>
  <c r="T27" i="3"/>
  <c r="U27" i="3"/>
  <c r="T28" i="3"/>
  <c r="U28" i="3"/>
  <c r="T29" i="3"/>
  <c r="U29" i="3"/>
  <c r="T30" i="3"/>
  <c r="U30" i="3"/>
  <c r="T31" i="3"/>
  <c r="U31" i="3"/>
  <c r="T32" i="3"/>
  <c r="U32" i="3"/>
  <c r="T33" i="3"/>
  <c r="U33" i="3"/>
  <c r="T34" i="3"/>
  <c r="U34" i="3"/>
  <c r="T35" i="3"/>
  <c r="U35" i="3"/>
  <c r="T36" i="3"/>
  <c r="U36" i="3"/>
  <c r="T37" i="3"/>
  <c r="U37" i="3"/>
  <c r="T38" i="3"/>
  <c r="U38" i="3"/>
  <c r="T39" i="3"/>
  <c r="U39" i="3"/>
  <c r="T40" i="3"/>
  <c r="U40" i="3"/>
  <c r="T41" i="3"/>
  <c r="U41" i="3"/>
  <c r="T42" i="3"/>
  <c r="U42" i="3"/>
  <c r="T43" i="3"/>
  <c r="U43" i="3"/>
  <c r="T44" i="3"/>
  <c r="U44" i="3"/>
  <c r="T45" i="3"/>
  <c r="U45" i="3"/>
  <c r="T46" i="3"/>
  <c r="U46" i="3"/>
  <c r="T47" i="3"/>
  <c r="U47" i="3"/>
  <c r="T48" i="3"/>
  <c r="U48" i="3"/>
  <c r="T49" i="3"/>
  <c r="U49" i="3"/>
  <c r="T50" i="3"/>
  <c r="U50" i="3"/>
  <c r="T51" i="3"/>
  <c r="U51" i="3"/>
  <c r="T52" i="3"/>
  <c r="U52" i="3"/>
  <c r="T53" i="3"/>
  <c r="U53" i="3"/>
  <c r="T54" i="3"/>
  <c r="U54" i="3"/>
  <c r="T55" i="3"/>
  <c r="U55" i="3"/>
  <c r="T56" i="3"/>
  <c r="U56" i="3"/>
  <c r="T57" i="3"/>
  <c r="U57" i="3"/>
  <c r="T58" i="3"/>
  <c r="U58" i="3"/>
  <c r="T59" i="3"/>
  <c r="U59" i="3"/>
  <c r="T60" i="3"/>
  <c r="U60" i="3"/>
  <c r="U6" i="3"/>
  <c r="T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7" i="3"/>
  <c r="O6" i="3"/>
  <c r="R7" i="3" l="1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" i="3"/>
  <c r="A639" i="1"/>
  <c r="A640" i="1"/>
  <c r="A641" i="1"/>
  <c r="A642" i="1"/>
  <c r="A643" i="1"/>
  <c r="A644" i="1"/>
  <c r="A645" i="1"/>
  <c r="A646" i="1"/>
  <c r="A647" i="1"/>
  <c r="A648" i="1"/>
  <c r="C648" i="1"/>
  <c r="E648" i="1"/>
  <c r="E638" i="1"/>
  <c r="A638" i="1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A60" i="3"/>
  <c r="R91" i="17"/>
  <c r="L91" i="17"/>
  <c r="J91" i="17"/>
  <c r="K91" i="17" s="1"/>
  <c r="M91" i="17" s="1"/>
  <c r="H91" i="17"/>
  <c r="I91" i="17" s="1"/>
  <c r="G91" i="17"/>
  <c r="R90" i="17"/>
  <c r="L90" i="17"/>
  <c r="J90" i="17"/>
  <c r="K90" i="17" s="1"/>
  <c r="M90" i="17" s="1"/>
  <c r="H90" i="17"/>
  <c r="N90" i="17" s="1"/>
  <c r="G90" i="17"/>
  <c r="R89" i="17"/>
  <c r="L89" i="17"/>
  <c r="J89" i="17"/>
  <c r="K89" i="17" s="1"/>
  <c r="M89" i="17" s="1"/>
  <c r="H89" i="17"/>
  <c r="I89" i="17" s="1"/>
  <c r="G89" i="17"/>
  <c r="R88" i="17"/>
  <c r="L88" i="17"/>
  <c r="J88" i="17"/>
  <c r="K88" i="17" s="1"/>
  <c r="M88" i="17" s="1"/>
  <c r="H88" i="17"/>
  <c r="I88" i="17" s="1"/>
  <c r="G88" i="17"/>
  <c r="R87" i="17"/>
  <c r="L87" i="17"/>
  <c r="J87" i="17"/>
  <c r="K87" i="17" s="1"/>
  <c r="H87" i="17"/>
  <c r="I87" i="17" s="1"/>
  <c r="G87" i="17"/>
  <c r="R86" i="17"/>
  <c r="L86" i="17"/>
  <c r="J86" i="17"/>
  <c r="K86" i="17" s="1"/>
  <c r="M86" i="17" s="1"/>
  <c r="H86" i="17"/>
  <c r="N86" i="17" s="1"/>
  <c r="G86" i="17"/>
  <c r="R85" i="17"/>
  <c r="L85" i="17"/>
  <c r="J85" i="17"/>
  <c r="K85" i="17" s="1"/>
  <c r="M85" i="17" s="1"/>
  <c r="H85" i="17"/>
  <c r="G85" i="17"/>
  <c r="R84" i="17"/>
  <c r="L84" i="17"/>
  <c r="J84" i="17"/>
  <c r="K84" i="17" s="1"/>
  <c r="H84" i="17"/>
  <c r="I84" i="17" s="1"/>
  <c r="G84" i="17"/>
  <c r="R83" i="17"/>
  <c r="L83" i="17"/>
  <c r="J83" i="17"/>
  <c r="K83" i="17" s="1"/>
  <c r="H83" i="17"/>
  <c r="I83" i="17" s="1"/>
  <c r="G83" i="17"/>
  <c r="R82" i="17"/>
  <c r="L82" i="17"/>
  <c r="J82" i="17"/>
  <c r="K82" i="17" s="1"/>
  <c r="M82" i="17" s="1"/>
  <c r="I82" i="17"/>
  <c r="S82" i="17" s="1"/>
  <c r="H82" i="17"/>
  <c r="N82" i="17" s="1"/>
  <c r="G82" i="17"/>
  <c r="R81" i="17"/>
  <c r="L81" i="17"/>
  <c r="J81" i="17"/>
  <c r="K81" i="17" s="1"/>
  <c r="M81" i="17" s="1"/>
  <c r="H81" i="17"/>
  <c r="N81" i="17" s="1"/>
  <c r="G81" i="17"/>
  <c r="R80" i="17"/>
  <c r="L80" i="17"/>
  <c r="J80" i="17"/>
  <c r="K80" i="17" s="1"/>
  <c r="H80" i="17"/>
  <c r="I80" i="17" s="1"/>
  <c r="G80" i="17"/>
  <c r="R79" i="17"/>
  <c r="L79" i="17"/>
  <c r="J79" i="17"/>
  <c r="K79" i="17" s="1"/>
  <c r="H79" i="17"/>
  <c r="I79" i="17" s="1"/>
  <c r="G79" i="17"/>
  <c r="R78" i="17"/>
  <c r="L78" i="17"/>
  <c r="J78" i="17"/>
  <c r="K78" i="17" s="1"/>
  <c r="M78" i="17" s="1"/>
  <c r="I78" i="17"/>
  <c r="S78" i="17" s="1"/>
  <c r="H78" i="17"/>
  <c r="G78" i="17"/>
  <c r="R77" i="17"/>
  <c r="L77" i="17"/>
  <c r="J77" i="17"/>
  <c r="K77" i="17" s="1"/>
  <c r="M77" i="17" s="1"/>
  <c r="H77" i="17"/>
  <c r="G77" i="17"/>
  <c r="R76" i="17"/>
  <c r="L76" i="17"/>
  <c r="J76" i="17"/>
  <c r="K76" i="17" s="1"/>
  <c r="M76" i="17" s="1"/>
  <c r="H76" i="17"/>
  <c r="N76" i="17" s="1"/>
  <c r="G76" i="17"/>
  <c r="R75" i="17"/>
  <c r="L75" i="17"/>
  <c r="J75" i="17"/>
  <c r="K75" i="17" s="1"/>
  <c r="M75" i="17" s="1"/>
  <c r="H75" i="17"/>
  <c r="I75" i="17" s="1"/>
  <c r="G75" i="17"/>
  <c r="R74" i="17"/>
  <c r="L74" i="17"/>
  <c r="J74" i="17"/>
  <c r="K74" i="17" s="1"/>
  <c r="M74" i="17" s="1"/>
  <c r="H74" i="17"/>
  <c r="N74" i="17" s="1"/>
  <c r="G74" i="17"/>
  <c r="R73" i="17"/>
  <c r="L73" i="17"/>
  <c r="J73" i="17"/>
  <c r="K73" i="17" s="1"/>
  <c r="M73" i="17" s="1"/>
  <c r="H73" i="17"/>
  <c r="N73" i="17" s="1"/>
  <c r="G73" i="17"/>
  <c r="R72" i="17"/>
  <c r="L72" i="17"/>
  <c r="J72" i="17"/>
  <c r="K72" i="17" s="1"/>
  <c r="M72" i="17" s="1"/>
  <c r="H72" i="17"/>
  <c r="N72" i="17" s="1"/>
  <c r="G72" i="17"/>
  <c r="R71" i="17"/>
  <c r="L71" i="17"/>
  <c r="J71" i="17"/>
  <c r="K71" i="17" s="1"/>
  <c r="H71" i="17"/>
  <c r="I71" i="17" s="1"/>
  <c r="G71" i="17"/>
  <c r="R70" i="17"/>
  <c r="L70" i="17"/>
  <c r="J70" i="17"/>
  <c r="K70" i="17" s="1"/>
  <c r="M70" i="17" s="1"/>
  <c r="H70" i="17"/>
  <c r="I70" i="17" s="1"/>
  <c r="S70" i="17" s="1"/>
  <c r="G70" i="17"/>
  <c r="R69" i="17"/>
  <c r="L69" i="17"/>
  <c r="J69" i="17"/>
  <c r="K69" i="17" s="1"/>
  <c r="M69" i="17" s="1"/>
  <c r="H69" i="17"/>
  <c r="N69" i="17" s="1"/>
  <c r="G69" i="17"/>
  <c r="R68" i="17"/>
  <c r="L68" i="17"/>
  <c r="J68" i="17"/>
  <c r="K68" i="17" s="1"/>
  <c r="H68" i="17"/>
  <c r="G68" i="17"/>
  <c r="R67" i="17"/>
  <c r="L67" i="17"/>
  <c r="J67" i="17"/>
  <c r="K67" i="17" s="1"/>
  <c r="M67" i="17" s="1"/>
  <c r="H67" i="17"/>
  <c r="I67" i="17" s="1"/>
  <c r="G67" i="17"/>
  <c r="R66" i="17"/>
  <c r="L66" i="17"/>
  <c r="J66" i="17"/>
  <c r="K66" i="17" s="1"/>
  <c r="H66" i="17"/>
  <c r="I66" i="17" s="1"/>
  <c r="G66" i="17"/>
  <c r="R65" i="17"/>
  <c r="L65" i="17"/>
  <c r="J65" i="17"/>
  <c r="K65" i="17" s="1"/>
  <c r="H65" i="17"/>
  <c r="N65" i="17" s="1"/>
  <c r="G65" i="17"/>
  <c r="R64" i="17"/>
  <c r="L64" i="17"/>
  <c r="J64" i="17"/>
  <c r="K64" i="17" s="1"/>
  <c r="M64" i="17" s="1"/>
  <c r="H64" i="17"/>
  <c r="G64" i="17"/>
  <c r="R63" i="17"/>
  <c r="N63" i="17"/>
  <c r="L63" i="17"/>
  <c r="J63" i="17"/>
  <c r="K63" i="17" s="1"/>
  <c r="M63" i="17" s="1"/>
  <c r="H63" i="17"/>
  <c r="I63" i="17" s="1"/>
  <c r="S63" i="17" s="1"/>
  <c r="G63" i="17"/>
  <c r="R62" i="17"/>
  <c r="L62" i="17"/>
  <c r="J62" i="17"/>
  <c r="K62" i="17" s="1"/>
  <c r="M62" i="17" s="1"/>
  <c r="H62" i="17"/>
  <c r="I62" i="17" s="1"/>
  <c r="G62" i="17"/>
  <c r="R61" i="17"/>
  <c r="L61" i="17"/>
  <c r="J61" i="17"/>
  <c r="K61" i="17" s="1"/>
  <c r="M61" i="17" s="1"/>
  <c r="H61" i="17"/>
  <c r="G61" i="17"/>
  <c r="R60" i="17"/>
  <c r="L60" i="17"/>
  <c r="J60" i="17"/>
  <c r="K60" i="17" s="1"/>
  <c r="M60" i="17" s="1"/>
  <c r="H60" i="17"/>
  <c r="N60" i="17" s="1"/>
  <c r="G60" i="17"/>
  <c r="R59" i="17"/>
  <c r="L59" i="17"/>
  <c r="J59" i="17"/>
  <c r="K59" i="17" s="1"/>
  <c r="M59" i="17" s="1"/>
  <c r="H59" i="17"/>
  <c r="I59" i="17" s="1"/>
  <c r="G59" i="17"/>
  <c r="R58" i="17"/>
  <c r="L58" i="17"/>
  <c r="N58" i="17" s="1"/>
  <c r="J58" i="17"/>
  <c r="K58" i="17" s="1"/>
  <c r="H58" i="17"/>
  <c r="I58" i="17" s="1"/>
  <c r="S58" i="17" s="1"/>
  <c r="G58" i="17"/>
  <c r="R57" i="17"/>
  <c r="L57" i="17"/>
  <c r="J57" i="17"/>
  <c r="K57" i="17" s="1"/>
  <c r="M57" i="17" s="1"/>
  <c r="H57" i="17"/>
  <c r="N57" i="17" s="1"/>
  <c r="G57" i="17"/>
  <c r="R56" i="17"/>
  <c r="L56" i="17"/>
  <c r="J56" i="17"/>
  <c r="K56" i="17" s="1"/>
  <c r="M56" i="17" s="1"/>
  <c r="H56" i="17"/>
  <c r="N56" i="17" s="1"/>
  <c r="G56" i="17"/>
  <c r="R55" i="17"/>
  <c r="N55" i="17"/>
  <c r="L55" i="17"/>
  <c r="J55" i="17"/>
  <c r="K55" i="17" s="1"/>
  <c r="M55" i="17" s="1"/>
  <c r="H55" i="17"/>
  <c r="I55" i="17" s="1"/>
  <c r="G55" i="17"/>
  <c r="R54" i="17"/>
  <c r="L54" i="17"/>
  <c r="N54" i="17" s="1"/>
  <c r="J54" i="17"/>
  <c r="K54" i="17" s="1"/>
  <c r="M54" i="17" s="1"/>
  <c r="H54" i="17"/>
  <c r="I54" i="17" s="1"/>
  <c r="G54" i="17"/>
  <c r="R53" i="17"/>
  <c r="L53" i="17"/>
  <c r="J53" i="17"/>
  <c r="K53" i="17" s="1"/>
  <c r="H53" i="17"/>
  <c r="N53" i="17" s="1"/>
  <c r="G53" i="17"/>
  <c r="R52" i="17"/>
  <c r="L52" i="17"/>
  <c r="J52" i="17"/>
  <c r="K52" i="17" s="1"/>
  <c r="H52" i="17"/>
  <c r="N52" i="17" s="1"/>
  <c r="G52" i="17"/>
  <c r="R51" i="17"/>
  <c r="L51" i="17"/>
  <c r="J51" i="17"/>
  <c r="K51" i="17" s="1"/>
  <c r="M51" i="17" s="1"/>
  <c r="H51" i="17"/>
  <c r="I51" i="17" s="1"/>
  <c r="G51" i="17"/>
  <c r="R50" i="17"/>
  <c r="L50" i="17"/>
  <c r="J50" i="17"/>
  <c r="K50" i="17" s="1"/>
  <c r="H50" i="17"/>
  <c r="I50" i="17" s="1"/>
  <c r="G50" i="17"/>
  <c r="R49" i="17"/>
  <c r="L49" i="17"/>
  <c r="J49" i="17"/>
  <c r="K49" i="17" s="1"/>
  <c r="H49" i="17"/>
  <c r="N49" i="17" s="1"/>
  <c r="G49" i="17"/>
  <c r="R48" i="17"/>
  <c r="L48" i="17"/>
  <c r="J48" i="17"/>
  <c r="K48" i="17" s="1"/>
  <c r="M48" i="17" s="1"/>
  <c r="H48" i="17"/>
  <c r="N48" i="17" s="1"/>
  <c r="G48" i="17"/>
  <c r="R47" i="17"/>
  <c r="L47" i="17"/>
  <c r="J47" i="17"/>
  <c r="K47" i="17" s="1"/>
  <c r="M47" i="17" s="1"/>
  <c r="H47" i="17"/>
  <c r="I47" i="17" s="1"/>
  <c r="S47" i="17" s="1"/>
  <c r="G47" i="17"/>
  <c r="R46" i="17"/>
  <c r="L46" i="17"/>
  <c r="J46" i="17"/>
  <c r="K46" i="17" s="1"/>
  <c r="H46" i="17"/>
  <c r="I46" i="17" s="1"/>
  <c r="G46" i="17"/>
  <c r="R45" i="17"/>
  <c r="L45" i="17"/>
  <c r="J45" i="17"/>
  <c r="K45" i="17" s="1"/>
  <c r="H45" i="17"/>
  <c r="G45" i="17"/>
  <c r="R44" i="17"/>
  <c r="L44" i="17"/>
  <c r="J44" i="17"/>
  <c r="K44" i="17" s="1"/>
  <c r="M44" i="17" s="1"/>
  <c r="H44" i="17"/>
  <c r="N44" i="17" s="1"/>
  <c r="G44" i="17"/>
  <c r="R43" i="17"/>
  <c r="L43" i="17"/>
  <c r="J43" i="17"/>
  <c r="K43" i="17" s="1"/>
  <c r="M43" i="17" s="1"/>
  <c r="H43" i="17"/>
  <c r="I43" i="17" s="1"/>
  <c r="S43" i="17" s="1"/>
  <c r="G43" i="17"/>
  <c r="R42" i="17"/>
  <c r="L42" i="17"/>
  <c r="J42" i="17"/>
  <c r="K42" i="17" s="1"/>
  <c r="M42" i="17" s="1"/>
  <c r="H42" i="17"/>
  <c r="I42" i="17" s="1"/>
  <c r="G42" i="17"/>
  <c r="V41" i="17"/>
  <c r="U41" i="17"/>
  <c r="T41" i="17"/>
  <c r="S41" i="17"/>
  <c r="R41" i="17"/>
  <c r="Q41" i="17"/>
  <c r="P41" i="17"/>
  <c r="C27" i="17"/>
  <c r="AQ26" i="17"/>
  <c r="AQ19" i="17"/>
  <c r="AQ17" i="17"/>
  <c r="AQ11" i="17"/>
  <c r="AB6" i="17"/>
  <c r="AB2" i="17" s="1"/>
  <c r="R6" i="17"/>
  <c r="AQ24" i="17" s="1"/>
  <c r="AF5" i="17"/>
  <c r="AF6" i="17" s="1"/>
  <c r="AE5" i="17"/>
  <c r="AE6" i="17" s="1"/>
  <c r="AC5" i="17"/>
  <c r="AC6" i="17" s="1"/>
  <c r="AA5" i="17"/>
  <c r="AA6" i="17" s="1"/>
  <c r="Z5" i="17"/>
  <c r="Z6" i="17" s="1"/>
  <c r="Y5" i="17"/>
  <c r="X5" i="17"/>
  <c r="R5" i="17"/>
  <c r="AQ15" i="17" s="1"/>
  <c r="C4" i="17"/>
  <c r="O1" i="17"/>
  <c r="P89" i="17" s="1"/>
  <c r="L1" i="17"/>
  <c r="U6" i="17" s="1"/>
  <c r="H1" i="17"/>
  <c r="W5" i="17" s="1"/>
  <c r="W6" i="17" s="1"/>
  <c r="B1" i="17"/>
  <c r="C637" i="1"/>
  <c r="E637" i="1"/>
  <c r="E627" i="1"/>
  <c r="B59" i="3"/>
  <c r="C59" i="3"/>
  <c r="E59" i="3"/>
  <c r="L59" i="3"/>
  <c r="M59" i="3"/>
  <c r="R91" i="16"/>
  <c r="L91" i="16"/>
  <c r="J91" i="16"/>
  <c r="K91" i="16" s="1"/>
  <c r="M91" i="16" s="1"/>
  <c r="H91" i="16"/>
  <c r="I91" i="16" s="1"/>
  <c r="G91" i="16"/>
  <c r="R90" i="16"/>
  <c r="L90" i="16"/>
  <c r="J90" i="16"/>
  <c r="K90" i="16" s="1"/>
  <c r="M90" i="16" s="1"/>
  <c r="H90" i="16"/>
  <c r="I90" i="16" s="1"/>
  <c r="G90" i="16"/>
  <c r="R89" i="16"/>
  <c r="L89" i="16"/>
  <c r="N89" i="16" s="1"/>
  <c r="J89" i="16"/>
  <c r="K89" i="16" s="1"/>
  <c r="H89" i="16"/>
  <c r="I89" i="16" s="1"/>
  <c r="G89" i="16"/>
  <c r="R88" i="16"/>
  <c r="L88" i="16"/>
  <c r="J88" i="16"/>
  <c r="K88" i="16" s="1"/>
  <c r="M88" i="16" s="1"/>
  <c r="H88" i="16"/>
  <c r="I88" i="16" s="1"/>
  <c r="G88" i="16"/>
  <c r="R87" i="16"/>
  <c r="L87" i="16"/>
  <c r="J87" i="16"/>
  <c r="K87" i="16" s="1"/>
  <c r="M87" i="16" s="1"/>
  <c r="H87" i="16"/>
  <c r="I87" i="16" s="1"/>
  <c r="G87" i="16"/>
  <c r="R86" i="16"/>
  <c r="L86" i="16"/>
  <c r="J86" i="16"/>
  <c r="K86" i="16" s="1"/>
  <c r="H86" i="16"/>
  <c r="G86" i="16"/>
  <c r="R85" i="16"/>
  <c r="L85" i="16"/>
  <c r="J85" i="16"/>
  <c r="K85" i="16" s="1"/>
  <c r="H85" i="16"/>
  <c r="I85" i="16" s="1"/>
  <c r="G85" i="16"/>
  <c r="R84" i="16"/>
  <c r="L84" i="16"/>
  <c r="J84" i="16"/>
  <c r="K84" i="16" s="1"/>
  <c r="M84" i="16" s="1"/>
  <c r="H84" i="16"/>
  <c r="I84" i="16" s="1"/>
  <c r="G84" i="16"/>
  <c r="R83" i="16"/>
  <c r="L83" i="16"/>
  <c r="J83" i="16"/>
  <c r="K83" i="16" s="1"/>
  <c r="H83" i="16"/>
  <c r="I83" i="16" s="1"/>
  <c r="G83" i="16"/>
  <c r="R82" i="16"/>
  <c r="L82" i="16"/>
  <c r="J82" i="16"/>
  <c r="K82" i="16" s="1"/>
  <c r="M82" i="16" s="1"/>
  <c r="H82" i="16"/>
  <c r="G82" i="16"/>
  <c r="R81" i="16"/>
  <c r="L81" i="16"/>
  <c r="J81" i="16"/>
  <c r="K81" i="16" s="1"/>
  <c r="M81" i="16" s="1"/>
  <c r="H81" i="16"/>
  <c r="I81" i="16" s="1"/>
  <c r="G81" i="16"/>
  <c r="R80" i="16"/>
  <c r="L80" i="16"/>
  <c r="J80" i="16"/>
  <c r="K80" i="16" s="1"/>
  <c r="H80" i="16"/>
  <c r="I80" i="16" s="1"/>
  <c r="G80" i="16"/>
  <c r="R79" i="16"/>
  <c r="L79" i="16"/>
  <c r="J79" i="16"/>
  <c r="K79" i="16" s="1"/>
  <c r="H79" i="16"/>
  <c r="I79" i="16" s="1"/>
  <c r="G79" i="16"/>
  <c r="R78" i="16"/>
  <c r="L78" i="16"/>
  <c r="J78" i="16"/>
  <c r="K78" i="16" s="1"/>
  <c r="H78" i="16"/>
  <c r="G78" i="16"/>
  <c r="R77" i="16"/>
  <c r="L77" i="16"/>
  <c r="J77" i="16"/>
  <c r="K77" i="16" s="1"/>
  <c r="H77" i="16"/>
  <c r="I77" i="16" s="1"/>
  <c r="G77" i="16"/>
  <c r="R76" i="16"/>
  <c r="L76" i="16"/>
  <c r="J76" i="16"/>
  <c r="K76" i="16" s="1"/>
  <c r="M76" i="16" s="1"/>
  <c r="H76" i="16"/>
  <c r="G76" i="16"/>
  <c r="R75" i="16"/>
  <c r="L75" i="16"/>
  <c r="J75" i="16"/>
  <c r="K75" i="16" s="1"/>
  <c r="H75" i="16"/>
  <c r="I75" i="16" s="1"/>
  <c r="G75" i="16"/>
  <c r="R74" i="16"/>
  <c r="L74" i="16"/>
  <c r="J74" i="16"/>
  <c r="K74" i="16" s="1"/>
  <c r="H74" i="16"/>
  <c r="G74" i="16"/>
  <c r="R73" i="16"/>
  <c r="L73" i="16"/>
  <c r="J73" i="16"/>
  <c r="K73" i="16" s="1"/>
  <c r="H73" i="16"/>
  <c r="I73" i="16" s="1"/>
  <c r="G73" i="16"/>
  <c r="R72" i="16"/>
  <c r="L72" i="16"/>
  <c r="J72" i="16"/>
  <c r="K72" i="16" s="1"/>
  <c r="M72" i="16" s="1"/>
  <c r="H72" i="16"/>
  <c r="N72" i="16" s="1"/>
  <c r="G72" i="16"/>
  <c r="R71" i="16"/>
  <c r="L71" i="16"/>
  <c r="J71" i="16"/>
  <c r="K71" i="16" s="1"/>
  <c r="H71" i="16"/>
  <c r="I71" i="16" s="1"/>
  <c r="G71" i="16"/>
  <c r="R70" i="16"/>
  <c r="L70" i="16"/>
  <c r="J70" i="16"/>
  <c r="K70" i="16" s="1"/>
  <c r="M70" i="16" s="1"/>
  <c r="H70" i="16"/>
  <c r="I70" i="16" s="1"/>
  <c r="G70" i="16"/>
  <c r="R69" i="16"/>
  <c r="L69" i="16"/>
  <c r="J69" i="16"/>
  <c r="K69" i="16" s="1"/>
  <c r="M69" i="16" s="1"/>
  <c r="H69" i="16"/>
  <c r="I69" i="16" s="1"/>
  <c r="G69" i="16"/>
  <c r="R68" i="16"/>
  <c r="L68" i="16"/>
  <c r="J68" i="16"/>
  <c r="K68" i="16" s="1"/>
  <c r="H68" i="16"/>
  <c r="G68" i="16"/>
  <c r="R67" i="16"/>
  <c r="L67" i="16"/>
  <c r="J67" i="16"/>
  <c r="K67" i="16" s="1"/>
  <c r="H67" i="16"/>
  <c r="I67" i="16" s="1"/>
  <c r="G67" i="16"/>
  <c r="R66" i="16"/>
  <c r="L66" i="16"/>
  <c r="J66" i="16"/>
  <c r="K66" i="16" s="1"/>
  <c r="M66" i="16" s="1"/>
  <c r="H66" i="16"/>
  <c r="I66" i="16" s="1"/>
  <c r="G66" i="16"/>
  <c r="R65" i="16"/>
  <c r="L65" i="16"/>
  <c r="J65" i="16"/>
  <c r="K65" i="16" s="1"/>
  <c r="H65" i="16"/>
  <c r="G65" i="16"/>
  <c r="R64" i="16"/>
  <c r="L64" i="16"/>
  <c r="J64" i="16"/>
  <c r="K64" i="16" s="1"/>
  <c r="H64" i="16"/>
  <c r="G64" i="16"/>
  <c r="R63" i="16"/>
  <c r="L63" i="16"/>
  <c r="J63" i="16"/>
  <c r="K63" i="16" s="1"/>
  <c r="M63" i="16" s="1"/>
  <c r="H63" i="16"/>
  <c r="I63" i="16" s="1"/>
  <c r="G63" i="16"/>
  <c r="R62" i="16"/>
  <c r="L62" i="16"/>
  <c r="J62" i="16"/>
  <c r="K62" i="16" s="1"/>
  <c r="H62" i="16"/>
  <c r="I62" i="16" s="1"/>
  <c r="G62" i="16"/>
  <c r="R61" i="16"/>
  <c r="L61" i="16"/>
  <c r="J61" i="16"/>
  <c r="K61" i="16" s="1"/>
  <c r="H61" i="16"/>
  <c r="G61" i="16"/>
  <c r="R60" i="16"/>
  <c r="L60" i="16"/>
  <c r="J60" i="16"/>
  <c r="K60" i="16" s="1"/>
  <c r="H60" i="16"/>
  <c r="G60" i="16"/>
  <c r="R59" i="16"/>
  <c r="L59" i="16"/>
  <c r="J59" i="16"/>
  <c r="K59" i="16" s="1"/>
  <c r="H59" i="16"/>
  <c r="I59" i="16" s="1"/>
  <c r="G59" i="16"/>
  <c r="R58" i="16"/>
  <c r="L58" i="16"/>
  <c r="J58" i="16"/>
  <c r="K58" i="16" s="1"/>
  <c r="M58" i="16" s="1"/>
  <c r="H58" i="16"/>
  <c r="I58" i="16" s="1"/>
  <c r="G58" i="16"/>
  <c r="R57" i="16"/>
  <c r="L57" i="16"/>
  <c r="J57" i="16"/>
  <c r="K57" i="16" s="1"/>
  <c r="H57" i="16"/>
  <c r="G57" i="16"/>
  <c r="R56" i="16"/>
  <c r="L56" i="16"/>
  <c r="J56" i="16"/>
  <c r="K56" i="16" s="1"/>
  <c r="H56" i="16"/>
  <c r="G56" i="16"/>
  <c r="R55" i="16"/>
  <c r="L55" i="16"/>
  <c r="N55" i="16" s="1"/>
  <c r="J55" i="16"/>
  <c r="K55" i="16" s="1"/>
  <c r="H55" i="16"/>
  <c r="I55" i="16" s="1"/>
  <c r="G55" i="16"/>
  <c r="R54" i="16"/>
  <c r="L54" i="16"/>
  <c r="J54" i="16"/>
  <c r="K54" i="16" s="1"/>
  <c r="M54" i="16" s="1"/>
  <c r="H54" i="16"/>
  <c r="I54" i="16" s="1"/>
  <c r="G54" i="16"/>
  <c r="R53" i="16"/>
  <c r="L53" i="16"/>
  <c r="J53" i="16"/>
  <c r="K53" i="16" s="1"/>
  <c r="H53" i="16"/>
  <c r="G53" i="16"/>
  <c r="R52" i="16"/>
  <c r="L52" i="16"/>
  <c r="J52" i="16"/>
  <c r="K52" i="16" s="1"/>
  <c r="M52" i="16" s="1"/>
  <c r="H52" i="16"/>
  <c r="G52" i="16"/>
  <c r="R51" i="16"/>
  <c r="L51" i="16"/>
  <c r="J51" i="16"/>
  <c r="K51" i="16" s="1"/>
  <c r="M51" i="16" s="1"/>
  <c r="H51" i="16"/>
  <c r="I51" i="16" s="1"/>
  <c r="G51" i="16"/>
  <c r="R50" i="16"/>
  <c r="L50" i="16"/>
  <c r="J50" i="16"/>
  <c r="K50" i="16" s="1"/>
  <c r="H50" i="16"/>
  <c r="I50" i="16" s="1"/>
  <c r="G50" i="16"/>
  <c r="R49" i="16"/>
  <c r="L49" i="16"/>
  <c r="J49" i="16"/>
  <c r="K49" i="16" s="1"/>
  <c r="H49" i="16"/>
  <c r="G49" i="16"/>
  <c r="R48" i="16"/>
  <c r="L48" i="16"/>
  <c r="J48" i="16"/>
  <c r="K48" i="16" s="1"/>
  <c r="M48" i="16" s="1"/>
  <c r="H48" i="16"/>
  <c r="G48" i="16"/>
  <c r="R47" i="16"/>
  <c r="L47" i="16"/>
  <c r="J47" i="16"/>
  <c r="K47" i="16" s="1"/>
  <c r="H47" i="16"/>
  <c r="I47" i="16" s="1"/>
  <c r="G47" i="16"/>
  <c r="R46" i="16"/>
  <c r="L46" i="16"/>
  <c r="J46" i="16"/>
  <c r="K46" i="16" s="1"/>
  <c r="M46" i="16" s="1"/>
  <c r="H46" i="16"/>
  <c r="I46" i="16" s="1"/>
  <c r="G46" i="16"/>
  <c r="R45" i="16"/>
  <c r="L45" i="16"/>
  <c r="J45" i="16"/>
  <c r="K45" i="16" s="1"/>
  <c r="M45" i="16" s="1"/>
  <c r="H45" i="16"/>
  <c r="N45" i="16" s="1"/>
  <c r="G45" i="16"/>
  <c r="R44" i="16"/>
  <c r="L44" i="16"/>
  <c r="J44" i="16"/>
  <c r="K44" i="16" s="1"/>
  <c r="H44" i="16"/>
  <c r="G44" i="16"/>
  <c r="R43" i="16"/>
  <c r="L43" i="16"/>
  <c r="J43" i="16"/>
  <c r="K43" i="16" s="1"/>
  <c r="H43" i="16"/>
  <c r="I43" i="16" s="1"/>
  <c r="G43" i="16"/>
  <c r="R42" i="16"/>
  <c r="L42" i="16"/>
  <c r="J42" i="16"/>
  <c r="K42" i="16" s="1"/>
  <c r="H42" i="16"/>
  <c r="I42" i="16" s="1"/>
  <c r="G42" i="16"/>
  <c r="V41" i="16"/>
  <c r="U41" i="16"/>
  <c r="T41" i="16"/>
  <c r="S41" i="16"/>
  <c r="R41" i="16"/>
  <c r="Q41" i="16"/>
  <c r="P41" i="16"/>
  <c r="C27" i="16"/>
  <c r="AQ22" i="16"/>
  <c r="AQ19" i="16"/>
  <c r="AB6" i="16"/>
  <c r="AB2" i="16" s="1"/>
  <c r="R6" i="16"/>
  <c r="AQ24" i="16" s="1"/>
  <c r="AF5" i="16"/>
  <c r="AF6" i="16" s="1"/>
  <c r="AC5" i="16"/>
  <c r="AC6" i="16" s="1"/>
  <c r="Z5" i="16"/>
  <c r="Z6" i="16" s="1"/>
  <c r="Y5" i="16"/>
  <c r="X5" i="16"/>
  <c r="G59" i="3" s="1"/>
  <c r="R5" i="16"/>
  <c r="AQ15" i="16" s="1"/>
  <c r="A637" i="1" s="1"/>
  <c r="C4" i="16"/>
  <c r="O1" i="16"/>
  <c r="P89" i="16" s="1"/>
  <c r="L1" i="16"/>
  <c r="H1" i="16"/>
  <c r="W5" i="16" s="1"/>
  <c r="F59" i="3" s="1"/>
  <c r="B1" i="16"/>
  <c r="C626" i="1"/>
  <c r="E626" i="1"/>
  <c r="E616" i="1"/>
  <c r="B58" i="3"/>
  <c r="C58" i="3"/>
  <c r="E58" i="3"/>
  <c r="M58" i="3"/>
  <c r="R91" i="15"/>
  <c r="L91" i="15"/>
  <c r="J91" i="15"/>
  <c r="K91" i="15" s="1"/>
  <c r="M91" i="15" s="1"/>
  <c r="H91" i="15"/>
  <c r="I91" i="15" s="1"/>
  <c r="G91" i="15"/>
  <c r="R90" i="15"/>
  <c r="L90" i="15"/>
  <c r="J90" i="15"/>
  <c r="K90" i="15" s="1"/>
  <c r="H90" i="15"/>
  <c r="I90" i="15" s="1"/>
  <c r="G90" i="15"/>
  <c r="R89" i="15"/>
  <c r="L89" i="15"/>
  <c r="J89" i="15"/>
  <c r="K89" i="15" s="1"/>
  <c r="H89" i="15"/>
  <c r="I89" i="15" s="1"/>
  <c r="G89" i="15"/>
  <c r="R88" i="15"/>
  <c r="L88" i="15"/>
  <c r="J88" i="15"/>
  <c r="K88" i="15" s="1"/>
  <c r="H88" i="15"/>
  <c r="G88" i="15"/>
  <c r="R87" i="15"/>
  <c r="L87" i="15"/>
  <c r="J87" i="15"/>
  <c r="K87" i="15" s="1"/>
  <c r="H87" i="15"/>
  <c r="I87" i="15" s="1"/>
  <c r="G87" i="15"/>
  <c r="R86" i="15"/>
  <c r="L86" i="15"/>
  <c r="N86" i="15" s="1"/>
  <c r="J86" i="15"/>
  <c r="K86" i="15" s="1"/>
  <c r="H86" i="15"/>
  <c r="I86" i="15" s="1"/>
  <c r="G86" i="15"/>
  <c r="R85" i="15"/>
  <c r="L85" i="15"/>
  <c r="J85" i="15"/>
  <c r="K85" i="15" s="1"/>
  <c r="H85" i="15"/>
  <c r="I85" i="15" s="1"/>
  <c r="G85" i="15"/>
  <c r="R84" i="15"/>
  <c r="L84" i="15"/>
  <c r="J84" i="15"/>
  <c r="K84" i="15" s="1"/>
  <c r="H84" i="15"/>
  <c r="G84" i="15"/>
  <c r="R83" i="15"/>
  <c r="L83" i="15"/>
  <c r="N83" i="15" s="1"/>
  <c r="J83" i="15"/>
  <c r="K83" i="15" s="1"/>
  <c r="H83" i="15"/>
  <c r="I83" i="15" s="1"/>
  <c r="G83" i="15"/>
  <c r="R82" i="15"/>
  <c r="L82" i="15"/>
  <c r="N82" i="15" s="1"/>
  <c r="J82" i="15"/>
  <c r="K82" i="15" s="1"/>
  <c r="H82" i="15"/>
  <c r="I82" i="15" s="1"/>
  <c r="G82" i="15"/>
  <c r="R81" i="15"/>
  <c r="L81" i="15"/>
  <c r="J81" i="15"/>
  <c r="K81" i="15" s="1"/>
  <c r="H81" i="15"/>
  <c r="I81" i="15" s="1"/>
  <c r="G81" i="15"/>
  <c r="R80" i="15"/>
  <c r="L80" i="15"/>
  <c r="J80" i="15"/>
  <c r="K80" i="15" s="1"/>
  <c r="H80" i="15"/>
  <c r="G80" i="15"/>
  <c r="R79" i="15"/>
  <c r="L79" i="15"/>
  <c r="N79" i="15" s="1"/>
  <c r="J79" i="15"/>
  <c r="K79" i="15" s="1"/>
  <c r="H79" i="15"/>
  <c r="I79" i="15" s="1"/>
  <c r="G79" i="15"/>
  <c r="R78" i="15"/>
  <c r="L78" i="15"/>
  <c r="J78" i="15"/>
  <c r="K78" i="15" s="1"/>
  <c r="M78" i="15" s="1"/>
  <c r="H78" i="15"/>
  <c r="I78" i="15" s="1"/>
  <c r="G78" i="15"/>
  <c r="R77" i="15"/>
  <c r="L77" i="15"/>
  <c r="J77" i="15"/>
  <c r="K77" i="15" s="1"/>
  <c r="H77" i="15"/>
  <c r="I77" i="15" s="1"/>
  <c r="G77" i="15"/>
  <c r="R76" i="15"/>
  <c r="L76" i="15"/>
  <c r="J76" i="15"/>
  <c r="K76" i="15" s="1"/>
  <c r="H76" i="15"/>
  <c r="G76" i="15"/>
  <c r="R75" i="15"/>
  <c r="L75" i="15"/>
  <c r="J75" i="15"/>
  <c r="K75" i="15" s="1"/>
  <c r="M75" i="15" s="1"/>
  <c r="H75" i="15"/>
  <c r="I75" i="15" s="1"/>
  <c r="G75" i="15"/>
  <c r="R74" i="15"/>
  <c r="L74" i="15"/>
  <c r="J74" i="15"/>
  <c r="K74" i="15" s="1"/>
  <c r="H74" i="15"/>
  <c r="I74" i="15" s="1"/>
  <c r="G74" i="15"/>
  <c r="R73" i="15"/>
  <c r="L73" i="15"/>
  <c r="J73" i="15"/>
  <c r="K73" i="15" s="1"/>
  <c r="H73" i="15"/>
  <c r="G73" i="15"/>
  <c r="R72" i="15"/>
  <c r="L72" i="15"/>
  <c r="J72" i="15"/>
  <c r="K72" i="15" s="1"/>
  <c r="H72" i="15"/>
  <c r="G72" i="15"/>
  <c r="R71" i="15"/>
  <c r="L71" i="15"/>
  <c r="J71" i="15"/>
  <c r="K71" i="15" s="1"/>
  <c r="H71" i="15"/>
  <c r="I71" i="15" s="1"/>
  <c r="G71" i="15"/>
  <c r="R70" i="15"/>
  <c r="L70" i="15"/>
  <c r="J70" i="15"/>
  <c r="K70" i="15" s="1"/>
  <c r="H70" i="15"/>
  <c r="I70" i="15" s="1"/>
  <c r="G70" i="15"/>
  <c r="R69" i="15"/>
  <c r="L69" i="15"/>
  <c r="J69" i="15"/>
  <c r="K69" i="15" s="1"/>
  <c r="M69" i="15" s="1"/>
  <c r="H69" i="15"/>
  <c r="G69" i="15"/>
  <c r="R68" i="15"/>
  <c r="L68" i="15"/>
  <c r="J68" i="15"/>
  <c r="K68" i="15" s="1"/>
  <c r="H68" i="15"/>
  <c r="G68" i="15"/>
  <c r="R67" i="15"/>
  <c r="N67" i="15"/>
  <c r="L67" i="15"/>
  <c r="J67" i="15"/>
  <c r="K67" i="15" s="1"/>
  <c r="H67" i="15"/>
  <c r="I67" i="15" s="1"/>
  <c r="G67" i="15"/>
  <c r="R66" i="15"/>
  <c r="L66" i="15"/>
  <c r="J66" i="15"/>
  <c r="K66" i="15" s="1"/>
  <c r="H66" i="15"/>
  <c r="I66" i="15" s="1"/>
  <c r="G66" i="15"/>
  <c r="R65" i="15"/>
  <c r="L65" i="15"/>
  <c r="J65" i="15"/>
  <c r="K65" i="15" s="1"/>
  <c r="H65" i="15"/>
  <c r="G65" i="15"/>
  <c r="R64" i="15"/>
  <c r="L64" i="15"/>
  <c r="J64" i="15"/>
  <c r="K64" i="15" s="1"/>
  <c r="H64" i="15"/>
  <c r="G64" i="15"/>
  <c r="R63" i="15"/>
  <c r="L63" i="15"/>
  <c r="K63" i="15"/>
  <c r="M63" i="15" s="1"/>
  <c r="J63" i="15"/>
  <c r="H63" i="15"/>
  <c r="I63" i="15" s="1"/>
  <c r="G63" i="15"/>
  <c r="R62" i="15"/>
  <c r="L62" i="15"/>
  <c r="J62" i="15"/>
  <c r="K62" i="15" s="1"/>
  <c r="M62" i="15" s="1"/>
  <c r="H62" i="15"/>
  <c r="I62" i="15" s="1"/>
  <c r="G62" i="15"/>
  <c r="R61" i="15"/>
  <c r="L61" i="15"/>
  <c r="J61" i="15"/>
  <c r="K61" i="15" s="1"/>
  <c r="H61" i="15"/>
  <c r="G61" i="15"/>
  <c r="R60" i="15"/>
  <c r="L60" i="15"/>
  <c r="J60" i="15"/>
  <c r="K60" i="15" s="1"/>
  <c r="H60" i="15"/>
  <c r="G60" i="15"/>
  <c r="R59" i="15"/>
  <c r="L59" i="15"/>
  <c r="N59" i="15" s="1"/>
  <c r="J59" i="15"/>
  <c r="K59" i="15" s="1"/>
  <c r="H59" i="15"/>
  <c r="I59" i="15" s="1"/>
  <c r="G59" i="15"/>
  <c r="R58" i="15"/>
  <c r="L58" i="15"/>
  <c r="J58" i="15"/>
  <c r="K58" i="15" s="1"/>
  <c r="M58" i="15" s="1"/>
  <c r="H58" i="15"/>
  <c r="I58" i="15" s="1"/>
  <c r="G58" i="15"/>
  <c r="R57" i="15"/>
  <c r="L57" i="15"/>
  <c r="J57" i="15"/>
  <c r="K57" i="15" s="1"/>
  <c r="H57" i="15"/>
  <c r="G57" i="15"/>
  <c r="R56" i="15"/>
  <c r="L56" i="15"/>
  <c r="J56" i="15"/>
  <c r="K56" i="15" s="1"/>
  <c r="M56" i="15" s="1"/>
  <c r="H56" i="15"/>
  <c r="G56" i="15"/>
  <c r="R55" i="15"/>
  <c r="L55" i="15"/>
  <c r="J55" i="15"/>
  <c r="K55" i="15" s="1"/>
  <c r="H55" i="15"/>
  <c r="I55" i="15" s="1"/>
  <c r="G55" i="15"/>
  <c r="R54" i="15"/>
  <c r="L54" i="15"/>
  <c r="J54" i="15"/>
  <c r="K54" i="15" s="1"/>
  <c r="H54" i="15"/>
  <c r="I54" i="15" s="1"/>
  <c r="G54" i="15"/>
  <c r="R53" i="15"/>
  <c r="L53" i="15"/>
  <c r="J53" i="15"/>
  <c r="K53" i="15" s="1"/>
  <c r="H53" i="15"/>
  <c r="G53" i="15"/>
  <c r="R52" i="15"/>
  <c r="L52" i="15"/>
  <c r="J52" i="15"/>
  <c r="K52" i="15" s="1"/>
  <c r="H52" i="15"/>
  <c r="G52" i="15"/>
  <c r="R51" i="15"/>
  <c r="L51" i="15"/>
  <c r="J51" i="15"/>
  <c r="K51" i="15" s="1"/>
  <c r="H51" i="15"/>
  <c r="I51" i="15" s="1"/>
  <c r="G51" i="15"/>
  <c r="R50" i="15"/>
  <c r="L50" i="15"/>
  <c r="J50" i="15"/>
  <c r="K50" i="15" s="1"/>
  <c r="H50" i="15"/>
  <c r="I50" i="15" s="1"/>
  <c r="G50" i="15"/>
  <c r="R49" i="15"/>
  <c r="L49" i="15"/>
  <c r="J49" i="15"/>
  <c r="K49" i="15" s="1"/>
  <c r="M49" i="15" s="1"/>
  <c r="H49" i="15"/>
  <c r="N49" i="15" s="1"/>
  <c r="G49" i="15"/>
  <c r="R48" i="15"/>
  <c r="L48" i="15"/>
  <c r="J48" i="15"/>
  <c r="K48" i="15" s="1"/>
  <c r="H48" i="15"/>
  <c r="G48" i="15"/>
  <c r="R47" i="15"/>
  <c r="L47" i="15"/>
  <c r="J47" i="15"/>
  <c r="K47" i="15" s="1"/>
  <c r="H47" i="15"/>
  <c r="I47" i="15" s="1"/>
  <c r="G47" i="15"/>
  <c r="R46" i="15"/>
  <c r="L46" i="15"/>
  <c r="J46" i="15"/>
  <c r="K46" i="15" s="1"/>
  <c r="M46" i="15" s="1"/>
  <c r="H46" i="15"/>
  <c r="I46" i="15" s="1"/>
  <c r="G46" i="15"/>
  <c r="R45" i="15"/>
  <c r="L45" i="15"/>
  <c r="J45" i="15"/>
  <c r="K45" i="15" s="1"/>
  <c r="H45" i="15"/>
  <c r="G45" i="15"/>
  <c r="R44" i="15"/>
  <c r="L44" i="15"/>
  <c r="J44" i="15"/>
  <c r="K44" i="15" s="1"/>
  <c r="H44" i="15"/>
  <c r="G44" i="15"/>
  <c r="R43" i="15"/>
  <c r="L43" i="15"/>
  <c r="J43" i="15"/>
  <c r="K43" i="15" s="1"/>
  <c r="H43" i="15"/>
  <c r="I43" i="15" s="1"/>
  <c r="G43" i="15"/>
  <c r="R42" i="15"/>
  <c r="L42" i="15"/>
  <c r="J42" i="15"/>
  <c r="K42" i="15" s="1"/>
  <c r="H42" i="15"/>
  <c r="I42" i="15" s="1"/>
  <c r="G42" i="15"/>
  <c r="V41" i="15"/>
  <c r="U41" i="15"/>
  <c r="T41" i="15"/>
  <c r="S41" i="15"/>
  <c r="R41" i="15"/>
  <c r="Q41" i="15"/>
  <c r="P41" i="15"/>
  <c r="C27" i="15"/>
  <c r="AB6" i="15"/>
  <c r="AB2" i="15" s="1"/>
  <c r="R6" i="15"/>
  <c r="AQ24" i="15" s="1"/>
  <c r="AF5" i="15"/>
  <c r="AF6" i="15" s="1"/>
  <c r="AC5" i="15"/>
  <c r="AC6" i="15" s="1"/>
  <c r="Z5" i="15"/>
  <c r="Y5" i="15"/>
  <c r="X5" i="15"/>
  <c r="G58" i="3" s="1"/>
  <c r="R5" i="15"/>
  <c r="AQ15" i="15" s="1"/>
  <c r="A626" i="1" s="1"/>
  <c r="C4" i="15"/>
  <c r="O1" i="15"/>
  <c r="P89" i="15" s="1"/>
  <c r="L1" i="15"/>
  <c r="H1" i="15"/>
  <c r="W5" i="15" s="1"/>
  <c r="F58" i="3" s="1"/>
  <c r="B1" i="15"/>
  <c r="C615" i="1"/>
  <c r="E615" i="1"/>
  <c r="E605" i="1"/>
  <c r="B57" i="3"/>
  <c r="C57" i="3"/>
  <c r="E57" i="3"/>
  <c r="M57" i="3"/>
  <c r="R91" i="14"/>
  <c r="L91" i="14"/>
  <c r="J91" i="14"/>
  <c r="K91" i="14" s="1"/>
  <c r="H91" i="14"/>
  <c r="I91" i="14" s="1"/>
  <c r="G91" i="14"/>
  <c r="R90" i="14"/>
  <c r="L90" i="14"/>
  <c r="J90" i="14"/>
  <c r="K90" i="14" s="1"/>
  <c r="H90" i="14"/>
  <c r="I90" i="14" s="1"/>
  <c r="G90" i="14"/>
  <c r="R89" i="14"/>
  <c r="L89" i="14"/>
  <c r="J89" i="14"/>
  <c r="K89" i="14" s="1"/>
  <c r="H89" i="14"/>
  <c r="G89" i="14"/>
  <c r="R88" i="14"/>
  <c r="L88" i="14"/>
  <c r="J88" i="14"/>
  <c r="K88" i="14" s="1"/>
  <c r="H88" i="14"/>
  <c r="I88" i="14" s="1"/>
  <c r="G88" i="14"/>
  <c r="R87" i="14"/>
  <c r="L87" i="14"/>
  <c r="J87" i="14"/>
  <c r="K87" i="14" s="1"/>
  <c r="M87" i="14" s="1"/>
  <c r="H87" i="14"/>
  <c r="I87" i="14" s="1"/>
  <c r="G87" i="14"/>
  <c r="R86" i="14"/>
  <c r="L86" i="14"/>
  <c r="J86" i="14"/>
  <c r="K86" i="14" s="1"/>
  <c r="H86" i="14"/>
  <c r="I86" i="14" s="1"/>
  <c r="G86" i="14"/>
  <c r="R85" i="14"/>
  <c r="L85" i="14"/>
  <c r="J85" i="14"/>
  <c r="K85" i="14" s="1"/>
  <c r="H85" i="14"/>
  <c r="G85" i="14"/>
  <c r="R84" i="14"/>
  <c r="L84" i="14"/>
  <c r="J84" i="14"/>
  <c r="K84" i="14" s="1"/>
  <c r="H84" i="14"/>
  <c r="I84" i="14" s="1"/>
  <c r="G84" i="14"/>
  <c r="R83" i="14"/>
  <c r="L83" i="14"/>
  <c r="J83" i="14"/>
  <c r="K83" i="14" s="1"/>
  <c r="H83" i="14"/>
  <c r="I83" i="14" s="1"/>
  <c r="G83" i="14"/>
  <c r="R82" i="14"/>
  <c r="L82" i="14"/>
  <c r="N82" i="14" s="1"/>
  <c r="J82" i="14"/>
  <c r="K82" i="14" s="1"/>
  <c r="H82" i="14"/>
  <c r="I82" i="14" s="1"/>
  <c r="G82" i="14"/>
  <c r="R81" i="14"/>
  <c r="L81" i="14"/>
  <c r="J81" i="14"/>
  <c r="K81" i="14" s="1"/>
  <c r="H81" i="14"/>
  <c r="G81" i="14"/>
  <c r="R80" i="14"/>
  <c r="L80" i="14"/>
  <c r="J80" i="14"/>
  <c r="K80" i="14" s="1"/>
  <c r="M80" i="14" s="1"/>
  <c r="H80" i="14"/>
  <c r="I80" i="14" s="1"/>
  <c r="G80" i="14"/>
  <c r="R79" i="14"/>
  <c r="L79" i="14"/>
  <c r="J79" i="14"/>
  <c r="K79" i="14" s="1"/>
  <c r="H79" i="14"/>
  <c r="I79" i="14" s="1"/>
  <c r="G79" i="14"/>
  <c r="R78" i="14"/>
  <c r="L78" i="14"/>
  <c r="J78" i="14"/>
  <c r="K78" i="14" s="1"/>
  <c r="H78" i="14"/>
  <c r="I78" i="14" s="1"/>
  <c r="G78" i="14"/>
  <c r="R77" i="14"/>
  <c r="L77" i="14"/>
  <c r="J77" i="14"/>
  <c r="K77" i="14" s="1"/>
  <c r="M77" i="14" s="1"/>
  <c r="H77" i="14"/>
  <c r="G77" i="14"/>
  <c r="R76" i="14"/>
  <c r="L76" i="14"/>
  <c r="J76" i="14"/>
  <c r="K76" i="14" s="1"/>
  <c r="H76" i="14"/>
  <c r="G76" i="14"/>
  <c r="R75" i="14"/>
  <c r="L75" i="14"/>
  <c r="J75" i="14"/>
  <c r="K75" i="14" s="1"/>
  <c r="H75" i="14"/>
  <c r="I75" i="14" s="1"/>
  <c r="G75" i="14"/>
  <c r="R74" i="14"/>
  <c r="L74" i="14"/>
  <c r="J74" i="14"/>
  <c r="K74" i="14" s="1"/>
  <c r="H74" i="14"/>
  <c r="I74" i="14" s="1"/>
  <c r="G74" i="14"/>
  <c r="R73" i="14"/>
  <c r="L73" i="14"/>
  <c r="J73" i="14"/>
  <c r="K73" i="14" s="1"/>
  <c r="H73" i="14"/>
  <c r="G73" i="14"/>
  <c r="R72" i="14"/>
  <c r="L72" i="14"/>
  <c r="J72" i="14"/>
  <c r="K72" i="14" s="1"/>
  <c r="M72" i="14" s="1"/>
  <c r="H72" i="14"/>
  <c r="G72" i="14"/>
  <c r="R71" i="14"/>
  <c r="L71" i="14"/>
  <c r="J71" i="14"/>
  <c r="K71" i="14" s="1"/>
  <c r="H71" i="14"/>
  <c r="I71" i="14" s="1"/>
  <c r="G71" i="14"/>
  <c r="R70" i="14"/>
  <c r="L70" i="14"/>
  <c r="J70" i="14"/>
  <c r="K70" i="14" s="1"/>
  <c r="H70" i="14"/>
  <c r="I70" i="14" s="1"/>
  <c r="G70" i="14"/>
  <c r="R69" i="14"/>
  <c r="L69" i="14"/>
  <c r="J69" i="14"/>
  <c r="K69" i="14" s="1"/>
  <c r="H69" i="14"/>
  <c r="G69" i="14"/>
  <c r="R68" i="14"/>
  <c r="L68" i="14"/>
  <c r="J68" i="14"/>
  <c r="K68" i="14" s="1"/>
  <c r="H68" i="14"/>
  <c r="G68" i="14"/>
  <c r="R67" i="14"/>
  <c r="L67" i="14"/>
  <c r="J67" i="14"/>
  <c r="K67" i="14" s="1"/>
  <c r="H67" i="14"/>
  <c r="I67" i="14" s="1"/>
  <c r="G67" i="14"/>
  <c r="R66" i="14"/>
  <c r="L66" i="14"/>
  <c r="J66" i="14"/>
  <c r="K66" i="14" s="1"/>
  <c r="H66" i="14"/>
  <c r="I66" i="14" s="1"/>
  <c r="G66" i="14"/>
  <c r="R65" i="14"/>
  <c r="L65" i="14"/>
  <c r="J65" i="14"/>
  <c r="K65" i="14" s="1"/>
  <c r="M65" i="14" s="1"/>
  <c r="H65" i="14"/>
  <c r="N65" i="14" s="1"/>
  <c r="G65" i="14"/>
  <c r="R64" i="14"/>
  <c r="L64" i="14"/>
  <c r="J64" i="14"/>
  <c r="K64" i="14" s="1"/>
  <c r="H64" i="14"/>
  <c r="G64" i="14"/>
  <c r="R63" i="14"/>
  <c r="L63" i="14"/>
  <c r="J63" i="14"/>
  <c r="K63" i="14" s="1"/>
  <c r="M63" i="14" s="1"/>
  <c r="H63" i="14"/>
  <c r="I63" i="14" s="1"/>
  <c r="G63" i="14"/>
  <c r="R62" i="14"/>
  <c r="L62" i="14"/>
  <c r="J62" i="14"/>
  <c r="K62" i="14" s="1"/>
  <c r="M62" i="14" s="1"/>
  <c r="H62" i="14"/>
  <c r="I62" i="14" s="1"/>
  <c r="G62" i="14"/>
  <c r="R61" i="14"/>
  <c r="L61" i="14"/>
  <c r="J61" i="14"/>
  <c r="K61" i="14" s="1"/>
  <c r="H61" i="14"/>
  <c r="G61" i="14"/>
  <c r="R60" i="14"/>
  <c r="L60" i="14"/>
  <c r="J60" i="14"/>
  <c r="K60" i="14" s="1"/>
  <c r="M60" i="14" s="1"/>
  <c r="H60" i="14"/>
  <c r="G60" i="14"/>
  <c r="R59" i="14"/>
  <c r="L59" i="14"/>
  <c r="J59" i="14"/>
  <c r="K59" i="14" s="1"/>
  <c r="M59" i="14" s="1"/>
  <c r="H59" i="14"/>
  <c r="I59" i="14" s="1"/>
  <c r="G59" i="14"/>
  <c r="R58" i="14"/>
  <c r="L58" i="14"/>
  <c r="J58" i="14"/>
  <c r="K58" i="14" s="1"/>
  <c r="H58" i="14"/>
  <c r="I58" i="14" s="1"/>
  <c r="G58" i="14"/>
  <c r="R57" i="14"/>
  <c r="L57" i="14"/>
  <c r="J57" i="14"/>
  <c r="K57" i="14" s="1"/>
  <c r="H57" i="14"/>
  <c r="G57" i="14"/>
  <c r="R56" i="14"/>
  <c r="L56" i="14"/>
  <c r="J56" i="14"/>
  <c r="K56" i="14" s="1"/>
  <c r="M56" i="14" s="1"/>
  <c r="H56" i="14"/>
  <c r="G56" i="14"/>
  <c r="R55" i="14"/>
  <c r="L55" i="14"/>
  <c r="J55" i="14"/>
  <c r="K55" i="14" s="1"/>
  <c r="H55" i="14"/>
  <c r="I55" i="14" s="1"/>
  <c r="G55" i="14"/>
  <c r="R54" i="14"/>
  <c r="L54" i="14"/>
  <c r="J54" i="14"/>
  <c r="K54" i="14" s="1"/>
  <c r="M54" i="14" s="1"/>
  <c r="H54" i="14"/>
  <c r="I54" i="14" s="1"/>
  <c r="G54" i="14"/>
  <c r="R53" i="14"/>
  <c r="L53" i="14"/>
  <c r="J53" i="14"/>
  <c r="K53" i="14" s="1"/>
  <c r="M53" i="14" s="1"/>
  <c r="H53" i="14"/>
  <c r="N53" i="14" s="1"/>
  <c r="G53" i="14"/>
  <c r="R52" i="14"/>
  <c r="L52" i="14"/>
  <c r="J52" i="14"/>
  <c r="K52" i="14" s="1"/>
  <c r="H52" i="14"/>
  <c r="G52" i="14"/>
  <c r="R51" i="14"/>
  <c r="L51" i="14"/>
  <c r="N51" i="14" s="1"/>
  <c r="J51" i="14"/>
  <c r="K51" i="14" s="1"/>
  <c r="H51" i="14"/>
  <c r="I51" i="14" s="1"/>
  <c r="G51" i="14"/>
  <c r="R50" i="14"/>
  <c r="L50" i="14"/>
  <c r="J50" i="14"/>
  <c r="K50" i="14" s="1"/>
  <c r="H50" i="14"/>
  <c r="I50" i="14" s="1"/>
  <c r="G50" i="14"/>
  <c r="R49" i="14"/>
  <c r="L49" i="14"/>
  <c r="J49" i="14"/>
  <c r="K49" i="14" s="1"/>
  <c r="H49" i="14"/>
  <c r="G49" i="14"/>
  <c r="R48" i="14"/>
  <c r="L48" i="14"/>
  <c r="J48" i="14"/>
  <c r="K48" i="14" s="1"/>
  <c r="H48" i="14"/>
  <c r="G48" i="14"/>
  <c r="R47" i="14"/>
  <c r="L47" i="14"/>
  <c r="J47" i="14"/>
  <c r="K47" i="14" s="1"/>
  <c r="M47" i="14" s="1"/>
  <c r="H47" i="14"/>
  <c r="I47" i="14" s="1"/>
  <c r="G47" i="14"/>
  <c r="R46" i="14"/>
  <c r="L46" i="14"/>
  <c r="J46" i="14"/>
  <c r="K46" i="14" s="1"/>
  <c r="H46" i="14"/>
  <c r="I46" i="14" s="1"/>
  <c r="G46" i="14"/>
  <c r="R45" i="14"/>
  <c r="L45" i="14"/>
  <c r="J45" i="14"/>
  <c r="K45" i="14" s="1"/>
  <c r="H45" i="14"/>
  <c r="G45" i="14"/>
  <c r="R44" i="14"/>
  <c r="L44" i="14"/>
  <c r="J44" i="14"/>
  <c r="K44" i="14" s="1"/>
  <c r="H44" i="14"/>
  <c r="G44" i="14"/>
  <c r="R43" i="14"/>
  <c r="L43" i="14"/>
  <c r="J43" i="14"/>
  <c r="K43" i="14" s="1"/>
  <c r="H43" i="14"/>
  <c r="I43" i="14" s="1"/>
  <c r="G43" i="14"/>
  <c r="R42" i="14"/>
  <c r="L42" i="14"/>
  <c r="J42" i="14"/>
  <c r="K42" i="14" s="1"/>
  <c r="H42" i="14"/>
  <c r="I42" i="14" s="1"/>
  <c r="G42" i="14"/>
  <c r="V41" i="14"/>
  <c r="U41" i="14"/>
  <c r="T41" i="14"/>
  <c r="S41" i="14"/>
  <c r="R41" i="14"/>
  <c r="Q41" i="14"/>
  <c r="P41" i="14"/>
  <c r="C27" i="14"/>
  <c r="AB6" i="14"/>
  <c r="AB2" i="14" s="1"/>
  <c r="R6" i="14"/>
  <c r="AQ24" i="14" s="1"/>
  <c r="AF5" i="14"/>
  <c r="AF6" i="14" s="1"/>
  <c r="AC5" i="14"/>
  <c r="AC6" i="14" s="1"/>
  <c r="Z5" i="14"/>
  <c r="Y5" i="14"/>
  <c r="X5" i="14"/>
  <c r="R5" i="14"/>
  <c r="AQ15" i="14" s="1"/>
  <c r="A615" i="1" s="1"/>
  <c r="C4" i="14"/>
  <c r="O1" i="14"/>
  <c r="P89" i="14" s="1"/>
  <c r="L1" i="14"/>
  <c r="H1" i="14"/>
  <c r="W5" i="14" s="1"/>
  <c r="B1" i="14"/>
  <c r="C604" i="1"/>
  <c r="E604" i="1"/>
  <c r="E594" i="1"/>
  <c r="B56" i="3"/>
  <c r="C56" i="3"/>
  <c r="E56" i="3"/>
  <c r="M56" i="3"/>
  <c r="R91" i="13"/>
  <c r="L91" i="13"/>
  <c r="J91" i="13"/>
  <c r="K91" i="13" s="1"/>
  <c r="H91" i="13"/>
  <c r="I91" i="13" s="1"/>
  <c r="G91" i="13"/>
  <c r="R90" i="13"/>
  <c r="L90" i="13"/>
  <c r="J90" i="13"/>
  <c r="K90" i="13" s="1"/>
  <c r="H90" i="13"/>
  <c r="I90" i="13" s="1"/>
  <c r="G90" i="13"/>
  <c r="R89" i="13"/>
  <c r="L89" i="13"/>
  <c r="J89" i="13"/>
  <c r="K89" i="13" s="1"/>
  <c r="H89" i="13"/>
  <c r="G89" i="13"/>
  <c r="R88" i="13"/>
  <c r="L88" i="13"/>
  <c r="J88" i="13"/>
  <c r="K88" i="13" s="1"/>
  <c r="H88" i="13"/>
  <c r="G88" i="13"/>
  <c r="R87" i="13"/>
  <c r="L87" i="13"/>
  <c r="J87" i="13"/>
  <c r="K87" i="13" s="1"/>
  <c r="H87" i="13"/>
  <c r="I87" i="13" s="1"/>
  <c r="G87" i="13"/>
  <c r="R86" i="13"/>
  <c r="L86" i="13"/>
  <c r="J86" i="13"/>
  <c r="K86" i="13" s="1"/>
  <c r="H86" i="13"/>
  <c r="I86" i="13" s="1"/>
  <c r="G86" i="13"/>
  <c r="R85" i="13"/>
  <c r="L85" i="13"/>
  <c r="J85" i="13"/>
  <c r="K85" i="13" s="1"/>
  <c r="H85" i="13"/>
  <c r="G85" i="13"/>
  <c r="R84" i="13"/>
  <c r="L84" i="13"/>
  <c r="J84" i="13"/>
  <c r="K84" i="13" s="1"/>
  <c r="H84" i="13"/>
  <c r="G84" i="13"/>
  <c r="R83" i="13"/>
  <c r="L83" i="13"/>
  <c r="J83" i="13"/>
  <c r="K83" i="13" s="1"/>
  <c r="H83" i="13"/>
  <c r="I83" i="13" s="1"/>
  <c r="G83" i="13"/>
  <c r="R82" i="13"/>
  <c r="L82" i="13"/>
  <c r="J82" i="13"/>
  <c r="K82" i="13" s="1"/>
  <c r="H82" i="13"/>
  <c r="I82" i="13" s="1"/>
  <c r="G82" i="13"/>
  <c r="R81" i="13"/>
  <c r="L81" i="13"/>
  <c r="J81" i="13"/>
  <c r="K81" i="13" s="1"/>
  <c r="H81" i="13"/>
  <c r="G81" i="13"/>
  <c r="R80" i="13"/>
  <c r="L80" i="13"/>
  <c r="J80" i="13"/>
  <c r="K80" i="13" s="1"/>
  <c r="H80" i="13"/>
  <c r="G80" i="13"/>
  <c r="R79" i="13"/>
  <c r="L79" i="13"/>
  <c r="J79" i="13"/>
  <c r="K79" i="13" s="1"/>
  <c r="H79" i="13"/>
  <c r="I79" i="13" s="1"/>
  <c r="G79" i="13"/>
  <c r="R78" i="13"/>
  <c r="L78" i="13"/>
  <c r="J78" i="13"/>
  <c r="K78" i="13" s="1"/>
  <c r="H78" i="13"/>
  <c r="I78" i="13" s="1"/>
  <c r="G78" i="13"/>
  <c r="R77" i="13"/>
  <c r="L77" i="13"/>
  <c r="J77" i="13"/>
  <c r="K77" i="13" s="1"/>
  <c r="H77" i="13"/>
  <c r="G77" i="13"/>
  <c r="R76" i="13"/>
  <c r="L76" i="13"/>
  <c r="J76" i="13"/>
  <c r="K76" i="13" s="1"/>
  <c r="H76" i="13"/>
  <c r="G76" i="13"/>
  <c r="R75" i="13"/>
  <c r="L75" i="13"/>
  <c r="J75" i="13"/>
  <c r="K75" i="13" s="1"/>
  <c r="H75" i="13"/>
  <c r="I75" i="13" s="1"/>
  <c r="G75" i="13"/>
  <c r="R74" i="13"/>
  <c r="L74" i="13"/>
  <c r="J74" i="13"/>
  <c r="K74" i="13" s="1"/>
  <c r="H74" i="13"/>
  <c r="I74" i="13" s="1"/>
  <c r="G74" i="13"/>
  <c r="R73" i="13"/>
  <c r="L73" i="13"/>
  <c r="J73" i="13"/>
  <c r="K73" i="13" s="1"/>
  <c r="H73" i="13"/>
  <c r="G73" i="13"/>
  <c r="R72" i="13"/>
  <c r="L72" i="13"/>
  <c r="J72" i="13"/>
  <c r="K72" i="13" s="1"/>
  <c r="H72" i="13"/>
  <c r="G72" i="13"/>
  <c r="R71" i="13"/>
  <c r="L71" i="13"/>
  <c r="J71" i="13"/>
  <c r="K71" i="13" s="1"/>
  <c r="H71" i="13"/>
  <c r="I71" i="13" s="1"/>
  <c r="G71" i="13"/>
  <c r="R70" i="13"/>
  <c r="L70" i="13"/>
  <c r="J70" i="13"/>
  <c r="K70" i="13" s="1"/>
  <c r="M70" i="13" s="1"/>
  <c r="H70" i="13"/>
  <c r="I70" i="13" s="1"/>
  <c r="G70" i="13"/>
  <c r="R69" i="13"/>
  <c r="L69" i="13"/>
  <c r="J69" i="13"/>
  <c r="K69" i="13" s="1"/>
  <c r="H69" i="13"/>
  <c r="I69" i="13" s="1"/>
  <c r="G69" i="13"/>
  <c r="R68" i="13"/>
  <c r="L68" i="13"/>
  <c r="J68" i="13"/>
  <c r="K68" i="13" s="1"/>
  <c r="H68" i="13"/>
  <c r="G68" i="13"/>
  <c r="R67" i="13"/>
  <c r="L67" i="13"/>
  <c r="J67" i="13"/>
  <c r="K67" i="13" s="1"/>
  <c r="H67" i="13"/>
  <c r="I67" i="13" s="1"/>
  <c r="G67" i="13"/>
  <c r="R66" i="13"/>
  <c r="L66" i="13"/>
  <c r="J66" i="13"/>
  <c r="K66" i="13" s="1"/>
  <c r="H66" i="13"/>
  <c r="I66" i="13" s="1"/>
  <c r="G66" i="13"/>
  <c r="R65" i="13"/>
  <c r="L65" i="13"/>
  <c r="J65" i="13"/>
  <c r="K65" i="13" s="1"/>
  <c r="H65" i="13"/>
  <c r="I65" i="13" s="1"/>
  <c r="G65" i="13"/>
  <c r="R64" i="13"/>
  <c r="L64" i="13"/>
  <c r="J64" i="13"/>
  <c r="K64" i="13" s="1"/>
  <c r="H64" i="13"/>
  <c r="G64" i="13"/>
  <c r="R63" i="13"/>
  <c r="L63" i="13"/>
  <c r="J63" i="13"/>
  <c r="K63" i="13" s="1"/>
  <c r="H63" i="13"/>
  <c r="I63" i="13" s="1"/>
  <c r="G63" i="13"/>
  <c r="R62" i="13"/>
  <c r="L62" i="13"/>
  <c r="N62" i="13" s="1"/>
  <c r="J62" i="13"/>
  <c r="K62" i="13" s="1"/>
  <c r="H62" i="13"/>
  <c r="I62" i="13" s="1"/>
  <c r="G62" i="13"/>
  <c r="R61" i="13"/>
  <c r="L61" i="13"/>
  <c r="J61" i="13"/>
  <c r="K61" i="13" s="1"/>
  <c r="H61" i="13"/>
  <c r="I61" i="13" s="1"/>
  <c r="G61" i="13"/>
  <c r="R60" i="13"/>
  <c r="L60" i="13"/>
  <c r="J60" i="13"/>
  <c r="K60" i="13" s="1"/>
  <c r="H60" i="13"/>
  <c r="G60" i="13"/>
  <c r="R59" i="13"/>
  <c r="L59" i="13"/>
  <c r="J59" i="13"/>
  <c r="K59" i="13" s="1"/>
  <c r="H59" i="13"/>
  <c r="I59" i="13" s="1"/>
  <c r="G59" i="13"/>
  <c r="R58" i="13"/>
  <c r="L58" i="13"/>
  <c r="J58" i="13"/>
  <c r="K58" i="13" s="1"/>
  <c r="M58" i="13" s="1"/>
  <c r="H58" i="13"/>
  <c r="I58" i="13" s="1"/>
  <c r="G58" i="13"/>
  <c r="R57" i="13"/>
  <c r="L57" i="13"/>
  <c r="J57" i="13"/>
  <c r="K57" i="13" s="1"/>
  <c r="H57" i="13"/>
  <c r="I57" i="13" s="1"/>
  <c r="G57" i="13"/>
  <c r="R56" i="13"/>
  <c r="L56" i="13"/>
  <c r="J56" i="13"/>
  <c r="K56" i="13" s="1"/>
  <c r="H56" i="13"/>
  <c r="G56" i="13"/>
  <c r="R55" i="13"/>
  <c r="L55" i="13"/>
  <c r="J55" i="13"/>
  <c r="K55" i="13" s="1"/>
  <c r="H55" i="13"/>
  <c r="I55" i="13" s="1"/>
  <c r="G55" i="13"/>
  <c r="R54" i="13"/>
  <c r="L54" i="13"/>
  <c r="J54" i="13"/>
  <c r="K54" i="13" s="1"/>
  <c r="H54" i="13"/>
  <c r="I54" i="13" s="1"/>
  <c r="G54" i="13"/>
  <c r="R53" i="13"/>
  <c r="L53" i="13"/>
  <c r="J53" i="13"/>
  <c r="K53" i="13" s="1"/>
  <c r="H53" i="13"/>
  <c r="I53" i="13" s="1"/>
  <c r="G53" i="13"/>
  <c r="R52" i="13"/>
  <c r="L52" i="13"/>
  <c r="J52" i="13"/>
  <c r="K52" i="13" s="1"/>
  <c r="H52" i="13"/>
  <c r="G52" i="13"/>
  <c r="R51" i="13"/>
  <c r="L51" i="13"/>
  <c r="J51" i="13"/>
  <c r="K51" i="13" s="1"/>
  <c r="H51" i="13"/>
  <c r="I51" i="13" s="1"/>
  <c r="G51" i="13"/>
  <c r="R50" i="13"/>
  <c r="L50" i="13"/>
  <c r="J50" i="13"/>
  <c r="K50" i="13" s="1"/>
  <c r="H50" i="13"/>
  <c r="I50" i="13" s="1"/>
  <c r="G50" i="13"/>
  <c r="R49" i="13"/>
  <c r="L49" i="13"/>
  <c r="J49" i="13"/>
  <c r="K49" i="13" s="1"/>
  <c r="H49" i="13"/>
  <c r="I49" i="13" s="1"/>
  <c r="G49" i="13"/>
  <c r="R48" i="13"/>
  <c r="L48" i="13"/>
  <c r="J48" i="13"/>
  <c r="K48" i="13" s="1"/>
  <c r="H48" i="13"/>
  <c r="G48" i="13"/>
  <c r="R47" i="13"/>
  <c r="L47" i="13"/>
  <c r="J47" i="13"/>
  <c r="K47" i="13" s="1"/>
  <c r="H47" i="13"/>
  <c r="I47" i="13" s="1"/>
  <c r="G47" i="13"/>
  <c r="R46" i="13"/>
  <c r="L46" i="13"/>
  <c r="J46" i="13"/>
  <c r="K46" i="13" s="1"/>
  <c r="H46" i="13"/>
  <c r="I46" i="13" s="1"/>
  <c r="G46" i="13"/>
  <c r="R45" i="13"/>
  <c r="L45" i="13"/>
  <c r="J45" i="13"/>
  <c r="K45" i="13" s="1"/>
  <c r="H45" i="13"/>
  <c r="I45" i="13" s="1"/>
  <c r="G45" i="13"/>
  <c r="R44" i="13"/>
  <c r="L44" i="13"/>
  <c r="J44" i="13"/>
  <c r="K44" i="13" s="1"/>
  <c r="H44" i="13"/>
  <c r="G44" i="13"/>
  <c r="R43" i="13"/>
  <c r="L43" i="13"/>
  <c r="J43" i="13"/>
  <c r="K43" i="13" s="1"/>
  <c r="H43" i="13"/>
  <c r="I43" i="13" s="1"/>
  <c r="G43" i="13"/>
  <c r="R42" i="13"/>
  <c r="L42" i="13"/>
  <c r="J42" i="13"/>
  <c r="K42" i="13" s="1"/>
  <c r="M42" i="13" s="1"/>
  <c r="H42" i="13"/>
  <c r="I42" i="13" s="1"/>
  <c r="G42" i="13"/>
  <c r="V41" i="13"/>
  <c r="U41" i="13"/>
  <c r="T41" i="13"/>
  <c r="S41" i="13"/>
  <c r="R41" i="13"/>
  <c r="Q41" i="13"/>
  <c r="P41" i="13"/>
  <c r="C27" i="13"/>
  <c r="AB6" i="13"/>
  <c r="AB2" i="13" s="1"/>
  <c r="R6" i="13"/>
  <c r="AF5" i="13"/>
  <c r="AC5" i="13"/>
  <c r="AC6" i="13" s="1"/>
  <c r="Z5" i="13"/>
  <c r="I56" i="3" s="1"/>
  <c r="Y5" i="13"/>
  <c r="H56" i="3" s="1"/>
  <c r="X5" i="13"/>
  <c r="G56" i="3" s="1"/>
  <c r="R5" i="13"/>
  <c r="A56" i="3" s="1"/>
  <c r="C4" i="13"/>
  <c r="O1" i="13"/>
  <c r="L1" i="13"/>
  <c r="AE5" i="13" s="1"/>
  <c r="H1" i="13"/>
  <c r="W5" i="13" s="1"/>
  <c r="B1" i="13"/>
  <c r="B55" i="3"/>
  <c r="C55" i="3"/>
  <c r="E55" i="3"/>
  <c r="M55" i="3"/>
  <c r="C593" i="1"/>
  <c r="E593" i="1"/>
  <c r="E583" i="1"/>
  <c r="C582" i="1"/>
  <c r="E582" i="1"/>
  <c r="E572" i="1"/>
  <c r="R91" i="12"/>
  <c r="L91" i="12"/>
  <c r="J91" i="12"/>
  <c r="K91" i="12" s="1"/>
  <c r="H91" i="12"/>
  <c r="I91" i="12" s="1"/>
  <c r="G91" i="12"/>
  <c r="R90" i="12"/>
  <c r="L90" i="12"/>
  <c r="J90" i="12"/>
  <c r="K90" i="12" s="1"/>
  <c r="H90" i="12"/>
  <c r="I90" i="12" s="1"/>
  <c r="G90" i="12"/>
  <c r="R89" i="12"/>
  <c r="L89" i="12"/>
  <c r="J89" i="12"/>
  <c r="K89" i="12" s="1"/>
  <c r="H89" i="12"/>
  <c r="I89" i="12" s="1"/>
  <c r="G89" i="12"/>
  <c r="R88" i="12"/>
  <c r="L88" i="12"/>
  <c r="J88" i="12"/>
  <c r="K88" i="12" s="1"/>
  <c r="H88" i="12"/>
  <c r="G88" i="12"/>
  <c r="R87" i="12"/>
  <c r="L87" i="12"/>
  <c r="J87" i="12"/>
  <c r="K87" i="12" s="1"/>
  <c r="H87" i="12"/>
  <c r="I87" i="12" s="1"/>
  <c r="G87" i="12"/>
  <c r="R86" i="12"/>
  <c r="L86" i="12"/>
  <c r="J86" i="12"/>
  <c r="K86" i="12" s="1"/>
  <c r="M86" i="12" s="1"/>
  <c r="H86" i="12"/>
  <c r="G86" i="12"/>
  <c r="R85" i="12"/>
  <c r="L85" i="12"/>
  <c r="J85" i="12"/>
  <c r="K85" i="12" s="1"/>
  <c r="H85" i="12"/>
  <c r="I85" i="12" s="1"/>
  <c r="G85" i="12"/>
  <c r="R84" i="12"/>
  <c r="L84" i="12"/>
  <c r="J84" i="12"/>
  <c r="K84" i="12" s="1"/>
  <c r="H84" i="12"/>
  <c r="G84" i="12"/>
  <c r="R83" i="12"/>
  <c r="L83" i="12"/>
  <c r="K83" i="12"/>
  <c r="M83" i="12" s="1"/>
  <c r="J83" i="12"/>
  <c r="H83" i="12"/>
  <c r="I83" i="12" s="1"/>
  <c r="G83" i="12"/>
  <c r="R82" i="12"/>
  <c r="L82" i="12"/>
  <c r="J82" i="12"/>
  <c r="K82" i="12" s="1"/>
  <c r="H82" i="12"/>
  <c r="I82" i="12" s="1"/>
  <c r="G82" i="12"/>
  <c r="R81" i="12"/>
  <c r="L81" i="12"/>
  <c r="J81" i="12"/>
  <c r="K81" i="12" s="1"/>
  <c r="H81" i="12"/>
  <c r="I81" i="12" s="1"/>
  <c r="G81" i="12"/>
  <c r="R80" i="12"/>
  <c r="L80" i="12"/>
  <c r="J80" i="12"/>
  <c r="K80" i="12" s="1"/>
  <c r="H80" i="12"/>
  <c r="G80" i="12"/>
  <c r="R79" i="12"/>
  <c r="L79" i="12"/>
  <c r="J79" i="12"/>
  <c r="K79" i="12" s="1"/>
  <c r="M79" i="12" s="1"/>
  <c r="H79" i="12"/>
  <c r="I79" i="12" s="1"/>
  <c r="G79" i="12"/>
  <c r="R78" i="12"/>
  <c r="L78" i="12"/>
  <c r="J78" i="12"/>
  <c r="K78" i="12" s="1"/>
  <c r="M78" i="12" s="1"/>
  <c r="H78" i="12"/>
  <c r="I78" i="12" s="1"/>
  <c r="G78" i="12"/>
  <c r="R77" i="12"/>
  <c r="L77" i="12"/>
  <c r="J77" i="12"/>
  <c r="K77" i="12" s="1"/>
  <c r="H77" i="12"/>
  <c r="I77" i="12" s="1"/>
  <c r="G77" i="12"/>
  <c r="R76" i="12"/>
  <c r="L76" i="12"/>
  <c r="J76" i="12"/>
  <c r="K76" i="12" s="1"/>
  <c r="H76" i="12"/>
  <c r="G76" i="12"/>
  <c r="R75" i="12"/>
  <c r="L75" i="12"/>
  <c r="J75" i="12"/>
  <c r="K75" i="12" s="1"/>
  <c r="H75" i="12"/>
  <c r="I75" i="12" s="1"/>
  <c r="G75" i="12"/>
  <c r="R74" i="12"/>
  <c r="L74" i="12"/>
  <c r="J74" i="12"/>
  <c r="K74" i="12" s="1"/>
  <c r="H74" i="12"/>
  <c r="I74" i="12" s="1"/>
  <c r="G74" i="12"/>
  <c r="R73" i="12"/>
  <c r="L73" i="12"/>
  <c r="J73" i="12"/>
  <c r="K73" i="12" s="1"/>
  <c r="H73" i="12"/>
  <c r="I73" i="12" s="1"/>
  <c r="G73" i="12"/>
  <c r="R72" i="12"/>
  <c r="L72" i="12"/>
  <c r="J72" i="12"/>
  <c r="K72" i="12" s="1"/>
  <c r="H72" i="12"/>
  <c r="G72" i="12"/>
  <c r="R71" i="12"/>
  <c r="L71" i="12"/>
  <c r="J71" i="12"/>
  <c r="K71" i="12" s="1"/>
  <c r="H71" i="12"/>
  <c r="I71" i="12" s="1"/>
  <c r="G71" i="12"/>
  <c r="R70" i="12"/>
  <c r="L70" i="12"/>
  <c r="J70" i="12"/>
  <c r="K70" i="12" s="1"/>
  <c r="H70" i="12"/>
  <c r="I70" i="12" s="1"/>
  <c r="G70" i="12"/>
  <c r="R69" i="12"/>
  <c r="L69" i="12"/>
  <c r="J69" i="12"/>
  <c r="K69" i="12" s="1"/>
  <c r="H69" i="12"/>
  <c r="I69" i="12" s="1"/>
  <c r="G69" i="12"/>
  <c r="R68" i="12"/>
  <c r="L68" i="12"/>
  <c r="J68" i="12"/>
  <c r="K68" i="12" s="1"/>
  <c r="H68" i="12"/>
  <c r="G68" i="12"/>
  <c r="R67" i="12"/>
  <c r="L67" i="12"/>
  <c r="J67" i="12"/>
  <c r="K67" i="12" s="1"/>
  <c r="H67" i="12"/>
  <c r="I67" i="12" s="1"/>
  <c r="G67" i="12"/>
  <c r="R66" i="12"/>
  <c r="L66" i="12"/>
  <c r="J66" i="12"/>
  <c r="K66" i="12" s="1"/>
  <c r="H66" i="12"/>
  <c r="I66" i="12" s="1"/>
  <c r="G66" i="12"/>
  <c r="R65" i="12"/>
  <c r="L65" i="12"/>
  <c r="J65" i="12"/>
  <c r="K65" i="12" s="1"/>
  <c r="H65" i="12"/>
  <c r="I65" i="12" s="1"/>
  <c r="G65" i="12"/>
  <c r="R64" i="12"/>
  <c r="L64" i="12"/>
  <c r="J64" i="12"/>
  <c r="K64" i="12" s="1"/>
  <c r="H64" i="12"/>
  <c r="G64" i="12"/>
  <c r="R63" i="12"/>
  <c r="L63" i="12"/>
  <c r="J63" i="12"/>
  <c r="K63" i="12" s="1"/>
  <c r="H63" i="12"/>
  <c r="I63" i="12" s="1"/>
  <c r="G63" i="12"/>
  <c r="R62" i="12"/>
  <c r="L62" i="12"/>
  <c r="J62" i="12"/>
  <c r="K62" i="12" s="1"/>
  <c r="H62" i="12"/>
  <c r="I62" i="12" s="1"/>
  <c r="G62" i="12"/>
  <c r="R61" i="12"/>
  <c r="L61" i="12"/>
  <c r="J61" i="12"/>
  <c r="K61" i="12" s="1"/>
  <c r="H61" i="12"/>
  <c r="G61" i="12"/>
  <c r="R60" i="12"/>
  <c r="L60" i="12"/>
  <c r="J60" i="12"/>
  <c r="K60" i="12" s="1"/>
  <c r="H60" i="12"/>
  <c r="G60" i="12"/>
  <c r="R59" i="12"/>
  <c r="L59" i="12"/>
  <c r="J59" i="12"/>
  <c r="K59" i="12" s="1"/>
  <c r="H59" i="12"/>
  <c r="I59" i="12" s="1"/>
  <c r="G59" i="12"/>
  <c r="R58" i="12"/>
  <c r="L58" i="12"/>
  <c r="J58" i="12"/>
  <c r="K58" i="12" s="1"/>
  <c r="H58" i="12"/>
  <c r="I58" i="12" s="1"/>
  <c r="G58" i="12"/>
  <c r="R57" i="12"/>
  <c r="L57" i="12"/>
  <c r="J57" i="12"/>
  <c r="K57" i="12" s="1"/>
  <c r="H57" i="12"/>
  <c r="G57" i="12"/>
  <c r="R56" i="12"/>
  <c r="L56" i="12"/>
  <c r="J56" i="12"/>
  <c r="K56" i="12" s="1"/>
  <c r="H56" i="12"/>
  <c r="G56" i="12"/>
  <c r="R55" i="12"/>
  <c r="L55" i="12"/>
  <c r="J55" i="12"/>
  <c r="K55" i="12" s="1"/>
  <c r="H55" i="12"/>
  <c r="I55" i="12" s="1"/>
  <c r="G55" i="12"/>
  <c r="R54" i="12"/>
  <c r="L54" i="12"/>
  <c r="J54" i="12"/>
  <c r="K54" i="12" s="1"/>
  <c r="H54" i="12"/>
  <c r="I54" i="12" s="1"/>
  <c r="G54" i="12"/>
  <c r="R53" i="12"/>
  <c r="L53" i="12"/>
  <c r="J53" i="12"/>
  <c r="K53" i="12" s="1"/>
  <c r="H53" i="12"/>
  <c r="G53" i="12"/>
  <c r="R52" i="12"/>
  <c r="L52" i="12"/>
  <c r="J52" i="12"/>
  <c r="K52" i="12" s="1"/>
  <c r="H52" i="12"/>
  <c r="G52" i="12"/>
  <c r="R51" i="12"/>
  <c r="L51" i="12"/>
  <c r="J51" i="12"/>
  <c r="K51" i="12" s="1"/>
  <c r="H51" i="12"/>
  <c r="I51" i="12" s="1"/>
  <c r="G51" i="12"/>
  <c r="R50" i="12"/>
  <c r="L50" i="12"/>
  <c r="J50" i="12"/>
  <c r="K50" i="12" s="1"/>
  <c r="H50" i="12"/>
  <c r="I50" i="12" s="1"/>
  <c r="G50" i="12"/>
  <c r="R49" i="12"/>
  <c r="L49" i="12"/>
  <c r="J49" i="12"/>
  <c r="K49" i="12" s="1"/>
  <c r="H49" i="12"/>
  <c r="G49" i="12"/>
  <c r="R48" i="12"/>
  <c r="L48" i="12"/>
  <c r="J48" i="12"/>
  <c r="K48" i="12" s="1"/>
  <c r="H48" i="12"/>
  <c r="G48" i="12"/>
  <c r="R47" i="12"/>
  <c r="L47" i="12"/>
  <c r="J47" i="12"/>
  <c r="K47" i="12" s="1"/>
  <c r="H47" i="12"/>
  <c r="I47" i="12" s="1"/>
  <c r="G47" i="12"/>
  <c r="R46" i="12"/>
  <c r="L46" i="12"/>
  <c r="J46" i="12"/>
  <c r="K46" i="12" s="1"/>
  <c r="H46" i="12"/>
  <c r="I46" i="12" s="1"/>
  <c r="G46" i="12"/>
  <c r="R45" i="12"/>
  <c r="L45" i="12"/>
  <c r="J45" i="12"/>
  <c r="K45" i="12" s="1"/>
  <c r="H45" i="12"/>
  <c r="G45" i="12"/>
  <c r="R44" i="12"/>
  <c r="L44" i="12"/>
  <c r="J44" i="12"/>
  <c r="K44" i="12" s="1"/>
  <c r="H44" i="12"/>
  <c r="G44" i="12"/>
  <c r="R43" i="12"/>
  <c r="L43" i="12"/>
  <c r="J43" i="12"/>
  <c r="K43" i="12" s="1"/>
  <c r="H43" i="12"/>
  <c r="I43" i="12" s="1"/>
  <c r="G43" i="12"/>
  <c r="R42" i="12"/>
  <c r="L42" i="12"/>
  <c r="J42" i="12"/>
  <c r="K42" i="12" s="1"/>
  <c r="M42" i="12" s="1"/>
  <c r="H42" i="12"/>
  <c r="I42" i="12" s="1"/>
  <c r="G42" i="12"/>
  <c r="V41" i="12"/>
  <c r="U41" i="12"/>
  <c r="T41" i="12"/>
  <c r="S41" i="12"/>
  <c r="R41" i="12"/>
  <c r="Q41" i="12"/>
  <c r="P41" i="12"/>
  <c r="C27" i="12"/>
  <c r="AB6" i="12"/>
  <c r="AB2" i="12" s="1"/>
  <c r="R6" i="12"/>
  <c r="AQ24" i="12" s="1"/>
  <c r="AF5" i="12"/>
  <c r="AF6" i="12" s="1"/>
  <c r="AC5" i="12"/>
  <c r="AC6" i="12" s="1"/>
  <c r="Z5" i="12"/>
  <c r="Y5" i="12"/>
  <c r="H55" i="3" s="1"/>
  <c r="X5" i="12"/>
  <c r="G55" i="3" s="1"/>
  <c r="R5" i="12"/>
  <c r="AQ5" i="12" s="1"/>
  <c r="A583" i="1" s="1"/>
  <c r="C4" i="12"/>
  <c r="O1" i="12"/>
  <c r="P89" i="12" s="1"/>
  <c r="L1" i="12"/>
  <c r="AE5" i="12" s="1"/>
  <c r="H1" i="12"/>
  <c r="W5" i="12" s="1"/>
  <c r="B1" i="12"/>
  <c r="B54" i="3"/>
  <c r="C54" i="3"/>
  <c r="E54" i="3"/>
  <c r="M54" i="3"/>
  <c r="H1" i="11"/>
  <c r="W5" i="11" s="1"/>
  <c r="F54" i="3" s="1"/>
  <c r="R91" i="11"/>
  <c r="L91" i="11"/>
  <c r="J91" i="11"/>
  <c r="K91" i="11" s="1"/>
  <c r="M91" i="11" s="1"/>
  <c r="H91" i="11"/>
  <c r="I91" i="11" s="1"/>
  <c r="G91" i="11"/>
  <c r="R90" i="11"/>
  <c r="L90" i="11"/>
  <c r="J90" i="11"/>
  <c r="K90" i="11" s="1"/>
  <c r="M90" i="11" s="1"/>
  <c r="H90" i="11"/>
  <c r="I90" i="11" s="1"/>
  <c r="G90" i="11"/>
  <c r="R89" i="11"/>
  <c r="L89" i="11"/>
  <c r="J89" i="11"/>
  <c r="K89" i="11" s="1"/>
  <c r="M89" i="11" s="1"/>
  <c r="H89" i="11"/>
  <c r="I89" i="11" s="1"/>
  <c r="G89" i="11"/>
  <c r="R88" i="11"/>
  <c r="L88" i="11"/>
  <c r="J88" i="11"/>
  <c r="K88" i="11" s="1"/>
  <c r="H88" i="11"/>
  <c r="G88" i="11"/>
  <c r="R87" i="11"/>
  <c r="L87" i="11"/>
  <c r="J87" i="11"/>
  <c r="K87" i="11" s="1"/>
  <c r="H87" i="11"/>
  <c r="I87" i="11" s="1"/>
  <c r="G87" i="11"/>
  <c r="R86" i="11"/>
  <c r="L86" i="11"/>
  <c r="J86" i="11"/>
  <c r="K86" i="11" s="1"/>
  <c r="H86" i="11"/>
  <c r="I86" i="11" s="1"/>
  <c r="G86" i="11"/>
  <c r="R85" i="11"/>
  <c r="L85" i="11"/>
  <c r="J85" i="11"/>
  <c r="K85" i="11" s="1"/>
  <c r="H85" i="11"/>
  <c r="I85" i="11" s="1"/>
  <c r="G85" i="11"/>
  <c r="R84" i="11"/>
  <c r="L84" i="11"/>
  <c r="J84" i="11"/>
  <c r="K84" i="11" s="1"/>
  <c r="H84" i="11"/>
  <c r="G84" i="11"/>
  <c r="R83" i="11"/>
  <c r="L83" i="11"/>
  <c r="J83" i="11"/>
  <c r="K83" i="11" s="1"/>
  <c r="H83" i="11"/>
  <c r="I83" i="11" s="1"/>
  <c r="G83" i="11"/>
  <c r="R82" i="11"/>
  <c r="L82" i="11"/>
  <c r="J82" i="11"/>
  <c r="K82" i="11" s="1"/>
  <c r="H82" i="11"/>
  <c r="G82" i="11"/>
  <c r="R81" i="11"/>
  <c r="L81" i="11"/>
  <c r="J81" i="11"/>
  <c r="K81" i="11" s="1"/>
  <c r="H81" i="11"/>
  <c r="I81" i="11" s="1"/>
  <c r="G81" i="11"/>
  <c r="R80" i="11"/>
  <c r="L80" i="11"/>
  <c r="J80" i="11"/>
  <c r="K80" i="11" s="1"/>
  <c r="H80" i="11"/>
  <c r="G80" i="11"/>
  <c r="R79" i="11"/>
  <c r="L79" i="11"/>
  <c r="J79" i="11"/>
  <c r="K79" i="11" s="1"/>
  <c r="H79" i="11"/>
  <c r="I79" i="11" s="1"/>
  <c r="G79" i="11"/>
  <c r="R78" i="11"/>
  <c r="L78" i="11"/>
  <c r="J78" i="11"/>
  <c r="K78" i="11" s="1"/>
  <c r="H78" i="11"/>
  <c r="G78" i="11"/>
  <c r="R77" i="11"/>
  <c r="L77" i="11"/>
  <c r="J77" i="11"/>
  <c r="K77" i="11" s="1"/>
  <c r="H77" i="11"/>
  <c r="I77" i="11" s="1"/>
  <c r="G77" i="11"/>
  <c r="R76" i="11"/>
  <c r="L76" i="11"/>
  <c r="J76" i="11"/>
  <c r="K76" i="11" s="1"/>
  <c r="H76" i="11"/>
  <c r="G76" i="11"/>
  <c r="R75" i="11"/>
  <c r="L75" i="11"/>
  <c r="J75" i="11"/>
  <c r="K75" i="11" s="1"/>
  <c r="H75" i="11"/>
  <c r="I75" i="11" s="1"/>
  <c r="G75" i="11"/>
  <c r="R74" i="11"/>
  <c r="L74" i="11"/>
  <c r="J74" i="11"/>
  <c r="K74" i="11" s="1"/>
  <c r="H74" i="11"/>
  <c r="G74" i="11"/>
  <c r="R73" i="11"/>
  <c r="L73" i="11"/>
  <c r="J73" i="11"/>
  <c r="K73" i="11" s="1"/>
  <c r="H73" i="11"/>
  <c r="I73" i="11" s="1"/>
  <c r="G73" i="11"/>
  <c r="R72" i="11"/>
  <c r="L72" i="11"/>
  <c r="J72" i="11"/>
  <c r="K72" i="11" s="1"/>
  <c r="H72" i="11"/>
  <c r="G72" i="11"/>
  <c r="R71" i="11"/>
  <c r="L71" i="11"/>
  <c r="J71" i="11"/>
  <c r="K71" i="11" s="1"/>
  <c r="H71" i="11"/>
  <c r="I71" i="11" s="1"/>
  <c r="G71" i="11"/>
  <c r="R70" i="11"/>
  <c r="L70" i="11"/>
  <c r="J70" i="11"/>
  <c r="K70" i="11" s="1"/>
  <c r="H70" i="11"/>
  <c r="G70" i="11"/>
  <c r="R69" i="11"/>
  <c r="L69" i="11"/>
  <c r="J69" i="11"/>
  <c r="K69" i="11" s="1"/>
  <c r="M69" i="11" s="1"/>
  <c r="H69" i="11"/>
  <c r="I69" i="11" s="1"/>
  <c r="G69" i="11"/>
  <c r="R68" i="11"/>
  <c r="L68" i="11"/>
  <c r="J68" i="11"/>
  <c r="K68" i="11" s="1"/>
  <c r="H68" i="11"/>
  <c r="G68" i="11"/>
  <c r="R67" i="11"/>
  <c r="L67" i="11"/>
  <c r="J67" i="11"/>
  <c r="K67" i="11" s="1"/>
  <c r="H67" i="11"/>
  <c r="I67" i="11" s="1"/>
  <c r="G67" i="11"/>
  <c r="R66" i="11"/>
  <c r="L66" i="11"/>
  <c r="J66" i="11"/>
  <c r="K66" i="11" s="1"/>
  <c r="H66" i="11"/>
  <c r="I66" i="11" s="1"/>
  <c r="G66" i="11"/>
  <c r="R65" i="11"/>
  <c r="L65" i="11"/>
  <c r="J65" i="11"/>
  <c r="K65" i="11" s="1"/>
  <c r="H65" i="11"/>
  <c r="I65" i="11" s="1"/>
  <c r="G65" i="11"/>
  <c r="R64" i="11"/>
  <c r="L64" i="11"/>
  <c r="J64" i="11"/>
  <c r="K64" i="11" s="1"/>
  <c r="H64" i="11"/>
  <c r="G64" i="11"/>
  <c r="R63" i="11"/>
  <c r="L63" i="11"/>
  <c r="J63" i="11"/>
  <c r="K63" i="11" s="1"/>
  <c r="M63" i="11" s="1"/>
  <c r="H63" i="11"/>
  <c r="I63" i="11" s="1"/>
  <c r="G63" i="11"/>
  <c r="R62" i="11"/>
  <c r="L62" i="11"/>
  <c r="J62" i="11"/>
  <c r="K62" i="11" s="1"/>
  <c r="H62" i="11"/>
  <c r="I62" i="11" s="1"/>
  <c r="G62" i="11"/>
  <c r="R61" i="11"/>
  <c r="L61" i="11"/>
  <c r="N61" i="11" s="1"/>
  <c r="J61" i="11"/>
  <c r="K61" i="11" s="1"/>
  <c r="H61" i="11"/>
  <c r="I61" i="11" s="1"/>
  <c r="G61" i="11"/>
  <c r="R60" i="11"/>
  <c r="L60" i="11"/>
  <c r="J60" i="11"/>
  <c r="K60" i="11" s="1"/>
  <c r="H60" i="11"/>
  <c r="G60" i="11"/>
  <c r="R59" i="11"/>
  <c r="L59" i="11"/>
  <c r="J59" i="11"/>
  <c r="K59" i="11" s="1"/>
  <c r="H59" i="11"/>
  <c r="I59" i="11" s="1"/>
  <c r="G59" i="11"/>
  <c r="R58" i="11"/>
  <c r="L58" i="11"/>
  <c r="J58" i="11"/>
  <c r="K58" i="11" s="1"/>
  <c r="H58" i="11"/>
  <c r="I58" i="11" s="1"/>
  <c r="G58" i="11"/>
  <c r="R57" i="11"/>
  <c r="L57" i="11"/>
  <c r="J57" i="11"/>
  <c r="K57" i="11" s="1"/>
  <c r="H57" i="11"/>
  <c r="I57" i="11" s="1"/>
  <c r="G57" i="11"/>
  <c r="R56" i="11"/>
  <c r="L56" i="11"/>
  <c r="J56" i="11"/>
  <c r="K56" i="11" s="1"/>
  <c r="H56" i="11"/>
  <c r="G56" i="11"/>
  <c r="R55" i="11"/>
  <c r="L55" i="11"/>
  <c r="J55" i="11"/>
  <c r="K55" i="11" s="1"/>
  <c r="H55" i="11"/>
  <c r="I55" i="11" s="1"/>
  <c r="G55" i="11"/>
  <c r="R54" i="11"/>
  <c r="L54" i="11"/>
  <c r="J54" i="11"/>
  <c r="K54" i="11" s="1"/>
  <c r="H54" i="11"/>
  <c r="I54" i="11" s="1"/>
  <c r="G54" i="11"/>
  <c r="R53" i="11"/>
  <c r="L53" i="11"/>
  <c r="J53" i="11"/>
  <c r="K53" i="11" s="1"/>
  <c r="H53" i="11"/>
  <c r="I53" i="11" s="1"/>
  <c r="G53" i="11"/>
  <c r="R52" i="11"/>
  <c r="L52" i="11"/>
  <c r="J52" i="11"/>
  <c r="K52" i="11" s="1"/>
  <c r="H52" i="11"/>
  <c r="G52" i="11"/>
  <c r="R51" i="11"/>
  <c r="L51" i="11"/>
  <c r="J51" i="11"/>
  <c r="K51" i="11" s="1"/>
  <c r="H51" i="11"/>
  <c r="I51" i="11" s="1"/>
  <c r="G51" i="11"/>
  <c r="R50" i="11"/>
  <c r="L50" i="11"/>
  <c r="J50" i="11"/>
  <c r="K50" i="11" s="1"/>
  <c r="H50" i="11"/>
  <c r="I50" i="11" s="1"/>
  <c r="G50" i="11"/>
  <c r="R49" i="11"/>
  <c r="L49" i="11"/>
  <c r="J49" i="11"/>
  <c r="K49" i="11" s="1"/>
  <c r="H49" i="11"/>
  <c r="G49" i="11"/>
  <c r="R48" i="11"/>
  <c r="L48" i="11"/>
  <c r="J48" i="11"/>
  <c r="K48" i="11" s="1"/>
  <c r="H48" i="11"/>
  <c r="G48" i="11"/>
  <c r="R47" i="11"/>
  <c r="L47" i="11"/>
  <c r="J47" i="11"/>
  <c r="K47" i="11" s="1"/>
  <c r="H47" i="11"/>
  <c r="I47" i="11" s="1"/>
  <c r="G47" i="11"/>
  <c r="R46" i="11"/>
  <c r="L46" i="11"/>
  <c r="J46" i="11"/>
  <c r="K46" i="11" s="1"/>
  <c r="H46" i="11"/>
  <c r="I46" i="11" s="1"/>
  <c r="G46" i="11"/>
  <c r="R45" i="11"/>
  <c r="L45" i="11"/>
  <c r="J45" i="11"/>
  <c r="K45" i="11" s="1"/>
  <c r="H45" i="11"/>
  <c r="G45" i="11"/>
  <c r="R44" i="11"/>
  <c r="L44" i="11"/>
  <c r="J44" i="11"/>
  <c r="K44" i="11" s="1"/>
  <c r="H44" i="11"/>
  <c r="G44" i="11"/>
  <c r="R43" i="11"/>
  <c r="L43" i="11"/>
  <c r="J43" i="11"/>
  <c r="K43" i="11" s="1"/>
  <c r="H43" i="11"/>
  <c r="I43" i="11" s="1"/>
  <c r="G43" i="11"/>
  <c r="R42" i="11"/>
  <c r="L42" i="11"/>
  <c r="J42" i="11"/>
  <c r="K42" i="11" s="1"/>
  <c r="M42" i="11" s="1"/>
  <c r="H42" i="11"/>
  <c r="I42" i="11" s="1"/>
  <c r="G42" i="11"/>
  <c r="V41" i="11"/>
  <c r="U41" i="11"/>
  <c r="T41" i="11"/>
  <c r="S41" i="11"/>
  <c r="R41" i="11"/>
  <c r="Q41" i="11"/>
  <c r="P41" i="11"/>
  <c r="C27" i="11"/>
  <c r="AB6" i="11"/>
  <c r="AB2" i="11" s="1"/>
  <c r="R6" i="11"/>
  <c r="AQ26" i="11" s="1"/>
  <c r="AF5" i="11"/>
  <c r="AF6" i="11" s="1"/>
  <c r="AC5" i="11"/>
  <c r="AC6" i="11" s="1"/>
  <c r="Z5" i="11"/>
  <c r="I54" i="3" s="1"/>
  <c r="Y5" i="11"/>
  <c r="H54" i="3" s="1"/>
  <c r="X5" i="11"/>
  <c r="G54" i="3" s="1"/>
  <c r="R5" i="11"/>
  <c r="AQ14" i="11" s="1"/>
  <c r="A581" i="1" s="1"/>
  <c r="C4" i="11"/>
  <c r="O1" i="11"/>
  <c r="P89" i="11" s="1"/>
  <c r="L1" i="11"/>
  <c r="B1" i="11"/>
  <c r="C571" i="1"/>
  <c r="E571" i="1"/>
  <c r="E561" i="1"/>
  <c r="C560" i="1"/>
  <c r="E560" i="1"/>
  <c r="E550" i="1"/>
  <c r="C549" i="1"/>
  <c r="E549" i="1"/>
  <c r="E539" i="1"/>
  <c r="C538" i="1"/>
  <c r="E538" i="1"/>
  <c r="E528" i="1"/>
  <c r="C527" i="1"/>
  <c r="E527" i="1"/>
  <c r="E517" i="1"/>
  <c r="B51" i="3"/>
  <c r="C51" i="3"/>
  <c r="E51" i="3"/>
  <c r="M51" i="3"/>
  <c r="B52" i="3"/>
  <c r="C52" i="3"/>
  <c r="E52" i="3"/>
  <c r="M52" i="3"/>
  <c r="B53" i="3"/>
  <c r="C53" i="3"/>
  <c r="E53" i="3"/>
  <c r="M53" i="3"/>
  <c r="B49" i="3"/>
  <c r="C49" i="3"/>
  <c r="E49" i="3"/>
  <c r="M49" i="3"/>
  <c r="R91" i="10"/>
  <c r="L91" i="10"/>
  <c r="J91" i="10"/>
  <c r="K91" i="10" s="1"/>
  <c r="M91" i="10" s="1"/>
  <c r="H91" i="10"/>
  <c r="I91" i="10" s="1"/>
  <c r="G91" i="10"/>
  <c r="R90" i="10"/>
  <c r="L90" i="10"/>
  <c r="J90" i="10"/>
  <c r="K90" i="10" s="1"/>
  <c r="H90" i="10"/>
  <c r="I90" i="10" s="1"/>
  <c r="G90" i="10"/>
  <c r="R89" i="10"/>
  <c r="L89" i="10"/>
  <c r="J89" i="10"/>
  <c r="K89" i="10" s="1"/>
  <c r="H89" i="10"/>
  <c r="I89" i="10" s="1"/>
  <c r="G89" i="10"/>
  <c r="R88" i="10"/>
  <c r="L88" i="10"/>
  <c r="J88" i="10"/>
  <c r="K88" i="10" s="1"/>
  <c r="H88" i="10"/>
  <c r="I88" i="10" s="1"/>
  <c r="G88" i="10"/>
  <c r="R87" i="10"/>
  <c r="L87" i="10"/>
  <c r="J87" i="10"/>
  <c r="K87" i="10" s="1"/>
  <c r="H87" i="10"/>
  <c r="I87" i="10" s="1"/>
  <c r="G87" i="10"/>
  <c r="R86" i="10"/>
  <c r="L86" i="10"/>
  <c r="J86" i="10"/>
  <c r="K86" i="10" s="1"/>
  <c r="H86" i="10"/>
  <c r="I86" i="10" s="1"/>
  <c r="G86" i="10"/>
  <c r="R85" i="10"/>
  <c r="L85" i="10"/>
  <c r="J85" i="10"/>
  <c r="K85" i="10" s="1"/>
  <c r="H85" i="10"/>
  <c r="I85" i="10" s="1"/>
  <c r="G85" i="10"/>
  <c r="R84" i="10"/>
  <c r="L84" i="10"/>
  <c r="J84" i="10"/>
  <c r="K84" i="10" s="1"/>
  <c r="H84" i="10"/>
  <c r="I84" i="10" s="1"/>
  <c r="G84" i="10"/>
  <c r="R83" i="10"/>
  <c r="L83" i="10"/>
  <c r="J83" i="10"/>
  <c r="K83" i="10" s="1"/>
  <c r="H83" i="10"/>
  <c r="I83" i="10" s="1"/>
  <c r="G83" i="10"/>
  <c r="R82" i="10"/>
  <c r="L82" i="10"/>
  <c r="J82" i="10"/>
  <c r="K82" i="10" s="1"/>
  <c r="H82" i="10"/>
  <c r="I82" i="10" s="1"/>
  <c r="G82" i="10"/>
  <c r="R81" i="10"/>
  <c r="L81" i="10"/>
  <c r="J81" i="10"/>
  <c r="K81" i="10" s="1"/>
  <c r="H81" i="10"/>
  <c r="I81" i="10" s="1"/>
  <c r="G81" i="10"/>
  <c r="R80" i="10"/>
  <c r="L80" i="10"/>
  <c r="J80" i="10"/>
  <c r="K80" i="10" s="1"/>
  <c r="H80" i="10"/>
  <c r="I80" i="10" s="1"/>
  <c r="G80" i="10"/>
  <c r="R79" i="10"/>
  <c r="L79" i="10"/>
  <c r="J79" i="10"/>
  <c r="K79" i="10" s="1"/>
  <c r="H79" i="10"/>
  <c r="I79" i="10" s="1"/>
  <c r="G79" i="10"/>
  <c r="R78" i="10"/>
  <c r="L78" i="10"/>
  <c r="J78" i="10"/>
  <c r="K78" i="10" s="1"/>
  <c r="H78" i="10"/>
  <c r="I78" i="10" s="1"/>
  <c r="G78" i="10"/>
  <c r="R77" i="10"/>
  <c r="L77" i="10"/>
  <c r="J77" i="10"/>
  <c r="K77" i="10" s="1"/>
  <c r="H77" i="10"/>
  <c r="I77" i="10" s="1"/>
  <c r="G77" i="10"/>
  <c r="R76" i="10"/>
  <c r="L76" i="10"/>
  <c r="J76" i="10"/>
  <c r="K76" i="10" s="1"/>
  <c r="H76" i="10"/>
  <c r="I76" i="10" s="1"/>
  <c r="G76" i="10"/>
  <c r="R75" i="10"/>
  <c r="L75" i="10"/>
  <c r="J75" i="10"/>
  <c r="K75" i="10" s="1"/>
  <c r="H75" i="10"/>
  <c r="I75" i="10" s="1"/>
  <c r="G75" i="10"/>
  <c r="R74" i="10"/>
  <c r="L74" i="10"/>
  <c r="J74" i="10"/>
  <c r="K74" i="10" s="1"/>
  <c r="H74" i="10"/>
  <c r="I74" i="10" s="1"/>
  <c r="G74" i="10"/>
  <c r="R73" i="10"/>
  <c r="L73" i="10"/>
  <c r="J73" i="10"/>
  <c r="K73" i="10" s="1"/>
  <c r="H73" i="10"/>
  <c r="I73" i="10" s="1"/>
  <c r="G73" i="10"/>
  <c r="R72" i="10"/>
  <c r="L72" i="10"/>
  <c r="J72" i="10"/>
  <c r="K72" i="10" s="1"/>
  <c r="H72" i="10"/>
  <c r="I72" i="10" s="1"/>
  <c r="G72" i="10"/>
  <c r="R71" i="10"/>
  <c r="L71" i="10"/>
  <c r="J71" i="10"/>
  <c r="K71" i="10" s="1"/>
  <c r="H71" i="10"/>
  <c r="I71" i="10" s="1"/>
  <c r="G71" i="10"/>
  <c r="R70" i="10"/>
  <c r="L70" i="10"/>
  <c r="J70" i="10"/>
  <c r="K70" i="10" s="1"/>
  <c r="H70" i="10"/>
  <c r="I70" i="10" s="1"/>
  <c r="G70" i="10"/>
  <c r="R69" i="10"/>
  <c r="L69" i="10"/>
  <c r="J69" i="10"/>
  <c r="K69" i="10" s="1"/>
  <c r="H69" i="10"/>
  <c r="I69" i="10" s="1"/>
  <c r="G69" i="10"/>
  <c r="R68" i="10"/>
  <c r="L68" i="10"/>
  <c r="J68" i="10"/>
  <c r="K68" i="10" s="1"/>
  <c r="H68" i="10"/>
  <c r="I68" i="10" s="1"/>
  <c r="G68" i="10"/>
  <c r="R67" i="10"/>
  <c r="L67" i="10"/>
  <c r="J67" i="10"/>
  <c r="K67" i="10" s="1"/>
  <c r="H67" i="10"/>
  <c r="I67" i="10" s="1"/>
  <c r="G67" i="10"/>
  <c r="R66" i="10"/>
  <c r="L66" i="10"/>
  <c r="J66" i="10"/>
  <c r="K66" i="10" s="1"/>
  <c r="H66" i="10"/>
  <c r="I66" i="10" s="1"/>
  <c r="G66" i="10"/>
  <c r="R65" i="10"/>
  <c r="L65" i="10"/>
  <c r="J65" i="10"/>
  <c r="K65" i="10" s="1"/>
  <c r="H65" i="10"/>
  <c r="I65" i="10" s="1"/>
  <c r="G65" i="10"/>
  <c r="R64" i="10"/>
  <c r="L64" i="10"/>
  <c r="J64" i="10"/>
  <c r="K64" i="10" s="1"/>
  <c r="H64" i="10"/>
  <c r="I64" i="10" s="1"/>
  <c r="G64" i="10"/>
  <c r="R63" i="10"/>
  <c r="L63" i="10"/>
  <c r="J63" i="10"/>
  <c r="K63" i="10" s="1"/>
  <c r="H63" i="10"/>
  <c r="I63" i="10" s="1"/>
  <c r="G63" i="10"/>
  <c r="R62" i="10"/>
  <c r="L62" i="10"/>
  <c r="J62" i="10"/>
  <c r="K62" i="10" s="1"/>
  <c r="H62" i="10"/>
  <c r="I62" i="10" s="1"/>
  <c r="G62" i="10"/>
  <c r="R61" i="10"/>
  <c r="L61" i="10"/>
  <c r="J61" i="10"/>
  <c r="K61" i="10" s="1"/>
  <c r="H61" i="10"/>
  <c r="I61" i="10" s="1"/>
  <c r="G61" i="10"/>
  <c r="R60" i="10"/>
  <c r="L60" i="10"/>
  <c r="J60" i="10"/>
  <c r="K60" i="10" s="1"/>
  <c r="H60" i="10"/>
  <c r="I60" i="10" s="1"/>
  <c r="G60" i="10"/>
  <c r="R59" i="10"/>
  <c r="L59" i="10"/>
  <c r="J59" i="10"/>
  <c r="K59" i="10" s="1"/>
  <c r="H59" i="10"/>
  <c r="I59" i="10" s="1"/>
  <c r="G59" i="10"/>
  <c r="R58" i="10"/>
  <c r="L58" i="10"/>
  <c r="J58" i="10"/>
  <c r="K58" i="10" s="1"/>
  <c r="H58" i="10"/>
  <c r="I58" i="10" s="1"/>
  <c r="G58" i="10"/>
  <c r="R57" i="10"/>
  <c r="L57" i="10"/>
  <c r="J57" i="10"/>
  <c r="K57" i="10" s="1"/>
  <c r="H57" i="10"/>
  <c r="I57" i="10" s="1"/>
  <c r="G57" i="10"/>
  <c r="R56" i="10"/>
  <c r="L56" i="10"/>
  <c r="J56" i="10"/>
  <c r="K56" i="10" s="1"/>
  <c r="H56" i="10"/>
  <c r="I56" i="10" s="1"/>
  <c r="G56" i="10"/>
  <c r="R55" i="10"/>
  <c r="L55" i="10"/>
  <c r="J55" i="10"/>
  <c r="K55" i="10" s="1"/>
  <c r="H55" i="10"/>
  <c r="I55" i="10" s="1"/>
  <c r="G55" i="10"/>
  <c r="R54" i="10"/>
  <c r="L54" i="10"/>
  <c r="J54" i="10"/>
  <c r="K54" i="10" s="1"/>
  <c r="H54" i="10"/>
  <c r="I54" i="10" s="1"/>
  <c r="G54" i="10"/>
  <c r="R53" i="10"/>
  <c r="L53" i="10"/>
  <c r="J53" i="10"/>
  <c r="K53" i="10" s="1"/>
  <c r="H53" i="10"/>
  <c r="I53" i="10" s="1"/>
  <c r="G53" i="10"/>
  <c r="R52" i="10"/>
  <c r="L52" i="10"/>
  <c r="J52" i="10"/>
  <c r="K52" i="10" s="1"/>
  <c r="H52" i="10"/>
  <c r="G52" i="10"/>
  <c r="R51" i="10"/>
  <c r="L51" i="10"/>
  <c r="J51" i="10"/>
  <c r="K51" i="10" s="1"/>
  <c r="H51" i="10"/>
  <c r="I51" i="10" s="1"/>
  <c r="G51" i="10"/>
  <c r="R50" i="10"/>
  <c r="L50" i="10"/>
  <c r="J50" i="10"/>
  <c r="K50" i="10" s="1"/>
  <c r="H50" i="10"/>
  <c r="I50" i="10" s="1"/>
  <c r="G50" i="10"/>
  <c r="R49" i="10"/>
  <c r="L49" i="10"/>
  <c r="J49" i="10"/>
  <c r="K49" i="10" s="1"/>
  <c r="H49" i="10"/>
  <c r="I49" i="10" s="1"/>
  <c r="G49" i="10"/>
  <c r="R48" i="10"/>
  <c r="L48" i="10"/>
  <c r="J48" i="10"/>
  <c r="K48" i="10" s="1"/>
  <c r="H48" i="10"/>
  <c r="G48" i="10"/>
  <c r="R47" i="10"/>
  <c r="L47" i="10"/>
  <c r="J47" i="10"/>
  <c r="K47" i="10" s="1"/>
  <c r="H47" i="10"/>
  <c r="I47" i="10" s="1"/>
  <c r="G47" i="10"/>
  <c r="R46" i="10"/>
  <c r="L46" i="10"/>
  <c r="J46" i="10"/>
  <c r="K46" i="10" s="1"/>
  <c r="H46" i="10"/>
  <c r="I46" i="10" s="1"/>
  <c r="G46" i="10"/>
  <c r="R45" i="10"/>
  <c r="L45" i="10"/>
  <c r="J45" i="10"/>
  <c r="K45" i="10" s="1"/>
  <c r="H45" i="10"/>
  <c r="I45" i="10" s="1"/>
  <c r="G45" i="10"/>
  <c r="R44" i="10"/>
  <c r="L44" i="10"/>
  <c r="J44" i="10"/>
  <c r="K44" i="10" s="1"/>
  <c r="H44" i="10"/>
  <c r="G44" i="10"/>
  <c r="R43" i="10"/>
  <c r="L43" i="10"/>
  <c r="J43" i="10"/>
  <c r="K43" i="10" s="1"/>
  <c r="H43" i="10"/>
  <c r="I43" i="10" s="1"/>
  <c r="G43" i="10"/>
  <c r="R42" i="10"/>
  <c r="L42" i="10"/>
  <c r="J42" i="10"/>
  <c r="K42" i="10" s="1"/>
  <c r="M42" i="10" s="1"/>
  <c r="H42" i="10"/>
  <c r="I42" i="10" s="1"/>
  <c r="G42" i="10"/>
  <c r="V41" i="10"/>
  <c r="U41" i="10"/>
  <c r="T41" i="10"/>
  <c r="S41" i="10"/>
  <c r="R41" i="10"/>
  <c r="Q41" i="10"/>
  <c r="P41" i="10"/>
  <c r="C27" i="10"/>
  <c r="AB6" i="10"/>
  <c r="AB2" i="10" s="1"/>
  <c r="R6" i="10"/>
  <c r="AQ24" i="10" s="1"/>
  <c r="AF5" i="10"/>
  <c r="AF6" i="10" s="1"/>
  <c r="AC5" i="10"/>
  <c r="AC6" i="10" s="1"/>
  <c r="Z5" i="10"/>
  <c r="Y5" i="10"/>
  <c r="H53" i="3" s="1"/>
  <c r="X5" i="10"/>
  <c r="G53" i="3" s="1"/>
  <c r="R5" i="10"/>
  <c r="AQ13" i="10" s="1"/>
  <c r="A569" i="1" s="1"/>
  <c r="C4" i="10"/>
  <c r="O1" i="10"/>
  <c r="P89" i="10" s="1"/>
  <c r="L1" i="10"/>
  <c r="AE5" i="10" s="1"/>
  <c r="AE6" i="10" s="1"/>
  <c r="H1" i="10"/>
  <c r="W5" i="10" s="1"/>
  <c r="B1" i="10"/>
  <c r="R91" i="9"/>
  <c r="L91" i="9"/>
  <c r="J91" i="9"/>
  <c r="K91" i="9" s="1"/>
  <c r="H91" i="9"/>
  <c r="I91" i="9" s="1"/>
  <c r="G91" i="9"/>
  <c r="R90" i="9"/>
  <c r="L90" i="9"/>
  <c r="J90" i="9"/>
  <c r="K90" i="9" s="1"/>
  <c r="H90" i="9"/>
  <c r="I90" i="9" s="1"/>
  <c r="G90" i="9"/>
  <c r="R89" i="9"/>
  <c r="L89" i="9"/>
  <c r="J89" i="9"/>
  <c r="K89" i="9" s="1"/>
  <c r="H89" i="9"/>
  <c r="G89" i="9"/>
  <c r="R88" i="9"/>
  <c r="L88" i="9"/>
  <c r="J88" i="9"/>
  <c r="K88" i="9" s="1"/>
  <c r="H88" i="9"/>
  <c r="I88" i="9" s="1"/>
  <c r="G88" i="9"/>
  <c r="R87" i="9"/>
  <c r="L87" i="9"/>
  <c r="J87" i="9"/>
  <c r="K87" i="9" s="1"/>
  <c r="H87" i="9"/>
  <c r="I87" i="9" s="1"/>
  <c r="G87" i="9"/>
  <c r="R86" i="9"/>
  <c r="L86" i="9"/>
  <c r="J86" i="9"/>
  <c r="K86" i="9" s="1"/>
  <c r="H86" i="9"/>
  <c r="I86" i="9" s="1"/>
  <c r="G86" i="9"/>
  <c r="R85" i="9"/>
  <c r="L85" i="9"/>
  <c r="J85" i="9"/>
  <c r="K85" i="9" s="1"/>
  <c r="H85" i="9"/>
  <c r="G85" i="9"/>
  <c r="R84" i="9"/>
  <c r="L84" i="9"/>
  <c r="J84" i="9"/>
  <c r="K84" i="9" s="1"/>
  <c r="H84" i="9"/>
  <c r="I84" i="9" s="1"/>
  <c r="G84" i="9"/>
  <c r="R83" i="9"/>
  <c r="L83" i="9"/>
  <c r="J83" i="9"/>
  <c r="K83" i="9" s="1"/>
  <c r="H83" i="9"/>
  <c r="I83" i="9" s="1"/>
  <c r="G83" i="9"/>
  <c r="R82" i="9"/>
  <c r="L82" i="9"/>
  <c r="J82" i="9"/>
  <c r="K82" i="9" s="1"/>
  <c r="H82" i="9"/>
  <c r="I82" i="9" s="1"/>
  <c r="G82" i="9"/>
  <c r="R81" i="9"/>
  <c r="L81" i="9"/>
  <c r="J81" i="9"/>
  <c r="K81" i="9" s="1"/>
  <c r="H81" i="9"/>
  <c r="G81" i="9"/>
  <c r="R80" i="9"/>
  <c r="L80" i="9"/>
  <c r="J80" i="9"/>
  <c r="K80" i="9" s="1"/>
  <c r="H80" i="9"/>
  <c r="I80" i="9" s="1"/>
  <c r="G80" i="9"/>
  <c r="R79" i="9"/>
  <c r="L79" i="9"/>
  <c r="J79" i="9"/>
  <c r="K79" i="9" s="1"/>
  <c r="H79" i="9"/>
  <c r="I79" i="9" s="1"/>
  <c r="G79" i="9"/>
  <c r="R78" i="9"/>
  <c r="L78" i="9"/>
  <c r="J78" i="9"/>
  <c r="K78" i="9" s="1"/>
  <c r="H78" i="9"/>
  <c r="I78" i="9" s="1"/>
  <c r="G78" i="9"/>
  <c r="R77" i="9"/>
  <c r="L77" i="9"/>
  <c r="J77" i="9"/>
  <c r="K77" i="9" s="1"/>
  <c r="H77" i="9"/>
  <c r="G77" i="9"/>
  <c r="R76" i="9"/>
  <c r="L76" i="9"/>
  <c r="J76" i="9"/>
  <c r="K76" i="9" s="1"/>
  <c r="H76" i="9"/>
  <c r="I76" i="9" s="1"/>
  <c r="G76" i="9"/>
  <c r="R75" i="9"/>
  <c r="L75" i="9"/>
  <c r="J75" i="9"/>
  <c r="K75" i="9" s="1"/>
  <c r="H75" i="9"/>
  <c r="I75" i="9" s="1"/>
  <c r="G75" i="9"/>
  <c r="R74" i="9"/>
  <c r="L74" i="9"/>
  <c r="J74" i="9"/>
  <c r="K74" i="9" s="1"/>
  <c r="H74" i="9"/>
  <c r="I74" i="9" s="1"/>
  <c r="G74" i="9"/>
  <c r="R73" i="9"/>
  <c r="L73" i="9"/>
  <c r="J73" i="9"/>
  <c r="K73" i="9" s="1"/>
  <c r="H73" i="9"/>
  <c r="G73" i="9"/>
  <c r="R72" i="9"/>
  <c r="L72" i="9"/>
  <c r="J72" i="9"/>
  <c r="K72" i="9" s="1"/>
  <c r="H72" i="9"/>
  <c r="G72" i="9"/>
  <c r="R71" i="9"/>
  <c r="L71" i="9"/>
  <c r="J71" i="9"/>
  <c r="K71" i="9" s="1"/>
  <c r="H71" i="9"/>
  <c r="I71" i="9" s="1"/>
  <c r="G71" i="9"/>
  <c r="R70" i="9"/>
  <c r="L70" i="9"/>
  <c r="J70" i="9"/>
  <c r="K70" i="9" s="1"/>
  <c r="H70" i="9"/>
  <c r="I70" i="9" s="1"/>
  <c r="G70" i="9"/>
  <c r="R69" i="9"/>
  <c r="L69" i="9"/>
  <c r="J69" i="9"/>
  <c r="K69" i="9" s="1"/>
  <c r="H69" i="9"/>
  <c r="G69" i="9"/>
  <c r="R68" i="9"/>
  <c r="L68" i="9"/>
  <c r="J68" i="9"/>
  <c r="K68" i="9" s="1"/>
  <c r="H68" i="9"/>
  <c r="G68" i="9"/>
  <c r="R67" i="9"/>
  <c r="L67" i="9"/>
  <c r="J67" i="9"/>
  <c r="K67" i="9" s="1"/>
  <c r="H67" i="9"/>
  <c r="I67" i="9" s="1"/>
  <c r="G67" i="9"/>
  <c r="R66" i="9"/>
  <c r="L66" i="9"/>
  <c r="J66" i="9"/>
  <c r="K66" i="9" s="1"/>
  <c r="H66" i="9"/>
  <c r="I66" i="9" s="1"/>
  <c r="G66" i="9"/>
  <c r="R65" i="9"/>
  <c r="L65" i="9"/>
  <c r="J65" i="9"/>
  <c r="K65" i="9" s="1"/>
  <c r="H65" i="9"/>
  <c r="G65" i="9"/>
  <c r="R64" i="9"/>
  <c r="L64" i="9"/>
  <c r="J64" i="9"/>
  <c r="K64" i="9" s="1"/>
  <c r="H64" i="9"/>
  <c r="G64" i="9"/>
  <c r="R63" i="9"/>
  <c r="L63" i="9"/>
  <c r="J63" i="9"/>
  <c r="K63" i="9" s="1"/>
  <c r="H63" i="9"/>
  <c r="I63" i="9" s="1"/>
  <c r="G63" i="9"/>
  <c r="R62" i="9"/>
  <c r="L62" i="9"/>
  <c r="J62" i="9"/>
  <c r="K62" i="9" s="1"/>
  <c r="H62" i="9"/>
  <c r="I62" i="9" s="1"/>
  <c r="G62" i="9"/>
  <c r="R61" i="9"/>
  <c r="L61" i="9"/>
  <c r="J61" i="9"/>
  <c r="K61" i="9" s="1"/>
  <c r="H61" i="9"/>
  <c r="G61" i="9"/>
  <c r="R60" i="9"/>
  <c r="L60" i="9"/>
  <c r="J60" i="9"/>
  <c r="K60" i="9" s="1"/>
  <c r="H60" i="9"/>
  <c r="G60" i="9"/>
  <c r="R59" i="9"/>
  <c r="L59" i="9"/>
  <c r="J59" i="9"/>
  <c r="K59" i="9" s="1"/>
  <c r="H59" i="9"/>
  <c r="I59" i="9" s="1"/>
  <c r="G59" i="9"/>
  <c r="R58" i="9"/>
  <c r="L58" i="9"/>
  <c r="J58" i="9"/>
  <c r="K58" i="9" s="1"/>
  <c r="H58" i="9"/>
  <c r="I58" i="9" s="1"/>
  <c r="G58" i="9"/>
  <c r="R57" i="9"/>
  <c r="L57" i="9"/>
  <c r="J57" i="9"/>
  <c r="K57" i="9" s="1"/>
  <c r="H57" i="9"/>
  <c r="G57" i="9"/>
  <c r="R56" i="9"/>
  <c r="L56" i="9"/>
  <c r="J56" i="9"/>
  <c r="K56" i="9" s="1"/>
  <c r="H56" i="9"/>
  <c r="G56" i="9"/>
  <c r="R55" i="9"/>
  <c r="L55" i="9"/>
  <c r="J55" i="9"/>
  <c r="K55" i="9" s="1"/>
  <c r="H55" i="9"/>
  <c r="I55" i="9" s="1"/>
  <c r="G55" i="9"/>
  <c r="R54" i="9"/>
  <c r="L54" i="9"/>
  <c r="J54" i="9"/>
  <c r="K54" i="9" s="1"/>
  <c r="H54" i="9"/>
  <c r="I54" i="9" s="1"/>
  <c r="G54" i="9"/>
  <c r="R53" i="9"/>
  <c r="L53" i="9"/>
  <c r="J53" i="9"/>
  <c r="K53" i="9" s="1"/>
  <c r="H53" i="9"/>
  <c r="G53" i="9"/>
  <c r="R52" i="9"/>
  <c r="L52" i="9"/>
  <c r="J52" i="9"/>
  <c r="K52" i="9" s="1"/>
  <c r="H52" i="9"/>
  <c r="G52" i="9"/>
  <c r="R51" i="9"/>
  <c r="L51" i="9"/>
  <c r="J51" i="9"/>
  <c r="K51" i="9" s="1"/>
  <c r="H51" i="9"/>
  <c r="I51" i="9" s="1"/>
  <c r="G51" i="9"/>
  <c r="R50" i="9"/>
  <c r="L50" i="9"/>
  <c r="J50" i="9"/>
  <c r="K50" i="9" s="1"/>
  <c r="H50" i="9"/>
  <c r="I50" i="9" s="1"/>
  <c r="G50" i="9"/>
  <c r="R49" i="9"/>
  <c r="L49" i="9"/>
  <c r="J49" i="9"/>
  <c r="K49" i="9" s="1"/>
  <c r="H49" i="9"/>
  <c r="G49" i="9"/>
  <c r="R48" i="9"/>
  <c r="L48" i="9"/>
  <c r="J48" i="9"/>
  <c r="K48" i="9" s="1"/>
  <c r="H48" i="9"/>
  <c r="G48" i="9"/>
  <c r="R47" i="9"/>
  <c r="L47" i="9"/>
  <c r="J47" i="9"/>
  <c r="K47" i="9" s="1"/>
  <c r="H47" i="9"/>
  <c r="I47" i="9" s="1"/>
  <c r="G47" i="9"/>
  <c r="R46" i="9"/>
  <c r="L46" i="9"/>
  <c r="J46" i="9"/>
  <c r="K46" i="9" s="1"/>
  <c r="H46" i="9"/>
  <c r="I46" i="9" s="1"/>
  <c r="G46" i="9"/>
  <c r="R45" i="9"/>
  <c r="L45" i="9"/>
  <c r="J45" i="9"/>
  <c r="K45" i="9" s="1"/>
  <c r="H45" i="9"/>
  <c r="G45" i="9"/>
  <c r="R44" i="9"/>
  <c r="L44" i="9"/>
  <c r="J44" i="9"/>
  <c r="K44" i="9" s="1"/>
  <c r="H44" i="9"/>
  <c r="G44" i="9"/>
  <c r="R43" i="9"/>
  <c r="L43" i="9"/>
  <c r="J43" i="9"/>
  <c r="K43" i="9" s="1"/>
  <c r="H43" i="9"/>
  <c r="I43" i="9" s="1"/>
  <c r="G43" i="9"/>
  <c r="R42" i="9"/>
  <c r="L42" i="9"/>
  <c r="J42" i="9"/>
  <c r="K42" i="9" s="1"/>
  <c r="M42" i="9" s="1"/>
  <c r="H42" i="9"/>
  <c r="I42" i="9" s="1"/>
  <c r="G42" i="9"/>
  <c r="V41" i="9"/>
  <c r="U41" i="9"/>
  <c r="T41" i="9"/>
  <c r="S41" i="9"/>
  <c r="R41" i="9"/>
  <c r="Q41" i="9"/>
  <c r="P41" i="9"/>
  <c r="C27" i="9"/>
  <c r="AB6" i="9"/>
  <c r="AB2" i="9" s="1"/>
  <c r="R6" i="9"/>
  <c r="AQ26" i="9" s="1"/>
  <c r="AF5" i="9"/>
  <c r="AF6" i="9" s="1"/>
  <c r="AC5" i="9"/>
  <c r="AC6" i="9" s="1"/>
  <c r="Z5" i="9"/>
  <c r="I52" i="3" s="1"/>
  <c r="Y5" i="9"/>
  <c r="H52" i="3" s="1"/>
  <c r="X5" i="9"/>
  <c r="G52" i="3" s="1"/>
  <c r="R5" i="9"/>
  <c r="C4" i="9"/>
  <c r="O1" i="9"/>
  <c r="P89" i="9" s="1"/>
  <c r="L1" i="9"/>
  <c r="AE5" i="9" s="1"/>
  <c r="AE6" i="9" s="1"/>
  <c r="H1" i="9"/>
  <c r="W5" i="9" s="1"/>
  <c r="F52" i="3" s="1"/>
  <c r="B1" i="9"/>
  <c r="R91" i="8"/>
  <c r="L91" i="8"/>
  <c r="J91" i="8"/>
  <c r="K91" i="8" s="1"/>
  <c r="H91" i="8"/>
  <c r="I91" i="8" s="1"/>
  <c r="G91" i="8"/>
  <c r="R90" i="8"/>
  <c r="L90" i="8"/>
  <c r="J90" i="8"/>
  <c r="K90" i="8" s="1"/>
  <c r="H90" i="8"/>
  <c r="G90" i="8"/>
  <c r="R89" i="8"/>
  <c r="L89" i="8"/>
  <c r="J89" i="8"/>
  <c r="K89" i="8" s="1"/>
  <c r="H89" i="8"/>
  <c r="I89" i="8" s="1"/>
  <c r="G89" i="8"/>
  <c r="R88" i="8"/>
  <c r="L88" i="8"/>
  <c r="J88" i="8"/>
  <c r="K88" i="8" s="1"/>
  <c r="H88" i="8"/>
  <c r="G88" i="8"/>
  <c r="R87" i="8"/>
  <c r="L87" i="8"/>
  <c r="J87" i="8"/>
  <c r="K87" i="8" s="1"/>
  <c r="H87" i="8"/>
  <c r="I87" i="8" s="1"/>
  <c r="G87" i="8"/>
  <c r="R86" i="8"/>
  <c r="L86" i="8"/>
  <c r="J86" i="8"/>
  <c r="K86" i="8" s="1"/>
  <c r="H86" i="8"/>
  <c r="G86" i="8"/>
  <c r="R85" i="8"/>
  <c r="L85" i="8"/>
  <c r="J85" i="8"/>
  <c r="K85" i="8" s="1"/>
  <c r="H85" i="8"/>
  <c r="I85" i="8" s="1"/>
  <c r="G85" i="8"/>
  <c r="R84" i="8"/>
  <c r="L84" i="8"/>
  <c r="J84" i="8"/>
  <c r="K84" i="8" s="1"/>
  <c r="H84" i="8"/>
  <c r="G84" i="8"/>
  <c r="R83" i="8"/>
  <c r="L83" i="8"/>
  <c r="J83" i="8"/>
  <c r="K83" i="8" s="1"/>
  <c r="H83" i="8"/>
  <c r="I83" i="8" s="1"/>
  <c r="G83" i="8"/>
  <c r="R82" i="8"/>
  <c r="L82" i="8"/>
  <c r="J82" i="8"/>
  <c r="K82" i="8" s="1"/>
  <c r="H82" i="8"/>
  <c r="N82" i="8" s="1"/>
  <c r="G82" i="8"/>
  <c r="R81" i="8"/>
  <c r="L81" i="8"/>
  <c r="J81" i="8"/>
  <c r="K81" i="8" s="1"/>
  <c r="H81" i="8"/>
  <c r="I81" i="8" s="1"/>
  <c r="G81" i="8"/>
  <c r="R80" i="8"/>
  <c r="L80" i="8"/>
  <c r="J80" i="8"/>
  <c r="K80" i="8" s="1"/>
  <c r="H80" i="8"/>
  <c r="G80" i="8"/>
  <c r="R79" i="8"/>
  <c r="L79" i="8"/>
  <c r="J79" i="8"/>
  <c r="K79" i="8" s="1"/>
  <c r="H79" i="8"/>
  <c r="I79" i="8" s="1"/>
  <c r="G79" i="8"/>
  <c r="R78" i="8"/>
  <c r="L78" i="8"/>
  <c r="J78" i="8"/>
  <c r="K78" i="8" s="1"/>
  <c r="H78" i="8"/>
  <c r="I78" i="8" s="1"/>
  <c r="G78" i="8"/>
  <c r="R77" i="8"/>
  <c r="L77" i="8"/>
  <c r="J77" i="8"/>
  <c r="K77" i="8" s="1"/>
  <c r="H77" i="8"/>
  <c r="I77" i="8" s="1"/>
  <c r="G77" i="8"/>
  <c r="R76" i="8"/>
  <c r="L76" i="8"/>
  <c r="J76" i="8"/>
  <c r="K76" i="8" s="1"/>
  <c r="H76" i="8"/>
  <c r="G76" i="8"/>
  <c r="R75" i="8"/>
  <c r="L75" i="8"/>
  <c r="J75" i="8"/>
  <c r="K75" i="8" s="1"/>
  <c r="H75" i="8"/>
  <c r="I75" i="8" s="1"/>
  <c r="G75" i="8"/>
  <c r="R74" i="8"/>
  <c r="L74" i="8"/>
  <c r="J74" i="8"/>
  <c r="K74" i="8" s="1"/>
  <c r="H74" i="8"/>
  <c r="I74" i="8" s="1"/>
  <c r="G74" i="8"/>
  <c r="R73" i="8"/>
  <c r="L73" i="8"/>
  <c r="J73" i="8"/>
  <c r="K73" i="8" s="1"/>
  <c r="H73" i="8"/>
  <c r="I73" i="8" s="1"/>
  <c r="G73" i="8"/>
  <c r="R72" i="8"/>
  <c r="L72" i="8"/>
  <c r="J72" i="8"/>
  <c r="K72" i="8" s="1"/>
  <c r="H72" i="8"/>
  <c r="G72" i="8"/>
  <c r="R71" i="8"/>
  <c r="L71" i="8"/>
  <c r="J71" i="8"/>
  <c r="K71" i="8" s="1"/>
  <c r="H71" i="8"/>
  <c r="I71" i="8" s="1"/>
  <c r="G71" i="8"/>
  <c r="R70" i="8"/>
  <c r="L70" i="8"/>
  <c r="J70" i="8"/>
  <c r="K70" i="8" s="1"/>
  <c r="H70" i="8"/>
  <c r="I70" i="8" s="1"/>
  <c r="G70" i="8"/>
  <c r="R69" i="8"/>
  <c r="L69" i="8"/>
  <c r="J69" i="8"/>
  <c r="K69" i="8" s="1"/>
  <c r="H69" i="8"/>
  <c r="I69" i="8" s="1"/>
  <c r="G69" i="8"/>
  <c r="R68" i="8"/>
  <c r="L68" i="8"/>
  <c r="J68" i="8"/>
  <c r="K68" i="8" s="1"/>
  <c r="H68" i="8"/>
  <c r="G68" i="8"/>
  <c r="R67" i="8"/>
  <c r="L67" i="8"/>
  <c r="J67" i="8"/>
  <c r="K67" i="8" s="1"/>
  <c r="H67" i="8"/>
  <c r="I67" i="8" s="1"/>
  <c r="G67" i="8"/>
  <c r="R66" i="8"/>
  <c r="L66" i="8"/>
  <c r="J66" i="8"/>
  <c r="K66" i="8" s="1"/>
  <c r="H66" i="8"/>
  <c r="I66" i="8" s="1"/>
  <c r="G66" i="8"/>
  <c r="R65" i="8"/>
  <c r="L65" i="8"/>
  <c r="J65" i="8"/>
  <c r="K65" i="8" s="1"/>
  <c r="H65" i="8"/>
  <c r="I65" i="8" s="1"/>
  <c r="G65" i="8"/>
  <c r="R64" i="8"/>
  <c r="L64" i="8"/>
  <c r="J64" i="8"/>
  <c r="K64" i="8" s="1"/>
  <c r="H64" i="8"/>
  <c r="G64" i="8"/>
  <c r="R63" i="8"/>
  <c r="L63" i="8"/>
  <c r="J63" i="8"/>
  <c r="K63" i="8" s="1"/>
  <c r="H63" i="8"/>
  <c r="I63" i="8" s="1"/>
  <c r="G63" i="8"/>
  <c r="R62" i="8"/>
  <c r="L62" i="8"/>
  <c r="J62" i="8"/>
  <c r="K62" i="8" s="1"/>
  <c r="H62" i="8"/>
  <c r="I62" i="8" s="1"/>
  <c r="G62" i="8"/>
  <c r="R61" i="8"/>
  <c r="L61" i="8"/>
  <c r="J61" i="8"/>
  <c r="K61" i="8" s="1"/>
  <c r="H61" i="8"/>
  <c r="I61" i="8" s="1"/>
  <c r="G61" i="8"/>
  <c r="R60" i="8"/>
  <c r="L60" i="8"/>
  <c r="J60" i="8"/>
  <c r="K60" i="8" s="1"/>
  <c r="H60" i="8"/>
  <c r="G60" i="8"/>
  <c r="R59" i="8"/>
  <c r="L59" i="8"/>
  <c r="J59" i="8"/>
  <c r="K59" i="8" s="1"/>
  <c r="H59" i="8"/>
  <c r="I59" i="8" s="1"/>
  <c r="G59" i="8"/>
  <c r="R58" i="8"/>
  <c r="L58" i="8"/>
  <c r="J58" i="8"/>
  <c r="K58" i="8" s="1"/>
  <c r="H58" i="8"/>
  <c r="I58" i="8" s="1"/>
  <c r="G58" i="8"/>
  <c r="R57" i="8"/>
  <c r="L57" i="8"/>
  <c r="J57" i="8"/>
  <c r="K57" i="8" s="1"/>
  <c r="H57" i="8"/>
  <c r="I57" i="8" s="1"/>
  <c r="G57" i="8"/>
  <c r="R56" i="8"/>
  <c r="L56" i="8"/>
  <c r="J56" i="8"/>
  <c r="K56" i="8" s="1"/>
  <c r="H56" i="8"/>
  <c r="G56" i="8"/>
  <c r="R55" i="8"/>
  <c r="L55" i="8"/>
  <c r="J55" i="8"/>
  <c r="K55" i="8" s="1"/>
  <c r="H55" i="8"/>
  <c r="I55" i="8" s="1"/>
  <c r="G55" i="8"/>
  <c r="R54" i="8"/>
  <c r="L54" i="8"/>
  <c r="J54" i="8"/>
  <c r="K54" i="8" s="1"/>
  <c r="H54" i="8"/>
  <c r="I54" i="8" s="1"/>
  <c r="G54" i="8"/>
  <c r="R53" i="8"/>
  <c r="L53" i="8"/>
  <c r="J53" i="8"/>
  <c r="K53" i="8" s="1"/>
  <c r="H53" i="8"/>
  <c r="I53" i="8" s="1"/>
  <c r="G53" i="8"/>
  <c r="R52" i="8"/>
  <c r="L52" i="8"/>
  <c r="J52" i="8"/>
  <c r="K52" i="8" s="1"/>
  <c r="H52" i="8"/>
  <c r="G52" i="8"/>
  <c r="R51" i="8"/>
  <c r="L51" i="8"/>
  <c r="J51" i="8"/>
  <c r="K51" i="8" s="1"/>
  <c r="H51" i="8"/>
  <c r="I51" i="8" s="1"/>
  <c r="G51" i="8"/>
  <c r="R50" i="8"/>
  <c r="L50" i="8"/>
  <c r="J50" i="8"/>
  <c r="K50" i="8" s="1"/>
  <c r="H50" i="8"/>
  <c r="I50" i="8" s="1"/>
  <c r="G50" i="8"/>
  <c r="R49" i="8"/>
  <c r="L49" i="8"/>
  <c r="J49" i="8"/>
  <c r="K49" i="8" s="1"/>
  <c r="H49" i="8"/>
  <c r="I49" i="8" s="1"/>
  <c r="G49" i="8"/>
  <c r="R48" i="8"/>
  <c r="L48" i="8"/>
  <c r="J48" i="8"/>
  <c r="K48" i="8" s="1"/>
  <c r="H48" i="8"/>
  <c r="G48" i="8"/>
  <c r="R47" i="8"/>
  <c r="L47" i="8"/>
  <c r="J47" i="8"/>
  <c r="K47" i="8" s="1"/>
  <c r="H47" i="8"/>
  <c r="I47" i="8" s="1"/>
  <c r="G47" i="8"/>
  <c r="R46" i="8"/>
  <c r="L46" i="8"/>
  <c r="J46" i="8"/>
  <c r="K46" i="8" s="1"/>
  <c r="H46" i="8"/>
  <c r="I46" i="8" s="1"/>
  <c r="G46" i="8"/>
  <c r="R45" i="8"/>
  <c r="L45" i="8"/>
  <c r="J45" i="8"/>
  <c r="K45" i="8" s="1"/>
  <c r="H45" i="8"/>
  <c r="I45" i="8" s="1"/>
  <c r="G45" i="8"/>
  <c r="R44" i="8"/>
  <c r="L44" i="8"/>
  <c r="J44" i="8"/>
  <c r="K44" i="8" s="1"/>
  <c r="H44" i="8"/>
  <c r="G44" i="8"/>
  <c r="R43" i="8"/>
  <c r="L43" i="8"/>
  <c r="J43" i="8"/>
  <c r="K43" i="8" s="1"/>
  <c r="H43" i="8"/>
  <c r="I43" i="8" s="1"/>
  <c r="G43" i="8"/>
  <c r="R42" i="8"/>
  <c r="L42" i="8"/>
  <c r="J42" i="8"/>
  <c r="K42" i="8" s="1"/>
  <c r="M42" i="8" s="1"/>
  <c r="H42" i="8"/>
  <c r="I42" i="8" s="1"/>
  <c r="G42" i="8"/>
  <c r="V41" i="8"/>
  <c r="U41" i="8"/>
  <c r="T41" i="8"/>
  <c r="S41" i="8"/>
  <c r="R41" i="8"/>
  <c r="Q41" i="8"/>
  <c r="P41" i="8"/>
  <c r="C27" i="8"/>
  <c r="AB6" i="8"/>
  <c r="AB2" i="8" s="1"/>
  <c r="R6" i="8"/>
  <c r="AF5" i="8"/>
  <c r="AF6" i="8" s="1"/>
  <c r="AC5" i="8"/>
  <c r="AC6" i="8" s="1"/>
  <c r="Z5" i="8"/>
  <c r="I51" i="3" s="1"/>
  <c r="Y5" i="8"/>
  <c r="H51" i="3" s="1"/>
  <c r="X5" i="8"/>
  <c r="G51" i="3" s="1"/>
  <c r="R5" i="8"/>
  <c r="AQ15" i="8" s="1"/>
  <c r="A549" i="1" s="1"/>
  <c r="C4" i="8"/>
  <c r="O1" i="8"/>
  <c r="P89" i="8" s="1"/>
  <c r="L1" i="8"/>
  <c r="H1" i="8"/>
  <c r="W5" i="8" s="1"/>
  <c r="B1" i="8"/>
  <c r="R91" i="7"/>
  <c r="L91" i="7"/>
  <c r="J91" i="7"/>
  <c r="K91" i="7" s="1"/>
  <c r="H91" i="7"/>
  <c r="I91" i="7" s="1"/>
  <c r="G91" i="7"/>
  <c r="R90" i="7"/>
  <c r="L90" i="7"/>
  <c r="J90" i="7"/>
  <c r="K90" i="7" s="1"/>
  <c r="H90" i="7"/>
  <c r="I90" i="7" s="1"/>
  <c r="G90" i="7"/>
  <c r="R89" i="7"/>
  <c r="L89" i="7"/>
  <c r="J89" i="7"/>
  <c r="K89" i="7" s="1"/>
  <c r="H89" i="7"/>
  <c r="I89" i="7" s="1"/>
  <c r="G89" i="7"/>
  <c r="R88" i="7"/>
  <c r="L88" i="7"/>
  <c r="J88" i="7"/>
  <c r="K88" i="7" s="1"/>
  <c r="H88" i="7"/>
  <c r="G88" i="7"/>
  <c r="R87" i="7"/>
  <c r="L87" i="7"/>
  <c r="J87" i="7"/>
  <c r="K87" i="7" s="1"/>
  <c r="H87" i="7"/>
  <c r="I87" i="7" s="1"/>
  <c r="G87" i="7"/>
  <c r="R86" i="7"/>
  <c r="L86" i="7"/>
  <c r="J86" i="7"/>
  <c r="K86" i="7" s="1"/>
  <c r="H86" i="7"/>
  <c r="G86" i="7"/>
  <c r="R85" i="7"/>
  <c r="L85" i="7"/>
  <c r="J85" i="7"/>
  <c r="K85" i="7" s="1"/>
  <c r="H85" i="7"/>
  <c r="I85" i="7" s="1"/>
  <c r="G85" i="7"/>
  <c r="R84" i="7"/>
  <c r="L84" i="7"/>
  <c r="J84" i="7"/>
  <c r="K84" i="7" s="1"/>
  <c r="H84" i="7"/>
  <c r="G84" i="7"/>
  <c r="R83" i="7"/>
  <c r="L83" i="7"/>
  <c r="J83" i="7"/>
  <c r="K83" i="7" s="1"/>
  <c r="H83" i="7"/>
  <c r="I83" i="7" s="1"/>
  <c r="G83" i="7"/>
  <c r="R82" i="7"/>
  <c r="L82" i="7"/>
  <c r="J82" i="7"/>
  <c r="K82" i="7" s="1"/>
  <c r="H82" i="7"/>
  <c r="I82" i="7" s="1"/>
  <c r="G82" i="7"/>
  <c r="R81" i="7"/>
  <c r="L81" i="7"/>
  <c r="J81" i="7"/>
  <c r="K81" i="7" s="1"/>
  <c r="H81" i="7"/>
  <c r="G81" i="7"/>
  <c r="R80" i="7"/>
  <c r="L80" i="7"/>
  <c r="J80" i="7"/>
  <c r="K80" i="7" s="1"/>
  <c r="H80" i="7"/>
  <c r="G80" i="7"/>
  <c r="R79" i="7"/>
  <c r="L79" i="7"/>
  <c r="J79" i="7"/>
  <c r="K79" i="7" s="1"/>
  <c r="H79" i="7"/>
  <c r="I79" i="7" s="1"/>
  <c r="G79" i="7"/>
  <c r="R78" i="7"/>
  <c r="L78" i="7"/>
  <c r="J78" i="7"/>
  <c r="K78" i="7" s="1"/>
  <c r="H78" i="7"/>
  <c r="G78" i="7"/>
  <c r="R77" i="7"/>
  <c r="L77" i="7"/>
  <c r="J77" i="7"/>
  <c r="K77" i="7" s="1"/>
  <c r="H77" i="7"/>
  <c r="G77" i="7"/>
  <c r="R76" i="7"/>
  <c r="L76" i="7"/>
  <c r="J76" i="7"/>
  <c r="K76" i="7" s="1"/>
  <c r="H76" i="7"/>
  <c r="G76" i="7"/>
  <c r="R75" i="7"/>
  <c r="L75" i="7"/>
  <c r="J75" i="7"/>
  <c r="K75" i="7" s="1"/>
  <c r="H75" i="7"/>
  <c r="I75" i="7" s="1"/>
  <c r="G75" i="7"/>
  <c r="R74" i="7"/>
  <c r="L74" i="7"/>
  <c r="J74" i="7"/>
  <c r="K74" i="7" s="1"/>
  <c r="H74" i="7"/>
  <c r="I74" i="7" s="1"/>
  <c r="G74" i="7"/>
  <c r="R73" i="7"/>
  <c r="L73" i="7"/>
  <c r="J73" i="7"/>
  <c r="K73" i="7" s="1"/>
  <c r="H73" i="7"/>
  <c r="G73" i="7"/>
  <c r="R72" i="7"/>
  <c r="L72" i="7"/>
  <c r="J72" i="7"/>
  <c r="K72" i="7" s="1"/>
  <c r="H72" i="7"/>
  <c r="G72" i="7"/>
  <c r="R71" i="7"/>
  <c r="L71" i="7"/>
  <c r="J71" i="7"/>
  <c r="K71" i="7" s="1"/>
  <c r="H71" i="7"/>
  <c r="I71" i="7" s="1"/>
  <c r="G71" i="7"/>
  <c r="R70" i="7"/>
  <c r="L70" i="7"/>
  <c r="J70" i="7"/>
  <c r="K70" i="7" s="1"/>
  <c r="H70" i="7"/>
  <c r="I70" i="7" s="1"/>
  <c r="G70" i="7"/>
  <c r="R69" i="7"/>
  <c r="L69" i="7"/>
  <c r="J69" i="7"/>
  <c r="K69" i="7" s="1"/>
  <c r="H69" i="7"/>
  <c r="G69" i="7"/>
  <c r="R68" i="7"/>
  <c r="L68" i="7"/>
  <c r="J68" i="7"/>
  <c r="K68" i="7" s="1"/>
  <c r="H68" i="7"/>
  <c r="G68" i="7"/>
  <c r="R67" i="7"/>
  <c r="L67" i="7"/>
  <c r="J67" i="7"/>
  <c r="K67" i="7" s="1"/>
  <c r="H67" i="7"/>
  <c r="I67" i="7" s="1"/>
  <c r="G67" i="7"/>
  <c r="R66" i="7"/>
  <c r="L66" i="7"/>
  <c r="J66" i="7"/>
  <c r="K66" i="7" s="1"/>
  <c r="H66" i="7"/>
  <c r="G66" i="7"/>
  <c r="R65" i="7"/>
  <c r="L65" i="7"/>
  <c r="J65" i="7"/>
  <c r="K65" i="7" s="1"/>
  <c r="H65" i="7"/>
  <c r="G65" i="7"/>
  <c r="R64" i="7"/>
  <c r="L64" i="7"/>
  <c r="J64" i="7"/>
  <c r="K64" i="7" s="1"/>
  <c r="H64" i="7"/>
  <c r="G64" i="7"/>
  <c r="R63" i="7"/>
  <c r="L63" i="7"/>
  <c r="J63" i="7"/>
  <c r="K63" i="7" s="1"/>
  <c r="H63" i="7"/>
  <c r="I63" i="7" s="1"/>
  <c r="G63" i="7"/>
  <c r="R62" i="7"/>
  <c r="L62" i="7"/>
  <c r="J62" i="7"/>
  <c r="K62" i="7" s="1"/>
  <c r="H62" i="7"/>
  <c r="I62" i="7" s="1"/>
  <c r="G62" i="7"/>
  <c r="R61" i="7"/>
  <c r="L61" i="7"/>
  <c r="J61" i="7"/>
  <c r="K61" i="7" s="1"/>
  <c r="H61" i="7"/>
  <c r="G61" i="7"/>
  <c r="R60" i="7"/>
  <c r="L60" i="7"/>
  <c r="J60" i="7"/>
  <c r="K60" i="7" s="1"/>
  <c r="H60" i="7"/>
  <c r="G60" i="7"/>
  <c r="R59" i="7"/>
  <c r="L59" i="7"/>
  <c r="J59" i="7"/>
  <c r="K59" i="7" s="1"/>
  <c r="H59" i="7"/>
  <c r="I59" i="7" s="1"/>
  <c r="G59" i="7"/>
  <c r="R58" i="7"/>
  <c r="L58" i="7"/>
  <c r="J58" i="7"/>
  <c r="K58" i="7" s="1"/>
  <c r="H58" i="7"/>
  <c r="I58" i="7" s="1"/>
  <c r="G58" i="7"/>
  <c r="R57" i="7"/>
  <c r="L57" i="7"/>
  <c r="J57" i="7"/>
  <c r="K57" i="7" s="1"/>
  <c r="H57" i="7"/>
  <c r="G57" i="7"/>
  <c r="R56" i="7"/>
  <c r="L56" i="7"/>
  <c r="J56" i="7"/>
  <c r="K56" i="7" s="1"/>
  <c r="H56" i="7"/>
  <c r="G56" i="7"/>
  <c r="R55" i="7"/>
  <c r="L55" i="7"/>
  <c r="J55" i="7"/>
  <c r="K55" i="7" s="1"/>
  <c r="H55" i="7"/>
  <c r="I55" i="7" s="1"/>
  <c r="G55" i="7"/>
  <c r="R54" i="7"/>
  <c r="L54" i="7"/>
  <c r="J54" i="7"/>
  <c r="K54" i="7" s="1"/>
  <c r="H54" i="7"/>
  <c r="I54" i="7" s="1"/>
  <c r="G54" i="7"/>
  <c r="R53" i="7"/>
  <c r="L53" i="7"/>
  <c r="J53" i="7"/>
  <c r="K53" i="7" s="1"/>
  <c r="H53" i="7"/>
  <c r="G53" i="7"/>
  <c r="R52" i="7"/>
  <c r="L52" i="7"/>
  <c r="J52" i="7"/>
  <c r="K52" i="7" s="1"/>
  <c r="H52" i="7"/>
  <c r="G52" i="7"/>
  <c r="R51" i="7"/>
  <c r="L51" i="7"/>
  <c r="J51" i="7"/>
  <c r="K51" i="7" s="1"/>
  <c r="H51" i="7"/>
  <c r="I51" i="7" s="1"/>
  <c r="G51" i="7"/>
  <c r="R50" i="7"/>
  <c r="L50" i="7"/>
  <c r="J50" i="7"/>
  <c r="K50" i="7" s="1"/>
  <c r="H50" i="7"/>
  <c r="I50" i="7" s="1"/>
  <c r="G50" i="7"/>
  <c r="R49" i="7"/>
  <c r="L49" i="7"/>
  <c r="J49" i="7"/>
  <c r="K49" i="7" s="1"/>
  <c r="H49" i="7"/>
  <c r="G49" i="7"/>
  <c r="R48" i="7"/>
  <c r="L48" i="7"/>
  <c r="J48" i="7"/>
  <c r="K48" i="7" s="1"/>
  <c r="H48" i="7"/>
  <c r="G48" i="7"/>
  <c r="R47" i="7"/>
  <c r="L47" i="7"/>
  <c r="J47" i="7"/>
  <c r="K47" i="7" s="1"/>
  <c r="H47" i="7"/>
  <c r="I47" i="7" s="1"/>
  <c r="G47" i="7"/>
  <c r="R46" i="7"/>
  <c r="L46" i="7"/>
  <c r="J46" i="7"/>
  <c r="K46" i="7" s="1"/>
  <c r="H46" i="7"/>
  <c r="I46" i="7" s="1"/>
  <c r="G46" i="7"/>
  <c r="R45" i="7"/>
  <c r="L45" i="7"/>
  <c r="J45" i="7"/>
  <c r="K45" i="7" s="1"/>
  <c r="H45" i="7"/>
  <c r="G45" i="7"/>
  <c r="R44" i="7"/>
  <c r="L44" i="7"/>
  <c r="J44" i="7"/>
  <c r="K44" i="7" s="1"/>
  <c r="H44" i="7"/>
  <c r="G44" i="7"/>
  <c r="R43" i="7"/>
  <c r="L43" i="7"/>
  <c r="J43" i="7"/>
  <c r="K43" i="7" s="1"/>
  <c r="H43" i="7"/>
  <c r="I43" i="7" s="1"/>
  <c r="G43" i="7"/>
  <c r="R42" i="7"/>
  <c r="L42" i="7"/>
  <c r="J42" i="7"/>
  <c r="K42" i="7" s="1"/>
  <c r="M42" i="7" s="1"/>
  <c r="H42" i="7"/>
  <c r="I42" i="7" s="1"/>
  <c r="G42" i="7"/>
  <c r="V41" i="7"/>
  <c r="U41" i="7"/>
  <c r="T41" i="7"/>
  <c r="S41" i="7"/>
  <c r="R41" i="7"/>
  <c r="Q41" i="7"/>
  <c r="P41" i="7"/>
  <c r="C27" i="7"/>
  <c r="AB6" i="7"/>
  <c r="AB2" i="7" s="1"/>
  <c r="R6" i="7"/>
  <c r="AQ24" i="7" s="1"/>
  <c r="AF5" i="7"/>
  <c r="AF6" i="7" s="1"/>
  <c r="AC5" i="7"/>
  <c r="AC6" i="7" s="1"/>
  <c r="Z5" i="7"/>
  <c r="Y5" i="7"/>
  <c r="X5" i="7"/>
  <c r="R5" i="7"/>
  <c r="AQ15" i="7" s="1"/>
  <c r="A538" i="1" s="1"/>
  <c r="C4" i="7"/>
  <c r="O1" i="7"/>
  <c r="P89" i="7" s="1"/>
  <c r="L1" i="7"/>
  <c r="H1" i="7"/>
  <c r="W5" i="7" s="1"/>
  <c r="B1" i="7"/>
  <c r="R91" i="6"/>
  <c r="L91" i="6"/>
  <c r="J91" i="6"/>
  <c r="K91" i="6" s="1"/>
  <c r="H91" i="6"/>
  <c r="I91" i="6" s="1"/>
  <c r="G91" i="6"/>
  <c r="R90" i="6"/>
  <c r="L90" i="6"/>
  <c r="J90" i="6"/>
  <c r="K90" i="6" s="1"/>
  <c r="H90" i="6"/>
  <c r="I90" i="6" s="1"/>
  <c r="G90" i="6"/>
  <c r="R89" i="6"/>
  <c r="L89" i="6"/>
  <c r="J89" i="6"/>
  <c r="K89" i="6" s="1"/>
  <c r="H89" i="6"/>
  <c r="I89" i="6" s="1"/>
  <c r="G89" i="6"/>
  <c r="R88" i="6"/>
  <c r="L88" i="6"/>
  <c r="J88" i="6"/>
  <c r="K88" i="6" s="1"/>
  <c r="H88" i="6"/>
  <c r="G88" i="6"/>
  <c r="R87" i="6"/>
  <c r="L87" i="6"/>
  <c r="J87" i="6"/>
  <c r="K87" i="6" s="1"/>
  <c r="H87" i="6"/>
  <c r="I87" i="6" s="1"/>
  <c r="G87" i="6"/>
  <c r="R86" i="6"/>
  <c r="L86" i="6"/>
  <c r="J86" i="6"/>
  <c r="K86" i="6" s="1"/>
  <c r="H86" i="6"/>
  <c r="I86" i="6" s="1"/>
  <c r="G86" i="6"/>
  <c r="R85" i="6"/>
  <c r="L85" i="6"/>
  <c r="J85" i="6"/>
  <c r="K85" i="6" s="1"/>
  <c r="H85" i="6"/>
  <c r="I85" i="6" s="1"/>
  <c r="G85" i="6"/>
  <c r="R84" i="6"/>
  <c r="L84" i="6"/>
  <c r="J84" i="6"/>
  <c r="K84" i="6" s="1"/>
  <c r="H84" i="6"/>
  <c r="G84" i="6"/>
  <c r="R83" i="6"/>
  <c r="L83" i="6"/>
  <c r="J83" i="6"/>
  <c r="K83" i="6" s="1"/>
  <c r="H83" i="6"/>
  <c r="I83" i="6" s="1"/>
  <c r="G83" i="6"/>
  <c r="R82" i="6"/>
  <c r="L82" i="6"/>
  <c r="J82" i="6"/>
  <c r="K82" i="6" s="1"/>
  <c r="H82" i="6"/>
  <c r="I82" i="6" s="1"/>
  <c r="G82" i="6"/>
  <c r="R81" i="6"/>
  <c r="L81" i="6"/>
  <c r="J81" i="6"/>
  <c r="K81" i="6" s="1"/>
  <c r="H81" i="6"/>
  <c r="I81" i="6" s="1"/>
  <c r="G81" i="6"/>
  <c r="R80" i="6"/>
  <c r="L80" i="6"/>
  <c r="J80" i="6"/>
  <c r="K80" i="6" s="1"/>
  <c r="H80" i="6"/>
  <c r="G80" i="6"/>
  <c r="R79" i="6"/>
  <c r="L79" i="6"/>
  <c r="J79" i="6"/>
  <c r="K79" i="6" s="1"/>
  <c r="H79" i="6"/>
  <c r="I79" i="6" s="1"/>
  <c r="G79" i="6"/>
  <c r="R78" i="6"/>
  <c r="L78" i="6"/>
  <c r="J78" i="6"/>
  <c r="K78" i="6" s="1"/>
  <c r="H78" i="6"/>
  <c r="I78" i="6" s="1"/>
  <c r="G78" i="6"/>
  <c r="R77" i="6"/>
  <c r="L77" i="6"/>
  <c r="J77" i="6"/>
  <c r="K77" i="6" s="1"/>
  <c r="H77" i="6"/>
  <c r="I77" i="6" s="1"/>
  <c r="G77" i="6"/>
  <c r="R76" i="6"/>
  <c r="L76" i="6"/>
  <c r="J76" i="6"/>
  <c r="K76" i="6" s="1"/>
  <c r="H76" i="6"/>
  <c r="G76" i="6"/>
  <c r="R75" i="6"/>
  <c r="L75" i="6"/>
  <c r="J75" i="6"/>
  <c r="K75" i="6" s="1"/>
  <c r="H75" i="6"/>
  <c r="I75" i="6" s="1"/>
  <c r="G75" i="6"/>
  <c r="R74" i="6"/>
  <c r="L74" i="6"/>
  <c r="J74" i="6"/>
  <c r="K74" i="6" s="1"/>
  <c r="H74" i="6"/>
  <c r="I74" i="6" s="1"/>
  <c r="G74" i="6"/>
  <c r="R73" i="6"/>
  <c r="L73" i="6"/>
  <c r="J73" i="6"/>
  <c r="K73" i="6" s="1"/>
  <c r="H73" i="6"/>
  <c r="I73" i="6" s="1"/>
  <c r="G73" i="6"/>
  <c r="R72" i="6"/>
  <c r="L72" i="6"/>
  <c r="J72" i="6"/>
  <c r="K72" i="6" s="1"/>
  <c r="H72" i="6"/>
  <c r="G72" i="6"/>
  <c r="R71" i="6"/>
  <c r="L71" i="6"/>
  <c r="J71" i="6"/>
  <c r="K71" i="6" s="1"/>
  <c r="H71" i="6"/>
  <c r="I71" i="6" s="1"/>
  <c r="G71" i="6"/>
  <c r="R70" i="6"/>
  <c r="L70" i="6"/>
  <c r="J70" i="6"/>
  <c r="K70" i="6" s="1"/>
  <c r="H70" i="6"/>
  <c r="I70" i="6" s="1"/>
  <c r="G70" i="6"/>
  <c r="R69" i="6"/>
  <c r="L69" i="6"/>
  <c r="J69" i="6"/>
  <c r="K69" i="6" s="1"/>
  <c r="H69" i="6"/>
  <c r="I69" i="6" s="1"/>
  <c r="G69" i="6"/>
  <c r="R68" i="6"/>
  <c r="L68" i="6"/>
  <c r="J68" i="6"/>
  <c r="K68" i="6" s="1"/>
  <c r="H68" i="6"/>
  <c r="G68" i="6"/>
  <c r="R67" i="6"/>
  <c r="L67" i="6"/>
  <c r="J67" i="6"/>
  <c r="K67" i="6" s="1"/>
  <c r="H67" i="6"/>
  <c r="I67" i="6" s="1"/>
  <c r="G67" i="6"/>
  <c r="R66" i="6"/>
  <c r="L66" i="6"/>
  <c r="J66" i="6"/>
  <c r="K66" i="6" s="1"/>
  <c r="H66" i="6"/>
  <c r="I66" i="6" s="1"/>
  <c r="G66" i="6"/>
  <c r="R65" i="6"/>
  <c r="L65" i="6"/>
  <c r="J65" i="6"/>
  <c r="K65" i="6" s="1"/>
  <c r="H65" i="6"/>
  <c r="I65" i="6" s="1"/>
  <c r="G65" i="6"/>
  <c r="R64" i="6"/>
  <c r="L64" i="6"/>
  <c r="J64" i="6"/>
  <c r="K64" i="6" s="1"/>
  <c r="H64" i="6"/>
  <c r="G64" i="6"/>
  <c r="R63" i="6"/>
  <c r="L63" i="6"/>
  <c r="J63" i="6"/>
  <c r="K63" i="6" s="1"/>
  <c r="H63" i="6"/>
  <c r="I63" i="6" s="1"/>
  <c r="G63" i="6"/>
  <c r="R62" i="6"/>
  <c r="L62" i="6"/>
  <c r="J62" i="6"/>
  <c r="K62" i="6" s="1"/>
  <c r="H62" i="6"/>
  <c r="I62" i="6" s="1"/>
  <c r="G62" i="6"/>
  <c r="R61" i="6"/>
  <c r="L61" i="6"/>
  <c r="J61" i="6"/>
  <c r="K61" i="6" s="1"/>
  <c r="H61" i="6"/>
  <c r="I61" i="6" s="1"/>
  <c r="G61" i="6"/>
  <c r="R60" i="6"/>
  <c r="L60" i="6"/>
  <c r="J60" i="6"/>
  <c r="K60" i="6" s="1"/>
  <c r="H60" i="6"/>
  <c r="G60" i="6"/>
  <c r="R59" i="6"/>
  <c r="L59" i="6"/>
  <c r="J59" i="6"/>
  <c r="K59" i="6" s="1"/>
  <c r="H59" i="6"/>
  <c r="I59" i="6" s="1"/>
  <c r="G59" i="6"/>
  <c r="R58" i="6"/>
  <c r="L58" i="6"/>
  <c r="J58" i="6"/>
  <c r="K58" i="6" s="1"/>
  <c r="H58" i="6"/>
  <c r="I58" i="6" s="1"/>
  <c r="G58" i="6"/>
  <c r="R57" i="6"/>
  <c r="L57" i="6"/>
  <c r="J57" i="6"/>
  <c r="K57" i="6" s="1"/>
  <c r="H57" i="6"/>
  <c r="I57" i="6" s="1"/>
  <c r="G57" i="6"/>
  <c r="R56" i="6"/>
  <c r="L56" i="6"/>
  <c r="J56" i="6"/>
  <c r="K56" i="6" s="1"/>
  <c r="H56" i="6"/>
  <c r="G56" i="6"/>
  <c r="R55" i="6"/>
  <c r="L55" i="6"/>
  <c r="J55" i="6"/>
  <c r="K55" i="6" s="1"/>
  <c r="H55" i="6"/>
  <c r="I55" i="6" s="1"/>
  <c r="G55" i="6"/>
  <c r="R54" i="6"/>
  <c r="L54" i="6"/>
  <c r="J54" i="6"/>
  <c r="K54" i="6" s="1"/>
  <c r="H54" i="6"/>
  <c r="I54" i="6" s="1"/>
  <c r="G54" i="6"/>
  <c r="R53" i="6"/>
  <c r="L53" i="6"/>
  <c r="J53" i="6"/>
  <c r="K53" i="6" s="1"/>
  <c r="H53" i="6"/>
  <c r="I53" i="6" s="1"/>
  <c r="G53" i="6"/>
  <c r="R52" i="6"/>
  <c r="L52" i="6"/>
  <c r="J52" i="6"/>
  <c r="K52" i="6" s="1"/>
  <c r="H52" i="6"/>
  <c r="G52" i="6"/>
  <c r="R51" i="6"/>
  <c r="L51" i="6"/>
  <c r="J51" i="6"/>
  <c r="K51" i="6" s="1"/>
  <c r="H51" i="6"/>
  <c r="I51" i="6" s="1"/>
  <c r="G51" i="6"/>
  <c r="R50" i="6"/>
  <c r="L50" i="6"/>
  <c r="J50" i="6"/>
  <c r="K50" i="6" s="1"/>
  <c r="H50" i="6"/>
  <c r="I50" i="6" s="1"/>
  <c r="G50" i="6"/>
  <c r="R49" i="6"/>
  <c r="L49" i="6"/>
  <c r="J49" i="6"/>
  <c r="K49" i="6" s="1"/>
  <c r="H49" i="6"/>
  <c r="I49" i="6" s="1"/>
  <c r="G49" i="6"/>
  <c r="R48" i="6"/>
  <c r="L48" i="6"/>
  <c r="J48" i="6"/>
  <c r="K48" i="6" s="1"/>
  <c r="H48" i="6"/>
  <c r="G48" i="6"/>
  <c r="R47" i="6"/>
  <c r="L47" i="6"/>
  <c r="J47" i="6"/>
  <c r="K47" i="6" s="1"/>
  <c r="H47" i="6"/>
  <c r="I47" i="6" s="1"/>
  <c r="G47" i="6"/>
  <c r="R46" i="6"/>
  <c r="L46" i="6"/>
  <c r="J46" i="6"/>
  <c r="K46" i="6" s="1"/>
  <c r="H46" i="6"/>
  <c r="I46" i="6" s="1"/>
  <c r="G46" i="6"/>
  <c r="R45" i="6"/>
  <c r="L45" i="6"/>
  <c r="J45" i="6"/>
  <c r="K45" i="6" s="1"/>
  <c r="H45" i="6"/>
  <c r="I45" i="6" s="1"/>
  <c r="G45" i="6"/>
  <c r="R44" i="6"/>
  <c r="L44" i="6"/>
  <c r="J44" i="6"/>
  <c r="K44" i="6" s="1"/>
  <c r="H44" i="6"/>
  <c r="G44" i="6"/>
  <c r="R43" i="6"/>
  <c r="L43" i="6"/>
  <c r="J43" i="6"/>
  <c r="K43" i="6" s="1"/>
  <c r="H43" i="6"/>
  <c r="I43" i="6" s="1"/>
  <c r="G43" i="6"/>
  <c r="R42" i="6"/>
  <c r="L42" i="6"/>
  <c r="J42" i="6"/>
  <c r="K42" i="6" s="1"/>
  <c r="H42" i="6"/>
  <c r="I42" i="6" s="1"/>
  <c r="G42" i="6"/>
  <c r="V41" i="6"/>
  <c r="U41" i="6"/>
  <c r="T41" i="6"/>
  <c r="S41" i="6"/>
  <c r="R41" i="6"/>
  <c r="Q41" i="6"/>
  <c r="P41" i="6"/>
  <c r="C27" i="6"/>
  <c r="AB6" i="6"/>
  <c r="AB2" i="6" s="1"/>
  <c r="R6" i="6"/>
  <c r="AQ26" i="6" s="1"/>
  <c r="AF5" i="6"/>
  <c r="AF6" i="6" s="1"/>
  <c r="AC5" i="6"/>
  <c r="AC6" i="6" s="1"/>
  <c r="Z5" i="6"/>
  <c r="I49" i="3" s="1"/>
  <c r="Y5" i="6"/>
  <c r="H49" i="3" s="1"/>
  <c r="X5" i="6"/>
  <c r="G49" i="3" s="1"/>
  <c r="R5" i="6"/>
  <c r="AQ15" i="6" s="1"/>
  <c r="A527" i="1" s="1"/>
  <c r="C4" i="6"/>
  <c r="O1" i="6"/>
  <c r="P89" i="6" s="1"/>
  <c r="L1" i="6"/>
  <c r="H1" i="6"/>
  <c r="W5" i="6" s="1"/>
  <c r="F49" i="3" s="1"/>
  <c r="B1" i="6"/>
  <c r="AB6" i="5"/>
  <c r="AB2" i="5" s="1"/>
  <c r="R6" i="5"/>
  <c r="R5" i="5"/>
  <c r="AQ12" i="5" s="1"/>
  <c r="AF5" i="5"/>
  <c r="AF6" i="5" s="1"/>
  <c r="AC5" i="5"/>
  <c r="AC6" i="5" s="1"/>
  <c r="Z5" i="5"/>
  <c r="Y5" i="5"/>
  <c r="X5" i="5"/>
  <c r="O1" i="5"/>
  <c r="Q86" i="5" s="1"/>
  <c r="L1" i="5"/>
  <c r="H1" i="5"/>
  <c r="W5" i="5" s="1"/>
  <c r="B1" i="5"/>
  <c r="R91" i="5"/>
  <c r="L91" i="5"/>
  <c r="J91" i="5"/>
  <c r="K91" i="5" s="1"/>
  <c r="H91" i="5"/>
  <c r="I91" i="5" s="1"/>
  <c r="G91" i="5"/>
  <c r="R90" i="5"/>
  <c r="L90" i="5"/>
  <c r="J90" i="5"/>
  <c r="K90" i="5" s="1"/>
  <c r="H90" i="5"/>
  <c r="I90" i="5" s="1"/>
  <c r="G90" i="5"/>
  <c r="R89" i="5"/>
  <c r="L89" i="5"/>
  <c r="J89" i="5"/>
  <c r="K89" i="5" s="1"/>
  <c r="H89" i="5"/>
  <c r="G89" i="5"/>
  <c r="R88" i="5"/>
  <c r="L88" i="5"/>
  <c r="J88" i="5"/>
  <c r="K88" i="5" s="1"/>
  <c r="H88" i="5"/>
  <c r="G88" i="5"/>
  <c r="R87" i="5"/>
  <c r="L87" i="5"/>
  <c r="J87" i="5"/>
  <c r="K87" i="5" s="1"/>
  <c r="H87" i="5"/>
  <c r="I87" i="5" s="1"/>
  <c r="G87" i="5"/>
  <c r="R86" i="5"/>
  <c r="L86" i="5"/>
  <c r="J86" i="5"/>
  <c r="K86" i="5" s="1"/>
  <c r="H86" i="5"/>
  <c r="I86" i="5" s="1"/>
  <c r="G86" i="5"/>
  <c r="R85" i="5"/>
  <c r="L85" i="5"/>
  <c r="J85" i="5"/>
  <c r="K85" i="5" s="1"/>
  <c r="H85" i="5"/>
  <c r="G85" i="5"/>
  <c r="R84" i="5"/>
  <c r="L84" i="5"/>
  <c r="J84" i="5"/>
  <c r="K84" i="5" s="1"/>
  <c r="H84" i="5"/>
  <c r="G84" i="5"/>
  <c r="R83" i="5"/>
  <c r="L83" i="5"/>
  <c r="J83" i="5"/>
  <c r="K83" i="5" s="1"/>
  <c r="H83" i="5"/>
  <c r="I83" i="5" s="1"/>
  <c r="G83" i="5"/>
  <c r="R82" i="5"/>
  <c r="L82" i="5"/>
  <c r="J82" i="5"/>
  <c r="K82" i="5" s="1"/>
  <c r="H82" i="5"/>
  <c r="I82" i="5" s="1"/>
  <c r="G82" i="5"/>
  <c r="R81" i="5"/>
  <c r="L81" i="5"/>
  <c r="J81" i="5"/>
  <c r="K81" i="5" s="1"/>
  <c r="H81" i="5"/>
  <c r="G81" i="5"/>
  <c r="R80" i="5"/>
  <c r="L80" i="5"/>
  <c r="J80" i="5"/>
  <c r="K80" i="5" s="1"/>
  <c r="H80" i="5"/>
  <c r="G80" i="5"/>
  <c r="R79" i="5"/>
  <c r="L79" i="5"/>
  <c r="J79" i="5"/>
  <c r="K79" i="5" s="1"/>
  <c r="H79" i="5"/>
  <c r="I79" i="5" s="1"/>
  <c r="G79" i="5"/>
  <c r="R78" i="5"/>
  <c r="L78" i="5"/>
  <c r="J78" i="5"/>
  <c r="K78" i="5" s="1"/>
  <c r="H78" i="5"/>
  <c r="I78" i="5" s="1"/>
  <c r="G78" i="5"/>
  <c r="R77" i="5"/>
  <c r="L77" i="5"/>
  <c r="J77" i="5"/>
  <c r="K77" i="5" s="1"/>
  <c r="H77" i="5"/>
  <c r="G77" i="5"/>
  <c r="R76" i="5"/>
  <c r="L76" i="5"/>
  <c r="J76" i="5"/>
  <c r="K76" i="5" s="1"/>
  <c r="H76" i="5"/>
  <c r="G76" i="5"/>
  <c r="R75" i="5"/>
  <c r="L75" i="5"/>
  <c r="J75" i="5"/>
  <c r="K75" i="5" s="1"/>
  <c r="H75" i="5"/>
  <c r="I75" i="5" s="1"/>
  <c r="G75" i="5"/>
  <c r="R74" i="5"/>
  <c r="L74" i="5"/>
  <c r="J74" i="5"/>
  <c r="K74" i="5" s="1"/>
  <c r="H74" i="5"/>
  <c r="I74" i="5" s="1"/>
  <c r="G74" i="5"/>
  <c r="R73" i="5"/>
  <c r="L73" i="5"/>
  <c r="J73" i="5"/>
  <c r="K73" i="5" s="1"/>
  <c r="H73" i="5"/>
  <c r="G73" i="5"/>
  <c r="R72" i="5"/>
  <c r="L72" i="5"/>
  <c r="J72" i="5"/>
  <c r="K72" i="5" s="1"/>
  <c r="H72" i="5"/>
  <c r="G72" i="5"/>
  <c r="R71" i="5"/>
  <c r="L71" i="5"/>
  <c r="J71" i="5"/>
  <c r="K71" i="5" s="1"/>
  <c r="H71" i="5"/>
  <c r="I71" i="5" s="1"/>
  <c r="G71" i="5"/>
  <c r="R70" i="5"/>
  <c r="L70" i="5"/>
  <c r="J70" i="5"/>
  <c r="K70" i="5" s="1"/>
  <c r="H70" i="5"/>
  <c r="I70" i="5" s="1"/>
  <c r="G70" i="5"/>
  <c r="R69" i="5"/>
  <c r="L69" i="5"/>
  <c r="J69" i="5"/>
  <c r="K69" i="5" s="1"/>
  <c r="H69" i="5"/>
  <c r="G69" i="5"/>
  <c r="R68" i="5"/>
  <c r="L68" i="5"/>
  <c r="J68" i="5"/>
  <c r="K68" i="5" s="1"/>
  <c r="H68" i="5"/>
  <c r="G68" i="5"/>
  <c r="R67" i="5"/>
  <c r="L67" i="5"/>
  <c r="J67" i="5"/>
  <c r="K67" i="5" s="1"/>
  <c r="H67" i="5"/>
  <c r="I67" i="5" s="1"/>
  <c r="G67" i="5"/>
  <c r="R66" i="5"/>
  <c r="L66" i="5"/>
  <c r="J66" i="5"/>
  <c r="K66" i="5" s="1"/>
  <c r="H66" i="5"/>
  <c r="I66" i="5" s="1"/>
  <c r="G66" i="5"/>
  <c r="R65" i="5"/>
  <c r="L65" i="5"/>
  <c r="J65" i="5"/>
  <c r="K65" i="5" s="1"/>
  <c r="H65" i="5"/>
  <c r="G65" i="5"/>
  <c r="R64" i="5"/>
  <c r="L64" i="5"/>
  <c r="J64" i="5"/>
  <c r="K64" i="5" s="1"/>
  <c r="H64" i="5"/>
  <c r="G64" i="5"/>
  <c r="R63" i="5"/>
  <c r="L63" i="5"/>
  <c r="J63" i="5"/>
  <c r="K63" i="5" s="1"/>
  <c r="H63" i="5"/>
  <c r="I63" i="5" s="1"/>
  <c r="G63" i="5"/>
  <c r="R62" i="5"/>
  <c r="L62" i="5"/>
  <c r="J62" i="5"/>
  <c r="K62" i="5" s="1"/>
  <c r="H62" i="5"/>
  <c r="I62" i="5" s="1"/>
  <c r="G62" i="5"/>
  <c r="R61" i="5"/>
  <c r="L61" i="5"/>
  <c r="J61" i="5"/>
  <c r="K61" i="5" s="1"/>
  <c r="H61" i="5"/>
  <c r="G61" i="5"/>
  <c r="R60" i="5"/>
  <c r="L60" i="5"/>
  <c r="J60" i="5"/>
  <c r="K60" i="5" s="1"/>
  <c r="H60" i="5"/>
  <c r="G60" i="5"/>
  <c r="R59" i="5"/>
  <c r="L59" i="5"/>
  <c r="J59" i="5"/>
  <c r="K59" i="5" s="1"/>
  <c r="H59" i="5"/>
  <c r="I59" i="5" s="1"/>
  <c r="G59" i="5"/>
  <c r="R58" i="5"/>
  <c r="L58" i="5"/>
  <c r="J58" i="5"/>
  <c r="K58" i="5" s="1"/>
  <c r="H58" i="5"/>
  <c r="I58" i="5" s="1"/>
  <c r="G58" i="5"/>
  <c r="R57" i="5"/>
  <c r="L57" i="5"/>
  <c r="J57" i="5"/>
  <c r="K57" i="5" s="1"/>
  <c r="H57" i="5"/>
  <c r="G57" i="5"/>
  <c r="R56" i="5"/>
  <c r="L56" i="5"/>
  <c r="J56" i="5"/>
  <c r="K56" i="5" s="1"/>
  <c r="H56" i="5"/>
  <c r="G56" i="5"/>
  <c r="R55" i="5"/>
  <c r="L55" i="5"/>
  <c r="J55" i="5"/>
  <c r="K55" i="5" s="1"/>
  <c r="H55" i="5"/>
  <c r="I55" i="5" s="1"/>
  <c r="G55" i="5"/>
  <c r="R54" i="5"/>
  <c r="L54" i="5"/>
  <c r="J54" i="5"/>
  <c r="K54" i="5" s="1"/>
  <c r="H54" i="5"/>
  <c r="I54" i="5" s="1"/>
  <c r="G54" i="5"/>
  <c r="R53" i="5"/>
  <c r="L53" i="5"/>
  <c r="J53" i="5"/>
  <c r="K53" i="5" s="1"/>
  <c r="H53" i="5"/>
  <c r="G53" i="5"/>
  <c r="R52" i="5"/>
  <c r="L52" i="5"/>
  <c r="J52" i="5"/>
  <c r="K52" i="5" s="1"/>
  <c r="H52" i="5"/>
  <c r="G52" i="5"/>
  <c r="R51" i="5"/>
  <c r="L51" i="5"/>
  <c r="J51" i="5"/>
  <c r="K51" i="5" s="1"/>
  <c r="H51" i="5"/>
  <c r="I51" i="5" s="1"/>
  <c r="G51" i="5"/>
  <c r="R50" i="5"/>
  <c r="L50" i="5"/>
  <c r="J50" i="5"/>
  <c r="K50" i="5" s="1"/>
  <c r="H50" i="5"/>
  <c r="I50" i="5" s="1"/>
  <c r="G50" i="5"/>
  <c r="R49" i="5"/>
  <c r="L49" i="5"/>
  <c r="J49" i="5"/>
  <c r="K49" i="5" s="1"/>
  <c r="H49" i="5"/>
  <c r="G49" i="5"/>
  <c r="R48" i="5"/>
  <c r="L48" i="5"/>
  <c r="J48" i="5"/>
  <c r="K48" i="5" s="1"/>
  <c r="H48" i="5"/>
  <c r="G48" i="5"/>
  <c r="R47" i="5"/>
  <c r="L47" i="5"/>
  <c r="J47" i="5"/>
  <c r="K47" i="5" s="1"/>
  <c r="H47" i="5"/>
  <c r="I47" i="5" s="1"/>
  <c r="G47" i="5"/>
  <c r="R46" i="5"/>
  <c r="L46" i="5"/>
  <c r="J46" i="5"/>
  <c r="K46" i="5" s="1"/>
  <c r="H46" i="5"/>
  <c r="I46" i="5" s="1"/>
  <c r="G46" i="5"/>
  <c r="R45" i="5"/>
  <c r="L45" i="5"/>
  <c r="J45" i="5"/>
  <c r="K45" i="5" s="1"/>
  <c r="H45" i="5"/>
  <c r="G45" i="5"/>
  <c r="R44" i="5"/>
  <c r="L44" i="5"/>
  <c r="J44" i="5"/>
  <c r="K44" i="5" s="1"/>
  <c r="H44" i="5"/>
  <c r="G44" i="5"/>
  <c r="R43" i="5"/>
  <c r="L43" i="5"/>
  <c r="J43" i="5"/>
  <c r="K43" i="5" s="1"/>
  <c r="H43" i="5"/>
  <c r="I43" i="5" s="1"/>
  <c r="G43" i="5"/>
  <c r="R42" i="5"/>
  <c r="L42" i="5"/>
  <c r="J42" i="5"/>
  <c r="K42" i="5" s="1"/>
  <c r="M42" i="5" s="1"/>
  <c r="H42" i="5"/>
  <c r="I42" i="5" s="1"/>
  <c r="G42" i="5"/>
  <c r="V41" i="5"/>
  <c r="U41" i="5"/>
  <c r="T41" i="5"/>
  <c r="S41" i="5"/>
  <c r="R41" i="5"/>
  <c r="Q41" i="5"/>
  <c r="P41" i="5"/>
  <c r="C27" i="5"/>
  <c r="C4" i="5"/>
  <c r="P263" i="4"/>
  <c r="N263" i="4"/>
  <c r="O263" i="4" s="1"/>
  <c r="P262" i="4"/>
  <c r="N262" i="4"/>
  <c r="O262" i="4" s="1"/>
  <c r="P261" i="4"/>
  <c r="N261" i="4"/>
  <c r="P260" i="4"/>
  <c r="N260" i="4"/>
  <c r="P259" i="4"/>
  <c r="N259" i="4"/>
  <c r="P258" i="4"/>
  <c r="N258" i="4"/>
  <c r="O258" i="4" s="1"/>
  <c r="P257" i="4"/>
  <c r="N257" i="4"/>
  <c r="O257" i="4" s="1"/>
  <c r="P256" i="4"/>
  <c r="N256" i="4"/>
  <c r="O256" i="4" s="1"/>
  <c r="Q256" i="4" s="1"/>
  <c r="P255" i="4"/>
  <c r="N255" i="4"/>
  <c r="O255" i="4" s="1"/>
  <c r="P254" i="4"/>
  <c r="N254" i="4"/>
  <c r="O254" i="4" s="1"/>
  <c r="P253" i="4"/>
  <c r="N253" i="4"/>
  <c r="O253" i="4" s="1"/>
  <c r="P252" i="4"/>
  <c r="N252" i="4"/>
  <c r="P251" i="4"/>
  <c r="N251" i="4"/>
  <c r="O251" i="4" s="1"/>
  <c r="P250" i="4"/>
  <c r="N250" i="4"/>
  <c r="O250" i="4" s="1"/>
  <c r="P249" i="4"/>
  <c r="N249" i="4"/>
  <c r="O249" i="4" s="1"/>
  <c r="P248" i="4"/>
  <c r="N248" i="4"/>
  <c r="P247" i="4"/>
  <c r="N247" i="4"/>
  <c r="O247" i="4" s="1"/>
  <c r="P246" i="4"/>
  <c r="N246" i="4"/>
  <c r="O246" i="4" s="1"/>
  <c r="P245" i="4"/>
  <c r="N245" i="4"/>
  <c r="O245" i="4" s="1"/>
  <c r="P244" i="4"/>
  <c r="N244" i="4"/>
  <c r="P243" i="4"/>
  <c r="N243" i="4"/>
  <c r="O243" i="4" s="1"/>
  <c r="P242" i="4"/>
  <c r="N242" i="4"/>
  <c r="O242" i="4" s="1"/>
  <c r="P241" i="4"/>
  <c r="N241" i="4"/>
  <c r="O241" i="4" s="1"/>
  <c r="P240" i="4"/>
  <c r="N240" i="4"/>
  <c r="O240" i="4" s="1"/>
  <c r="P239" i="4"/>
  <c r="N239" i="4"/>
  <c r="O239" i="4" s="1"/>
  <c r="P238" i="4"/>
  <c r="N238" i="4"/>
  <c r="O238" i="4" s="1"/>
  <c r="P237" i="4"/>
  <c r="N237" i="4"/>
  <c r="O237" i="4" s="1"/>
  <c r="P236" i="4"/>
  <c r="N236" i="4"/>
  <c r="O236" i="4" s="1"/>
  <c r="P235" i="4"/>
  <c r="N235" i="4"/>
  <c r="O235" i="4" s="1"/>
  <c r="P234" i="4"/>
  <c r="N234" i="4"/>
  <c r="O234" i="4" s="1"/>
  <c r="P233" i="4"/>
  <c r="N233" i="4"/>
  <c r="P232" i="4"/>
  <c r="N232" i="4"/>
  <c r="O232" i="4" s="1"/>
  <c r="P231" i="4"/>
  <c r="N231" i="4"/>
  <c r="O231" i="4" s="1"/>
  <c r="P230" i="4"/>
  <c r="N230" i="4"/>
  <c r="O230" i="4" s="1"/>
  <c r="P229" i="4"/>
  <c r="N229" i="4"/>
  <c r="O229" i="4" s="1"/>
  <c r="P228" i="4"/>
  <c r="N228" i="4"/>
  <c r="P227" i="4"/>
  <c r="N227" i="4"/>
  <c r="O227" i="4" s="1"/>
  <c r="P226" i="4"/>
  <c r="N226" i="4"/>
  <c r="O226" i="4" s="1"/>
  <c r="P225" i="4"/>
  <c r="N225" i="4"/>
  <c r="O225" i="4" s="1"/>
  <c r="P224" i="4"/>
  <c r="N224" i="4"/>
  <c r="O224" i="4" s="1"/>
  <c r="P223" i="4"/>
  <c r="N223" i="4"/>
  <c r="O223" i="4" s="1"/>
  <c r="P222" i="4"/>
  <c r="N222" i="4"/>
  <c r="O222" i="4" s="1"/>
  <c r="P221" i="4"/>
  <c r="N221" i="4"/>
  <c r="O221" i="4" s="1"/>
  <c r="P220" i="4"/>
  <c r="N220" i="4"/>
  <c r="O220" i="4" s="1"/>
  <c r="P219" i="4"/>
  <c r="N219" i="4"/>
  <c r="O219" i="4" s="1"/>
  <c r="P218" i="4"/>
  <c r="N218" i="4"/>
  <c r="O218" i="4" s="1"/>
  <c r="P217" i="4"/>
  <c r="N217" i="4"/>
  <c r="O217" i="4" s="1"/>
  <c r="P216" i="4"/>
  <c r="N216" i="4"/>
  <c r="P215" i="4"/>
  <c r="N215" i="4"/>
  <c r="O215" i="4" s="1"/>
  <c r="P214" i="4"/>
  <c r="N214" i="4"/>
  <c r="O214" i="4" s="1"/>
  <c r="P213" i="4"/>
  <c r="N213" i="4"/>
  <c r="O213" i="4" s="1"/>
  <c r="P212" i="4"/>
  <c r="N212" i="4"/>
  <c r="P211" i="4"/>
  <c r="N211" i="4"/>
  <c r="P210" i="4"/>
  <c r="N210" i="4"/>
  <c r="O210" i="4" s="1"/>
  <c r="P209" i="4"/>
  <c r="N209" i="4"/>
  <c r="O209" i="4" s="1"/>
  <c r="P208" i="4"/>
  <c r="N208" i="4"/>
  <c r="P207" i="4"/>
  <c r="N207" i="4"/>
  <c r="O207" i="4" s="1"/>
  <c r="P206" i="4"/>
  <c r="N206" i="4"/>
  <c r="O206" i="4" s="1"/>
  <c r="P205" i="4"/>
  <c r="N205" i="4"/>
  <c r="O205" i="4" s="1"/>
  <c r="P204" i="4"/>
  <c r="N204" i="4"/>
  <c r="P203" i="4"/>
  <c r="N203" i="4"/>
  <c r="O203" i="4" s="1"/>
  <c r="P202" i="4"/>
  <c r="N202" i="4"/>
  <c r="O202" i="4" s="1"/>
  <c r="P201" i="4"/>
  <c r="N201" i="4"/>
  <c r="O201" i="4" s="1"/>
  <c r="P200" i="4"/>
  <c r="N200" i="4"/>
  <c r="O200" i="4" s="1"/>
  <c r="P199" i="4"/>
  <c r="N199" i="4"/>
  <c r="P198" i="4"/>
  <c r="N198" i="4"/>
  <c r="O198" i="4" s="1"/>
  <c r="P197" i="4"/>
  <c r="N197" i="4"/>
  <c r="P196" i="4"/>
  <c r="N196" i="4"/>
  <c r="O196" i="4" s="1"/>
  <c r="P195" i="4"/>
  <c r="N195" i="4"/>
  <c r="O195" i="4" s="1"/>
  <c r="P194" i="4"/>
  <c r="N194" i="4"/>
  <c r="P193" i="4"/>
  <c r="N193" i="4"/>
  <c r="O193" i="4" s="1"/>
  <c r="P192" i="4"/>
  <c r="N192" i="4"/>
  <c r="P191" i="4"/>
  <c r="N191" i="4"/>
  <c r="O191" i="4" s="1"/>
  <c r="P190" i="4"/>
  <c r="N190" i="4"/>
  <c r="O190" i="4" s="1"/>
  <c r="P189" i="4"/>
  <c r="N189" i="4"/>
  <c r="O189" i="4" s="1"/>
  <c r="P188" i="4"/>
  <c r="N188" i="4"/>
  <c r="P187" i="4"/>
  <c r="N187" i="4"/>
  <c r="O187" i="4" s="1"/>
  <c r="P186" i="4"/>
  <c r="N186" i="4"/>
  <c r="O186" i="4" s="1"/>
  <c r="P185" i="4"/>
  <c r="N185" i="4"/>
  <c r="O185" i="4" s="1"/>
  <c r="P184" i="4"/>
  <c r="N184" i="4"/>
  <c r="O184" i="4" s="1"/>
  <c r="P183" i="4"/>
  <c r="N183" i="4"/>
  <c r="O183" i="4" s="1"/>
  <c r="P182" i="4"/>
  <c r="N182" i="4"/>
  <c r="P181" i="4"/>
  <c r="N181" i="4"/>
  <c r="O181" i="4" s="1"/>
  <c r="P180" i="4"/>
  <c r="N180" i="4"/>
  <c r="P179" i="4"/>
  <c r="N179" i="4"/>
  <c r="O179" i="4" s="1"/>
  <c r="P178" i="4"/>
  <c r="N178" i="4"/>
  <c r="O178" i="4" s="1"/>
  <c r="P177" i="4"/>
  <c r="N177" i="4"/>
  <c r="O177" i="4" s="1"/>
  <c r="P176" i="4"/>
  <c r="N176" i="4"/>
  <c r="O176" i="4" s="1"/>
  <c r="P175" i="4"/>
  <c r="N175" i="4"/>
  <c r="O175" i="4" s="1"/>
  <c r="P174" i="4"/>
  <c r="N174" i="4"/>
  <c r="O174" i="4" s="1"/>
  <c r="P173" i="4"/>
  <c r="N173" i="4"/>
  <c r="O173" i="4" s="1"/>
  <c r="P172" i="4"/>
  <c r="N172" i="4"/>
  <c r="P171" i="4"/>
  <c r="N171" i="4"/>
  <c r="O171" i="4" s="1"/>
  <c r="P170" i="4"/>
  <c r="N170" i="4"/>
  <c r="P169" i="4"/>
  <c r="N169" i="4"/>
  <c r="O169" i="4" s="1"/>
  <c r="AA5" i="14" s="1"/>
  <c r="P168" i="4"/>
  <c r="N168" i="4"/>
  <c r="P167" i="4"/>
  <c r="N167" i="4"/>
  <c r="O167" i="4" s="1"/>
  <c r="AA5" i="13" s="1"/>
  <c r="P166" i="4"/>
  <c r="N166" i="4"/>
  <c r="O166" i="4" s="1"/>
  <c r="P165" i="4"/>
  <c r="N165" i="4"/>
  <c r="O165" i="4" s="1"/>
  <c r="P164" i="4"/>
  <c r="N164" i="4"/>
  <c r="O164" i="4" s="1"/>
  <c r="P163" i="4"/>
  <c r="N163" i="4"/>
  <c r="O163" i="4" s="1"/>
  <c r="P162" i="4"/>
  <c r="N162" i="4"/>
  <c r="O162" i="4" s="1"/>
  <c r="AA5" i="12" s="1"/>
  <c r="AA6" i="12" s="1"/>
  <c r="P161" i="4"/>
  <c r="N161" i="4"/>
  <c r="P160" i="4"/>
  <c r="N160" i="4"/>
  <c r="O160" i="4" s="1"/>
  <c r="P159" i="4"/>
  <c r="N159" i="4"/>
  <c r="O159" i="4" s="1"/>
  <c r="P158" i="4"/>
  <c r="N158" i="4"/>
  <c r="P157" i="4"/>
  <c r="N157" i="4"/>
  <c r="O157" i="4" s="1"/>
  <c r="P156" i="4"/>
  <c r="N156" i="4"/>
  <c r="P155" i="4"/>
  <c r="N155" i="4"/>
  <c r="O155" i="4" s="1"/>
  <c r="P154" i="4"/>
  <c r="N154" i="4"/>
  <c r="P153" i="4"/>
  <c r="N153" i="4"/>
  <c r="O153" i="4" s="1"/>
  <c r="P152" i="4"/>
  <c r="N152" i="4"/>
  <c r="O152" i="4" s="1"/>
  <c r="P151" i="4"/>
  <c r="N151" i="4"/>
  <c r="O151" i="4" s="1"/>
  <c r="P150" i="4"/>
  <c r="N150" i="4"/>
  <c r="O150" i="4" s="1"/>
  <c r="P149" i="4"/>
  <c r="N149" i="4"/>
  <c r="O149" i="4" s="1"/>
  <c r="P148" i="4"/>
  <c r="N148" i="4"/>
  <c r="O148" i="4" s="1"/>
  <c r="P147" i="4"/>
  <c r="N147" i="4"/>
  <c r="O147" i="4" s="1"/>
  <c r="P146" i="4"/>
  <c r="N146" i="4"/>
  <c r="P145" i="4"/>
  <c r="N145" i="4"/>
  <c r="O145" i="4" s="1"/>
  <c r="P144" i="4"/>
  <c r="N144" i="4"/>
  <c r="P143" i="4"/>
  <c r="N143" i="4"/>
  <c r="O143" i="4" s="1"/>
  <c r="P142" i="4"/>
  <c r="N142" i="4"/>
  <c r="O142" i="4" s="1"/>
  <c r="P141" i="4"/>
  <c r="N141" i="4"/>
  <c r="O141" i="4" s="1"/>
  <c r="P140" i="4"/>
  <c r="N140" i="4"/>
  <c r="P139" i="4"/>
  <c r="N139" i="4"/>
  <c r="O139" i="4" s="1"/>
  <c r="P138" i="4"/>
  <c r="N138" i="4"/>
  <c r="P137" i="4"/>
  <c r="N137" i="4"/>
  <c r="O137" i="4" s="1"/>
  <c r="P136" i="4"/>
  <c r="N136" i="4"/>
  <c r="P135" i="4"/>
  <c r="N135" i="4"/>
  <c r="O135" i="4" s="1"/>
  <c r="P134" i="4"/>
  <c r="N134" i="4"/>
  <c r="P133" i="4"/>
  <c r="N133" i="4"/>
  <c r="O133" i="4" s="1"/>
  <c r="P132" i="4"/>
  <c r="N132" i="4"/>
  <c r="P131" i="4"/>
  <c r="N131" i="4"/>
  <c r="O131" i="4" s="1"/>
  <c r="P130" i="4"/>
  <c r="N130" i="4"/>
  <c r="P129" i="4"/>
  <c r="N129" i="4"/>
  <c r="O129" i="4" s="1"/>
  <c r="P128" i="4"/>
  <c r="N128" i="4"/>
  <c r="O128" i="4" s="1"/>
  <c r="P127" i="4"/>
  <c r="N127" i="4"/>
  <c r="P126" i="4"/>
  <c r="N126" i="4"/>
  <c r="P125" i="4"/>
  <c r="N125" i="4"/>
  <c r="P124" i="4"/>
  <c r="N124" i="4"/>
  <c r="O124" i="4" s="1"/>
  <c r="P123" i="4"/>
  <c r="N123" i="4"/>
  <c r="O123" i="4" s="1"/>
  <c r="P122" i="4"/>
  <c r="N122" i="4"/>
  <c r="P121" i="4"/>
  <c r="N121" i="4"/>
  <c r="O121" i="4" s="1"/>
  <c r="P120" i="4"/>
  <c r="N120" i="4"/>
  <c r="P119" i="4"/>
  <c r="N119" i="4"/>
  <c r="P118" i="4"/>
  <c r="N118" i="4"/>
  <c r="O118" i="4" s="1"/>
  <c r="P117" i="4"/>
  <c r="N117" i="4"/>
  <c r="O117" i="4" s="1"/>
  <c r="P116" i="4"/>
  <c r="N116" i="4"/>
  <c r="O116" i="4" s="1"/>
  <c r="P115" i="4"/>
  <c r="N115" i="4"/>
  <c r="P114" i="4"/>
  <c r="N114" i="4"/>
  <c r="P113" i="4"/>
  <c r="N113" i="4"/>
  <c r="P112" i="4"/>
  <c r="N112" i="4"/>
  <c r="O112" i="4" s="1"/>
  <c r="P111" i="4"/>
  <c r="N111" i="4"/>
  <c r="O111" i="4" s="1"/>
  <c r="P110" i="4"/>
  <c r="N110" i="4"/>
  <c r="P109" i="4"/>
  <c r="N109" i="4"/>
  <c r="O109" i="4" s="1"/>
  <c r="P108" i="4"/>
  <c r="N108" i="4"/>
  <c r="P107" i="4"/>
  <c r="N107" i="4"/>
  <c r="O107" i="4" s="1"/>
  <c r="P106" i="4"/>
  <c r="N106" i="4"/>
  <c r="O106" i="4" s="1"/>
  <c r="P105" i="4"/>
  <c r="N105" i="4"/>
  <c r="O105" i="4" s="1"/>
  <c r="P104" i="4"/>
  <c r="N104" i="4"/>
  <c r="O104" i="4" s="1"/>
  <c r="P103" i="4"/>
  <c r="N103" i="4"/>
  <c r="P102" i="4"/>
  <c r="N102" i="4"/>
  <c r="P101" i="4"/>
  <c r="N101" i="4"/>
  <c r="P100" i="4"/>
  <c r="N100" i="4"/>
  <c r="P99" i="4"/>
  <c r="N99" i="4"/>
  <c r="O99" i="4" s="1"/>
  <c r="AA5" i="11" s="1"/>
  <c r="AA6" i="11" s="1"/>
  <c r="P98" i="4"/>
  <c r="N98" i="4"/>
  <c r="P97" i="4"/>
  <c r="N97" i="4"/>
  <c r="O97" i="4" s="1"/>
  <c r="P96" i="4"/>
  <c r="N96" i="4"/>
  <c r="P95" i="4"/>
  <c r="N95" i="4"/>
  <c r="O95" i="4" s="1"/>
  <c r="P94" i="4"/>
  <c r="N94" i="4"/>
  <c r="O94" i="4" s="1"/>
  <c r="P93" i="4"/>
  <c r="N93" i="4"/>
  <c r="O93" i="4" s="1"/>
  <c r="P92" i="4"/>
  <c r="N92" i="4"/>
  <c r="P91" i="4"/>
  <c r="N91" i="4"/>
  <c r="P90" i="4"/>
  <c r="N90" i="4"/>
  <c r="P89" i="4"/>
  <c r="N89" i="4"/>
  <c r="P88" i="4"/>
  <c r="N88" i="4"/>
  <c r="P87" i="4"/>
  <c r="N87" i="4"/>
  <c r="O87" i="4" s="1"/>
  <c r="P86" i="4"/>
  <c r="N86" i="4"/>
  <c r="P85" i="4"/>
  <c r="N85" i="4"/>
  <c r="O85" i="4" s="1"/>
  <c r="P84" i="4"/>
  <c r="N84" i="4"/>
  <c r="P83" i="4"/>
  <c r="N83" i="4"/>
  <c r="O83" i="4" s="1"/>
  <c r="P82" i="4"/>
  <c r="N82" i="4"/>
  <c r="O82" i="4" s="1"/>
  <c r="P81" i="4"/>
  <c r="N81" i="4"/>
  <c r="O81" i="4" s="1"/>
  <c r="P80" i="4"/>
  <c r="N80" i="4"/>
  <c r="O80" i="4" s="1"/>
  <c r="P79" i="4"/>
  <c r="N79" i="4"/>
  <c r="O79" i="4" s="1"/>
  <c r="P78" i="4"/>
  <c r="N78" i="4"/>
  <c r="O78" i="4" s="1"/>
  <c r="P77" i="4"/>
  <c r="N77" i="4"/>
  <c r="P76" i="4"/>
  <c r="N76" i="4"/>
  <c r="P75" i="4"/>
  <c r="N75" i="4"/>
  <c r="O75" i="4" s="1"/>
  <c r="P74" i="4"/>
  <c r="N74" i="4"/>
  <c r="O74" i="4" s="1"/>
  <c r="P73" i="4"/>
  <c r="N73" i="4"/>
  <c r="O73" i="4" s="1"/>
  <c r="P72" i="4"/>
  <c r="N72" i="4"/>
  <c r="P71" i="4"/>
  <c r="N71" i="4"/>
  <c r="O71" i="4" s="1"/>
  <c r="P70" i="4"/>
  <c r="N70" i="4"/>
  <c r="O70" i="4" s="1"/>
  <c r="P69" i="4"/>
  <c r="N69" i="4"/>
  <c r="O69" i="4" s="1"/>
  <c r="P68" i="4"/>
  <c r="N68" i="4"/>
  <c r="O68" i="4" s="1"/>
  <c r="P67" i="4"/>
  <c r="N67" i="4"/>
  <c r="O67" i="4" s="1"/>
  <c r="Q67" i="4" s="1"/>
  <c r="P66" i="4"/>
  <c r="N66" i="4"/>
  <c r="P65" i="4"/>
  <c r="N65" i="4"/>
  <c r="P64" i="4"/>
  <c r="N64" i="4"/>
  <c r="P63" i="4"/>
  <c r="N63" i="4"/>
  <c r="O63" i="4" s="1"/>
  <c r="P62" i="4"/>
  <c r="N62" i="4"/>
  <c r="O62" i="4" s="1"/>
  <c r="P61" i="4"/>
  <c r="N61" i="4"/>
  <c r="O61" i="4" s="1"/>
  <c r="Q61" i="4" s="1"/>
  <c r="P60" i="4"/>
  <c r="N60" i="4"/>
  <c r="P59" i="4"/>
  <c r="N59" i="4"/>
  <c r="O59" i="4" s="1"/>
  <c r="P58" i="4"/>
  <c r="N58" i="4"/>
  <c r="O58" i="4" s="1"/>
  <c r="P57" i="4"/>
  <c r="N57" i="4"/>
  <c r="O57" i="4" s="1"/>
  <c r="P56" i="4"/>
  <c r="N56" i="4"/>
  <c r="O56" i="4" s="1"/>
  <c r="P55" i="4"/>
  <c r="N55" i="4"/>
  <c r="O55" i="4" s="1"/>
  <c r="Q55" i="4" s="1"/>
  <c r="P54" i="4"/>
  <c r="N54" i="4"/>
  <c r="P53" i="4"/>
  <c r="N53" i="4"/>
  <c r="P52" i="4"/>
  <c r="N52" i="4"/>
  <c r="P51" i="4"/>
  <c r="N51" i="4"/>
  <c r="O51" i="4" s="1"/>
  <c r="P50" i="4"/>
  <c r="N50" i="4"/>
  <c r="O50" i="4" s="1"/>
  <c r="P49" i="4"/>
  <c r="N49" i="4"/>
  <c r="O49" i="4" s="1"/>
  <c r="Q49" i="4" s="1"/>
  <c r="P48" i="4"/>
  <c r="N48" i="4"/>
  <c r="P47" i="4"/>
  <c r="N47" i="4"/>
  <c r="O47" i="4" s="1"/>
  <c r="P46" i="4"/>
  <c r="N46" i="4"/>
  <c r="O46" i="4" s="1"/>
  <c r="P45" i="4"/>
  <c r="N45" i="4"/>
  <c r="O45" i="4" s="1"/>
  <c r="P44" i="4"/>
  <c r="N44" i="4"/>
  <c r="O44" i="4" s="1"/>
  <c r="P43" i="4"/>
  <c r="N43" i="4"/>
  <c r="O43" i="4" s="1"/>
  <c r="Q43" i="4" s="1"/>
  <c r="P42" i="4"/>
  <c r="N42" i="4"/>
  <c r="P41" i="4"/>
  <c r="N41" i="4"/>
  <c r="P40" i="4"/>
  <c r="N40" i="4"/>
  <c r="P39" i="4"/>
  <c r="N39" i="4"/>
  <c r="O39" i="4" s="1"/>
  <c r="P38" i="4"/>
  <c r="N38" i="4"/>
  <c r="O38" i="4" s="1"/>
  <c r="P37" i="4"/>
  <c r="N37" i="4"/>
  <c r="O37" i="4" s="1"/>
  <c r="Q37" i="4" s="1"/>
  <c r="P36" i="4"/>
  <c r="N36" i="4"/>
  <c r="P35" i="4"/>
  <c r="N35" i="4"/>
  <c r="O35" i="4" s="1"/>
  <c r="P34" i="4"/>
  <c r="N34" i="4"/>
  <c r="O34" i="4" s="1"/>
  <c r="P33" i="4"/>
  <c r="N33" i="4"/>
  <c r="O33" i="4" s="1"/>
  <c r="P32" i="4"/>
  <c r="N32" i="4"/>
  <c r="O32" i="4" s="1"/>
  <c r="P31" i="4"/>
  <c r="N31" i="4"/>
  <c r="O31" i="4" s="1"/>
  <c r="Q31" i="4" s="1"/>
  <c r="P30" i="4"/>
  <c r="N30" i="4"/>
  <c r="P29" i="4"/>
  <c r="N29" i="4"/>
  <c r="O29" i="4" s="1"/>
  <c r="P28" i="4"/>
  <c r="N28" i="4"/>
  <c r="P27" i="4"/>
  <c r="N27" i="4"/>
  <c r="O27" i="4" s="1"/>
  <c r="P26" i="4"/>
  <c r="N26" i="4"/>
  <c r="O26" i="4" s="1"/>
  <c r="P25" i="4"/>
  <c r="N25" i="4"/>
  <c r="O25" i="4" s="1"/>
  <c r="Q25" i="4" s="1"/>
  <c r="P24" i="4"/>
  <c r="N24" i="4"/>
  <c r="P23" i="4"/>
  <c r="N23" i="4"/>
  <c r="O23" i="4" s="1"/>
  <c r="P22" i="4"/>
  <c r="N22" i="4"/>
  <c r="O22" i="4" s="1"/>
  <c r="P21" i="4"/>
  <c r="N21" i="4"/>
  <c r="O21" i="4" s="1"/>
  <c r="P20" i="4"/>
  <c r="N20" i="4"/>
  <c r="O20" i="4" s="1"/>
  <c r="P19" i="4"/>
  <c r="N19" i="4"/>
  <c r="O19" i="4" s="1"/>
  <c r="P18" i="4"/>
  <c r="N18" i="4"/>
  <c r="O18" i="4" s="1"/>
  <c r="P17" i="4"/>
  <c r="N17" i="4"/>
  <c r="P16" i="4"/>
  <c r="N16" i="4"/>
  <c r="O16" i="4" s="1"/>
  <c r="Q16" i="4" s="1"/>
  <c r="P15" i="4"/>
  <c r="N15" i="4"/>
  <c r="O15" i="4" s="1"/>
  <c r="P14" i="4"/>
  <c r="N14" i="4"/>
  <c r="O14" i="4" s="1"/>
  <c r="P13" i="4"/>
  <c r="N13" i="4"/>
  <c r="O13" i="4" s="1"/>
  <c r="Q13" i="4" s="1"/>
  <c r="P12" i="4"/>
  <c r="N12" i="4"/>
  <c r="P11" i="4"/>
  <c r="N11" i="4"/>
  <c r="O11" i="4" s="1"/>
  <c r="P10" i="4"/>
  <c r="N10" i="4"/>
  <c r="P9" i="4"/>
  <c r="N9" i="4"/>
  <c r="O9" i="4" s="1"/>
  <c r="P8" i="4"/>
  <c r="N8" i="4"/>
  <c r="O8" i="4" s="1"/>
  <c r="P7" i="4"/>
  <c r="N7" i="4"/>
  <c r="O7" i="4" s="1"/>
  <c r="P6" i="4"/>
  <c r="N6" i="4"/>
  <c r="P5" i="4"/>
  <c r="N5" i="4"/>
  <c r="P4" i="4"/>
  <c r="N4" i="4"/>
  <c r="P3" i="4"/>
  <c r="N3" i="4"/>
  <c r="O3" i="4" s="1"/>
  <c r="P2" i="4"/>
  <c r="N2" i="4"/>
  <c r="O2" i="4" s="1"/>
  <c r="AA5" i="5" s="1"/>
  <c r="AR1" i="5" a="1"/>
  <c r="AR1" i="7" a="1"/>
  <c r="AR1" i="9" a="1"/>
  <c r="AR1" i="10" a="1"/>
  <c r="AR1" i="8" a="1"/>
  <c r="AR1" i="17" a="1"/>
  <c r="AR2" i="11" a="1"/>
  <c r="AR1" i="11" a="1"/>
  <c r="AR1" i="6" a="1"/>
  <c r="M46" i="17" l="1"/>
  <c r="N59" i="17"/>
  <c r="N64" i="17"/>
  <c r="M71" i="17"/>
  <c r="N85" i="17"/>
  <c r="M87" i="17"/>
  <c r="M49" i="17"/>
  <c r="M58" i="17"/>
  <c r="I74" i="17"/>
  <c r="S74" i="17" s="1"/>
  <c r="M83" i="17"/>
  <c r="I90" i="17"/>
  <c r="S90" i="17" s="1"/>
  <c r="N45" i="17"/>
  <c r="M52" i="17"/>
  <c r="M65" i="17"/>
  <c r="N77" i="17"/>
  <c r="M79" i="17"/>
  <c r="I86" i="17"/>
  <c r="S86" i="17" s="1"/>
  <c r="M45" i="17"/>
  <c r="M50" i="17"/>
  <c r="N61" i="17"/>
  <c r="N68" i="17"/>
  <c r="M84" i="17"/>
  <c r="M68" i="17"/>
  <c r="M53" i="17"/>
  <c r="M66" i="17"/>
  <c r="N78" i="17"/>
  <c r="M80" i="17"/>
  <c r="N67" i="17"/>
  <c r="N51" i="17"/>
  <c r="N70" i="17"/>
  <c r="N80" i="17"/>
  <c r="N84" i="17"/>
  <c r="N88" i="17"/>
  <c r="N47" i="17"/>
  <c r="N66" i="17"/>
  <c r="N43" i="17"/>
  <c r="N62" i="17"/>
  <c r="N50" i="17"/>
  <c r="N89" i="17"/>
  <c r="N46" i="17"/>
  <c r="N42" i="17"/>
  <c r="N71" i="17"/>
  <c r="N75" i="17"/>
  <c r="N79" i="17"/>
  <c r="N83" i="17"/>
  <c r="N87" i="17"/>
  <c r="AQ8" i="17"/>
  <c r="S51" i="17"/>
  <c r="AQ14" i="17"/>
  <c r="S66" i="17"/>
  <c r="S80" i="17"/>
  <c r="S84" i="17"/>
  <c r="S88" i="17"/>
  <c r="S62" i="17"/>
  <c r="AQ20" i="17"/>
  <c r="S54" i="17"/>
  <c r="AQ5" i="17"/>
  <c r="AQ22" i="17"/>
  <c r="S50" i="17"/>
  <c r="B2" i="17"/>
  <c r="U5" i="17" s="1"/>
  <c r="AQ23" i="17"/>
  <c r="S46" i="17"/>
  <c r="S71" i="17"/>
  <c r="S75" i="17"/>
  <c r="S79" i="17"/>
  <c r="S83" i="17"/>
  <c r="S87" i="17"/>
  <c r="S89" i="17"/>
  <c r="S91" i="17"/>
  <c r="AQ25" i="17"/>
  <c r="S42" i="17"/>
  <c r="S67" i="17"/>
  <c r="S59" i="17"/>
  <c r="C28" i="17"/>
  <c r="S55" i="17"/>
  <c r="AR1" i="17"/>
  <c r="M55" i="13"/>
  <c r="M79" i="13"/>
  <c r="M91" i="13"/>
  <c r="M49" i="16"/>
  <c r="M73" i="16"/>
  <c r="M85" i="16"/>
  <c r="C19" i="17"/>
  <c r="C22" i="17"/>
  <c r="C25" i="17"/>
  <c r="Q45" i="17"/>
  <c r="Q49" i="17"/>
  <c r="Q53" i="17"/>
  <c r="Q57" i="17"/>
  <c r="Q61" i="17"/>
  <c r="Q65" i="17"/>
  <c r="Q69" i="17"/>
  <c r="Q73" i="17"/>
  <c r="Q77" i="17"/>
  <c r="Q81" i="17"/>
  <c r="Q85" i="17"/>
  <c r="Q89" i="17"/>
  <c r="AQ11" i="11"/>
  <c r="A578" i="1" s="1"/>
  <c r="M53" i="13"/>
  <c r="M65" i="13"/>
  <c r="M77" i="13"/>
  <c r="AQ19" i="15"/>
  <c r="M51" i="15"/>
  <c r="N56" i="15"/>
  <c r="M89" i="15"/>
  <c r="AQ23" i="16"/>
  <c r="N42" i="16"/>
  <c r="M47" i="16"/>
  <c r="N52" i="16"/>
  <c r="AB5" i="17"/>
  <c r="AB1" i="17" s="1"/>
  <c r="C8" i="17"/>
  <c r="C11" i="17"/>
  <c r="C14" i="17"/>
  <c r="C16" i="17"/>
  <c r="C29" i="17"/>
  <c r="P42" i="17"/>
  <c r="I44" i="17"/>
  <c r="P46" i="17"/>
  <c r="I48" i="17"/>
  <c r="S48" i="17" s="1"/>
  <c r="P50" i="17"/>
  <c r="I52" i="17"/>
  <c r="S52" i="17" s="1"/>
  <c r="P54" i="17"/>
  <c r="I56" i="17"/>
  <c r="S56" i="17" s="1"/>
  <c r="P58" i="17"/>
  <c r="I60" i="17"/>
  <c r="S60" i="17" s="1"/>
  <c r="P62" i="17"/>
  <c r="I64" i="17"/>
  <c r="S64" i="17" s="1"/>
  <c r="P66" i="17"/>
  <c r="I68" i="17"/>
  <c r="S68" i="17" s="1"/>
  <c r="P70" i="17"/>
  <c r="I72" i="17"/>
  <c r="S72" i="17" s="1"/>
  <c r="P74" i="17"/>
  <c r="I76" i="17"/>
  <c r="S76" i="17" s="1"/>
  <c r="P78" i="17"/>
  <c r="P82" i="17"/>
  <c r="P86" i="17"/>
  <c r="P90" i="17"/>
  <c r="N90" i="12"/>
  <c r="AQ20" i="15"/>
  <c r="N71" i="16"/>
  <c r="X6" i="17"/>
  <c r="AQ16" i="17"/>
  <c r="C30" i="17"/>
  <c r="Q42" i="17"/>
  <c r="Q46" i="17"/>
  <c r="Q50" i="17"/>
  <c r="Q54" i="17"/>
  <c r="Q58" i="17"/>
  <c r="Q62" i="17"/>
  <c r="Q66" i="17"/>
  <c r="Q70" i="17"/>
  <c r="Q74" i="17"/>
  <c r="Q78" i="17"/>
  <c r="Q82" i="17"/>
  <c r="Q86" i="17"/>
  <c r="Q90" i="17"/>
  <c r="AQ22" i="15"/>
  <c r="N68" i="15"/>
  <c r="N74" i="16"/>
  <c r="N86" i="16"/>
  <c r="Y6" i="17"/>
  <c r="C18" i="17"/>
  <c r="C21" i="17"/>
  <c r="C24" i="17"/>
  <c r="C31" i="17"/>
  <c r="N91" i="17"/>
  <c r="M46" i="8"/>
  <c r="M82" i="8"/>
  <c r="M44" i="13"/>
  <c r="M56" i="13"/>
  <c r="M68" i="13"/>
  <c r="N87" i="13"/>
  <c r="AQ23" i="15"/>
  <c r="M42" i="15"/>
  <c r="M54" i="15"/>
  <c r="M68" i="15"/>
  <c r="N87" i="15"/>
  <c r="M62" i="16"/>
  <c r="AQ18" i="17"/>
  <c r="AQ21" i="17"/>
  <c r="C32" i="17"/>
  <c r="P43" i="17"/>
  <c r="I45" i="17"/>
  <c r="S45" i="17" s="1"/>
  <c r="P47" i="17"/>
  <c r="I49" i="17"/>
  <c r="S49" i="17" s="1"/>
  <c r="P51" i="17"/>
  <c r="I53" i="17"/>
  <c r="S53" i="17" s="1"/>
  <c r="P55" i="17"/>
  <c r="I57" i="17"/>
  <c r="S57" i="17" s="1"/>
  <c r="P59" i="17"/>
  <c r="I61" i="17"/>
  <c r="S61" i="17" s="1"/>
  <c r="P63" i="17"/>
  <c r="I65" i="17"/>
  <c r="S65" i="17" s="1"/>
  <c r="P67" i="17"/>
  <c r="I69" i="17"/>
  <c r="S69" i="17" s="1"/>
  <c r="P71" i="17"/>
  <c r="I73" i="17"/>
  <c r="S73" i="17" s="1"/>
  <c r="P75" i="17"/>
  <c r="I77" i="17"/>
  <c r="S77" i="17" s="1"/>
  <c r="P79" i="17"/>
  <c r="I81" i="17"/>
  <c r="S81" i="17" s="1"/>
  <c r="P83" i="17"/>
  <c r="I85" i="17"/>
  <c r="S85" i="17" s="1"/>
  <c r="P87" i="17"/>
  <c r="P91" i="17"/>
  <c r="C5" i="17"/>
  <c r="C7" i="17"/>
  <c r="C10" i="17"/>
  <c r="C13" i="17"/>
  <c r="C33" i="17"/>
  <c r="Q43" i="17"/>
  <c r="Q47" i="17"/>
  <c r="Q51" i="17"/>
  <c r="Q55" i="17"/>
  <c r="Q59" i="17"/>
  <c r="Q63" i="17"/>
  <c r="Q67" i="17"/>
  <c r="Q71" i="17"/>
  <c r="Q75" i="17"/>
  <c r="Q79" i="17"/>
  <c r="Q83" i="17"/>
  <c r="Q87" i="17"/>
  <c r="Q91" i="17"/>
  <c r="N67" i="11"/>
  <c r="N91" i="11"/>
  <c r="C37" i="15"/>
  <c r="N57" i="15"/>
  <c r="N53" i="16"/>
  <c r="N65" i="16"/>
  <c r="AQ7" i="17"/>
  <c r="AQ10" i="17"/>
  <c r="AQ13" i="17"/>
  <c r="C34" i="17"/>
  <c r="M53" i="11"/>
  <c r="M65" i="11"/>
  <c r="M77" i="11"/>
  <c r="N66" i="13"/>
  <c r="M71" i="13"/>
  <c r="M83" i="13"/>
  <c r="M45" i="15"/>
  <c r="M57" i="15"/>
  <c r="M71" i="15"/>
  <c r="N78" i="15"/>
  <c r="M53" i="16"/>
  <c r="M65" i="16"/>
  <c r="M77" i="16"/>
  <c r="N82" i="16"/>
  <c r="C17" i="17"/>
  <c r="C20" i="17"/>
  <c r="C23" i="17"/>
  <c r="C26" i="17"/>
  <c r="C35" i="17"/>
  <c r="P44" i="17"/>
  <c r="P48" i="17"/>
  <c r="P52" i="17"/>
  <c r="P56" i="17"/>
  <c r="P60" i="17"/>
  <c r="P64" i="17"/>
  <c r="P68" i="17"/>
  <c r="P72" i="17"/>
  <c r="P76" i="17"/>
  <c r="P80" i="17"/>
  <c r="P84" i="17"/>
  <c r="P88" i="17"/>
  <c r="A58" i="3"/>
  <c r="C36" i="17"/>
  <c r="Q44" i="17"/>
  <c r="Q48" i="17"/>
  <c r="Q52" i="17"/>
  <c r="Q56" i="17"/>
  <c r="Q60" i="17"/>
  <c r="Q64" i="17"/>
  <c r="Q68" i="17"/>
  <c r="Q72" i="17"/>
  <c r="Q76" i="17"/>
  <c r="Q80" i="17"/>
  <c r="Q84" i="17"/>
  <c r="Q88" i="17"/>
  <c r="N44" i="16"/>
  <c r="A59" i="3"/>
  <c r="C9" i="17"/>
  <c r="C12" i="17"/>
  <c r="C15" i="17"/>
  <c r="C37" i="17"/>
  <c r="M88" i="8"/>
  <c r="M65" i="9"/>
  <c r="N43" i="15"/>
  <c r="M67" i="15"/>
  <c r="M86" i="15"/>
  <c r="M44" i="16"/>
  <c r="M56" i="16"/>
  <c r="N87" i="16"/>
  <c r="C6" i="17"/>
  <c r="AQ6" i="17"/>
  <c r="AQ9" i="17"/>
  <c r="AQ12" i="17"/>
  <c r="P45" i="17"/>
  <c r="P49" i="17"/>
  <c r="P53" i="17"/>
  <c r="P57" i="17"/>
  <c r="P61" i="17"/>
  <c r="P65" i="17"/>
  <c r="P69" i="17"/>
  <c r="P73" i="17"/>
  <c r="P77" i="17"/>
  <c r="P81" i="17"/>
  <c r="P85" i="17"/>
  <c r="Y6" i="16"/>
  <c r="C8" i="15"/>
  <c r="B2" i="16"/>
  <c r="U5" i="16" s="1"/>
  <c r="D59" i="3" s="1"/>
  <c r="Q9" i="4"/>
  <c r="Q15" i="4"/>
  <c r="Q27" i="4"/>
  <c r="W6" i="14"/>
  <c r="AB5" i="15"/>
  <c r="AB1" i="15" s="1"/>
  <c r="Q45" i="14"/>
  <c r="I59" i="3"/>
  <c r="U6" i="15"/>
  <c r="S81" i="15"/>
  <c r="H59" i="3"/>
  <c r="Z6" i="14"/>
  <c r="U6" i="16"/>
  <c r="Z9" i="13"/>
  <c r="Z9" i="16"/>
  <c r="Y6" i="15"/>
  <c r="Q49" i="15"/>
  <c r="Q56" i="15"/>
  <c r="N48" i="16"/>
  <c r="M55" i="16"/>
  <c r="N76" i="16"/>
  <c r="M78" i="16"/>
  <c r="N60" i="16"/>
  <c r="I74" i="16"/>
  <c r="S74" i="16" s="1"/>
  <c r="M60" i="16"/>
  <c r="M67" i="16"/>
  <c r="M74" i="16"/>
  <c r="M83" i="16"/>
  <c r="N85" i="16"/>
  <c r="N83" i="16"/>
  <c r="M42" i="16"/>
  <c r="N49" i="16"/>
  <c r="N56" i="16"/>
  <c r="M79" i="16"/>
  <c r="N58" i="16"/>
  <c r="N79" i="16"/>
  <c r="N61" i="16"/>
  <c r="N68" i="16"/>
  <c r="N77" i="16"/>
  <c r="I86" i="16"/>
  <c r="M61" i="16"/>
  <c r="M68" i="16"/>
  <c r="M75" i="16"/>
  <c r="I82" i="16"/>
  <c r="M86" i="16"/>
  <c r="N47" i="16"/>
  <c r="N57" i="16"/>
  <c r="M59" i="16"/>
  <c r="N64" i="16"/>
  <c r="N78" i="16"/>
  <c r="M80" i="16"/>
  <c r="N84" i="16"/>
  <c r="N91" i="16"/>
  <c r="M43" i="16"/>
  <c r="M50" i="16"/>
  <c r="M57" i="16"/>
  <c r="M64" i="16"/>
  <c r="N66" i="16"/>
  <c r="M71" i="16"/>
  <c r="I78" i="16"/>
  <c r="S78" i="16" s="1"/>
  <c r="M89" i="16"/>
  <c r="N51" i="16"/>
  <c r="N62" i="16"/>
  <c r="N69" i="16"/>
  <c r="N80" i="16"/>
  <c r="N43" i="16"/>
  <c r="N54" i="16"/>
  <c r="N67" i="16"/>
  <c r="N88" i="16"/>
  <c r="N90" i="16"/>
  <c r="N50" i="16"/>
  <c r="N63" i="16"/>
  <c r="N46" i="16"/>
  <c r="N59" i="16"/>
  <c r="N70" i="16"/>
  <c r="N81" i="16"/>
  <c r="N73" i="16"/>
  <c r="N75" i="16"/>
  <c r="S46" i="16"/>
  <c r="AE5" i="16"/>
  <c r="C22" i="16"/>
  <c r="C34" i="16"/>
  <c r="Q47" i="16"/>
  <c r="Q49" i="16"/>
  <c r="S55" i="16"/>
  <c r="Q60" i="16"/>
  <c r="S70" i="16"/>
  <c r="S86" i="16"/>
  <c r="C6" i="16"/>
  <c r="C12" i="16"/>
  <c r="C37" i="16"/>
  <c r="Q51" i="16"/>
  <c r="Q53" i="16"/>
  <c r="S59" i="16"/>
  <c r="Q64" i="16"/>
  <c r="S90" i="16"/>
  <c r="S88" i="16"/>
  <c r="C13" i="16"/>
  <c r="C24" i="16"/>
  <c r="Q42" i="16"/>
  <c r="S50" i="16"/>
  <c r="Q66" i="16"/>
  <c r="S77" i="16"/>
  <c r="S81" i="16"/>
  <c r="C15" i="16"/>
  <c r="C25" i="16"/>
  <c r="Q44" i="16"/>
  <c r="Q55" i="16"/>
  <c r="Q57" i="16"/>
  <c r="S63" i="16"/>
  <c r="S73" i="16"/>
  <c r="AQ16" i="16"/>
  <c r="AQ25" i="16"/>
  <c r="Q46" i="16"/>
  <c r="S54" i="16"/>
  <c r="S75" i="16"/>
  <c r="X6" i="16"/>
  <c r="AQ17" i="16"/>
  <c r="AQ26" i="16"/>
  <c r="S43" i="16"/>
  <c r="Q48" i="16"/>
  <c r="Q59" i="16"/>
  <c r="Q61" i="16"/>
  <c r="S67" i="16"/>
  <c r="S69" i="16"/>
  <c r="S71" i="16"/>
  <c r="Q77" i="16"/>
  <c r="Q81" i="16"/>
  <c r="Q62" i="16"/>
  <c r="C18" i="16"/>
  <c r="Q50" i="16"/>
  <c r="S58" i="16"/>
  <c r="Q73" i="16"/>
  <c r="C19" i="16"/>
  <c r="C28" i="16"/>
  <c r="S47" i="16"/>
  <c r="Q52" i="16"/>
  <c r="Q63" i="16"/>
  <c r="Q65" i="16"/>
  <c r="Q85" i="16"/>
  <c r="C30" i="16"/>
  <c r="Q54" i="16"/>
  <c r="S62" i="16"/>
  <c r="Q69" i="16"/>
  <c r="C36" i="16"/>
  <c r="AB5" i="16"/>
  <c r="C8" i="16"/>
  <c r="AQ20" i="16"/>
  <c r="C31" i="16"/>
  <c r="Q43" i="16"/>
  <c r="Q45" i="16"/>
  <c r="S51" i="16"/>
  <c r="Q56" i="16"/>
  <c r="Q67" i="16"/>
  <c r="S80" i="16"/>
  <c r="S82" i="16"/>
  <c r="Q89" i="16"/>
  <c r="C10" i="16"/>
  <c r="W6" i="16"/>
  <c r="C9" i="16"/>
  <c r="C21" i="16"/>
  <c r="C33" i="16"/>
  <c r="S42" i="16"/>
  <c r="Q58" i="16"/>
  <c r="S66" i="16"/>
  <c r="S84" i="16"/>
  <c r="N60" i="15"/>
  <c r="N76" i="15"/>
  <c r="S83" i="15"/>
  <c r="AQ17" i="12"/>
  <c r="M76" i="14"/>
  <c r="N81" i="14"/>
  <c r="Z6" i="15"/>
  <c r="M60" i="15"/>
  <c r="N69" i="15"/>
  <c r="M76" i="15"/>
  <c r="M83" i="15"/>
  <c r="AQ8" i="16"/>
  <c r="A630" i="1" s="1"/>
  <c r="C11" i="16"/>
  <c r="C14" i="16"/>
  <c r="C16" i="16"/>
  <c r="C29" i="16"/>
  <c r="P42" i="16"/>
  <c r="I44" i="16"/>
  <c r="P46" i="16"/>
  <c r="I48" i="16"/>
  <c r="S48" i="16" s="1"/>
  <c r="P50" i="16"/>
  <c r="I52" i="16"/>
  <c r="S52" i="16" s="1"/>
  <c r="P54" i="16"/>
  <c r="I56" i="16"/>
  <c r="S56" i="16" s="1"/>
  <c r="P58" i="16"/>
  <c r="I60" i="16"/>
  <c r="S60" i="16" s="1"/>
  <c r="P62" i="16"/>
  <c r="I64" i="16"/>
  <c r="S64" i="16" s="1"/>
  <c r="P66" i="16"/>
  <c r="I68" i="16"/>
  <c r="S68" i="16" s="1"/>
  <c r="P70" i="16"/>
  <c r="I72" i="16"/>
  <c r="S72" i="16" s="1"/>
  <c r="P74" i="16"/>
  <c r="I76" i="16"/>
  <c r="S76" i="16" s="1"/>
  <c r="P78" i="16"/>
  <c r="P82" i="16"/>
  <c r="S85" i="16"/>
  <c r="P86" i="16"/>
  <c r="S89" i="16"/>
  <c r="P90" i="16"/>
  <c r="AQ11" i="16"/>
  <c r="A633" i="1" s="1"/>
  <c r="AQ14" i="16"/>
  <c r="A636" i="1" s="1"/>
  <c r="Q70" i="16"/>
  <c r="Q74" i="16"/>
  <c r="Q78" i="16"/>
  <c r="Q82" i="16"/>
  <c r="Q86" i="16"/>
  <c r="Q90" i="16"/>
  <c r="S79" i="15"/>
  <c r="N88" i="15"/>
  <c r="L58" i="3"/>
  <c r="S55" i="12"/>
  <c r="M62" i="12"/>
  <c r="Q43" i="14"/>
  <c r="M79" i="14"/>
  <c r="C31" i="15"/>
  <c r="M47" i="15"/>
  <c r="M79" i="15"/>
  <c r="M88" i="15"/>
  <c r="N90" i="15"/>
  <c r="K58" i="3"/>
  <c r="C5" i="16"/>
  <c r="AQ5" i="16"/>
  <c r="A627" i="1" s="1"/>
  <c r="C7" i="16"/>
  <c r="AQ18" i="16"/>
  <c r="AQ21" i="16"/>
  <c r="C32" i="16"/>
  <c r="P43" i="16"/>
  <c r="I45" i="16"/>
  <c r="S45" i="16" s="1"/>
  <c r="P47" i="16"/>
  <c r="I49" i="16"/>
  <c r="S49" i="16" s="1"/>
  <c r="P51" i="16"/>
  <c r="I53" i="16"/>
  <c r="S53" i="16" s="1"/>
  <c r="P55" i="16"/>
  <c r="I57" i="16"/>
  <c r="S57" i="16" s="1"/>
  <c r="P59" i="16"/>
  <c r="I61" i="16"/>
  <c r="S61" i="16" s="1"/>
  <c r="P63" i="16"/>
  <c r="I65" i="16"/>
  <c r="S65" i="16" s="1"/>
  <c r="P67" i="16"/>
  <c r="P71" i="16"/>
  <c r="P75" i="16"/>
  <c r="P79" i="16"/>
  <c r="P83" i="16"/>
  <c r="P87" i="16"/>
  <c r="P91" i="16"/>
  <c r="AQ7" i="16"/>
  <c r="A629" i="1" s="1"/>
  <c r="Q71" i="16"/>
  <c r="Q75" i="16"/>
  <c r="Q79" i="16"/>
  <c r="Q83" i="16"/>
  <c r="Q87" i="16"/>
  <c r="Q91" i="16"/>
  <c r="C6" i="15"/>
  <c r="Q47" i="15"/>
  <c r="N52" i="15"/>
  <c r="Q65" i="15"/>
  <c r="I58" i="3"/>
  <c r="AQ10" i="16"/>
  <c r="A632" i="1" s="1"/>
  <c r="AQ13" i="16"/>
  <c r="A635" i="1" s="1"/>
  <c r="M46" i="14"/>
  <c r="M82" i="14"/>
  <c r="M89" i="14"/>
  <c r="B2" i="15"/>
  <c r="U5" i="15" s="1"/>
  <c r="D58" i="3" s="1"/>
  <c r="M52" i="15"/>
  <c r="M59" i="15"/>
  <c r="Q63" i="15"/>
  <c r="M70" i="15"/>
  <c r="H58" i="3"/>
  <c r="C17" i="16"/>
  <c r="C20" i="16"/>
  <c r="C23" i="16"/>
  <c r="C26" i="16"/>
  <c r="C35" i="16"/>
  <c r="P44" i="16"/>
  <c r="P48" i="16"/>
  <c r="P52" i="16"/>
  <c r="P56" i="16"/>
  <c r="P60" i="16"/>
  <c r="P64" i="16"/>
  <c r="P68" i="16"/>
  <c r="P72" i="16"/>
  <c r="P76" i="16"/>
  <c r="S79" i="16"/>
  <c r="P80" i="16"/>
  <c r="S83" i="16"/>
  <c r="P84" i="16"/>
  <c r="S87" i="16"/>
  <c r="P88" i="16"/>
  <c r="S91" i="16"/>
  <c r="Q68" i="16"/>
  <c r="Q72" i="16"/>
  <c r="Q76" i="16"/>
  <c r="Q80" i="16"/>
  <c r="Q84" i="16"/>
  <c r="Q88" i="16"/>
  <c r="N48" i="15"/>
  <c r="N80" i="15"/>
  <c r="AQ6" i="16"/>
  <c r="A628" i="1" s="1"/>
  <c r="M87" i="12"/>
  <c r="M73" i="14"/>
  <c r="C12" i="15"/>
  <c r="S46" i="15"/>
  <c r="M48" i="15"/>
  <c r="M55" i="15"/>
  <c r="S62" i="15"/>
  <c r="M66" i="15"/>
  <c r="M80" i="15"/>
  <c r="M87" i="15"/>
  <c r="AQ9" i="16"/>
  <c r="A631" i="1" s="1"/>
  <c r="AQ12" i="16"/>
  <c r="A634" i="1" s="1"/>
  <c r="P45" i="16"/>
  <c r="P49" i="16"/>
  <c r="P53" i="16"/>
  <c r="P57" i="16"/>
  <c r="P61" i="16"/>
  <c r="P65" i="16"/>
  <c r="P69" i="16"/>
  <c r="P73" i="16"/>
  <c r="P77" i="16"/>
  <c r="P81" i="16"/>
  <c r="P85" i="16"/>
  <c r="M43" i="15"/>
  <c r="M61" i="15"/>
  <c r="M72" i="15"/>
  <c r="M81" i="15"/>
  <c r="M50" i="15"/>
  <c r="M77" i="15"/>
  <c r="M90" i="15"/>
  <c r="N64" i="15"/>
  <c r="N73" i="15"/>
  <c r="N84" i="15"/>
  <c r="N44" i="15"/>
  <c r="N53" i="15"/>
  <c r="M64" i="15"/>
  <c r="M73" i="15"/>
  <c r="N75" i="15"/>
  <c r="M82" i="15"/>
  <c r="M84" i="15"/>
  <c r="M44" i="15"/>
  <c r="M53" i="15"/>
  <c r="N51" i="15"/>
  <c r="N65" i="15"/>
  <c r="N45" i="15"/>
  <c r="M65" i="15"/>
  <c r="M74" i="15"/>
  <c r="M85" i="15"/>
  <c r="N91" i="15"/>
  <c r="N61" i="15"/>
  <c r="N72" i="15"/>
  <c r="N47" i="15"/>
  <c r="N55" i="15"/>
  <c r="N74" i="15"/>
  <c r="N62" i="15"/>
  <c r="N70" i="15"/>
  <c r="N46" i="15"/>
  <c r="N54" i="15"/>
  <c r="N58" i="15"/>
  <c r="N66" i="15"/>
  <c r="N42" i="15"/>
  <c r="N50" i="15"/>
  <c r="N81" i="15"/>
  <c r="N85" i="15"/>
  <c r="N77" i="15"/>
  <c r="N89" i="15"/>
  <c r="N63" i="15"/>
  <c r="N71" i="15"/>
  <c r="C30" i="15"/>
  <c r="S47" i="15"/>
  <c r="Q50" i="15"/>
  <c r="S63" i="15"/>
  <c r="Q66" i="15"/>
  <c r="S74" i="15"/>
  <c r="S90" i="15"/>
  <c r="W6" i="15"/>
  <c r="C9" i="15"/>
  <c r="C21" i="15"/>
  <c r="C33" i="15"/>
  <c r="S42" i="15"/>
  <c r="Q43" i="15"/>
  <c r="Q45" i="15"/>
  <c r="Q52" i="15"/>
  <c r="S58" i="15"/>
  <c r="Q59" i="15"/>
  <c r="Q61" i="15"/>
  <c r="Q68" i="15"/>
  <c r="AE5" i="15"/>
  <c r="Z9" i="15"/>
  <c r="C22" i="15"/>
  <c r="C34" i="15"/>
  <c r="S51" i="15"/>
  <c r="Q54" i="15"/>
  <c r="S67" i="15"/>
  <c r="Q70" i="15"/>
  <c r="C10" i="15"/>
  <c r="C36" i="15"/>
  <c r="Q72" i="15"/>
  <c r="S85" i="15"/>
  <c r="C13" i="15"/>
  <c r="C24" i="15"/>
  <c r="Q42" i="15"/>
  <c r="S55" i="15"/>
  <c r="Q58" i="15"/>
  <c r="S71" i="15"/>
  <c r="S75" i="15"/>
  <c r="S77" i="15"/>
  <c r="S89" i="15"/>
  <c r="C15" i="15"/>
  <c r="C25" i="15"/>
  <c r="AQ16" i="15"/>
  <c r="AQ25" i="15"/>
  <c r="Q44" i="15"/>
  <c r="S50" i="15"/>
  <c r="Q51" i="15"/>
  <c r="Q53" i="15"/>
  <c r="Q60" i="15"/>
  <c r="S66" i="15"/>
  <c r="Q67" i="15"/>
  <c r="Q69" i="15"/>
  <c r="X6" i="15"/>
  <c r="AQ17" i="15"/>
  <c r="AQ26" i="15"/>
  <c r="S43" i="15"/>
  <c r="Q46" i="15"/>
  <c r="S59" i="15"/>
  <c r="Q62" i="15"/>
  <c r="C18" i="15"/>
  <c r="C19" i="15"/>
  <c r="C28" i="15"/>
  <c r="Q48" i="15"/>
  <c r="S54" i="15"/>
  <c r="Q55" i="15"/>
  <c r="Q57" i="15"/>
  <c r="Q64" i="15"/>
  <c r="S70" i="15"/>
  <c r="S78" i="15"/>
  <c r="S82" i="15"/>
  <c r="S86" i="15"/>
  <c r="M85" i="8"/>
  <c r="M48" i="11"/>
  <c r="M72" i="11"/>
  <c r="M69" i="14"/>
  <c r="M90" i="14"/>
  <c r="Q73" i="15"/>
  <c r="Q77" i="15"/>
  <c r="Q81" i="15"/>
  <c r="Q85" i="15"/>
  <c r="Q89" i="15"/>
  <c r="M80" i="10"/>
  <c r="N50" i="12"/>
  <c r="M55" i="12"/>
  <c r="N62" i="12"/>
  <c r="M74" i="12"/>
  <c r="M48" i="13"/>
  <c r="M72" i="13"/>
  <c r="N77" i="13"/>
  <c r="U6" i="14"/>
  <c r="AQ8" i="14"/>
  <c r="A608" i="1" s="1"/>
  <c r="N50" i="14"/>
  <c r="M55" i="14"/>
  <c r="M74" i="14"/>
  <c r="M81" i="14"/>
  <c r="AQ8" i="15"/>
  <c r="A619" i="1" s="1"/>
  <c r="C11" i="15"/>
  <c r="C14" i="15"/>
  <c r="C16" i="15"/>
  <c r="C29" i="15"/>
  <c r="P42" i="15"/>
  <c r="I44" i="15"/>
  <c r="P46" i="15"/>
  <c r="I48" i="15"/>
  <c r="S48" i="15" s="1"/>
  <c r="P50" i="15"/>
  <c r="I52" i="15"/>
  <c r="S52" i="15" s="1"/>
  <c r="P54" i="15"/>
  <c r="I56" i="15"/>
  <c r="S56" i="15" s="1"/>
  <c r="P58" i="15"/>
  <c r="I60" i="15"/>
  <c r="S60" i="15" s="1"/>
  <c r="P62" i="15"/>
  <c r="I64" i="15"/>
  <c r="S64" i="15" s="1"/>
  <c r="P66" i="15"/>
  <c r="I68" i="15"/>
  <c r="S68" i="15" s="1"/>
  <c r="P70" i="15"/>
  <c r="I72" i="15"/>
  <c r="S72" i="15" s="1"/>
  <c r="P74" i="15"/>
  <c r="I76" i="15"/>
  <c r="S76" i="15" s="1"/>
  <c r="P78" i="15"/>
  <c r="I80" i="15"/>
  <c r="S80" i="15" s="1"/>
  <c r="P82" i="15"/>
  <c r="I84" i="15"/>
  <c r="S84" i="15" s="1"/>
  <c r="P86" i="15"/>
  <c r="I88" i="15"/>
  <c r="S88" i="15" s="1"/>
  <c r="P90" i="15"/>
  <c r="C12" i="14"/>
  <c r="AQ11" i="15"/>
  <c r="A622" i="1" s="1"/>
  <c r="AQ14" i="15"/>
  <c r="A625" i="1" s="1"/>
  <c r="Q74" i="15"/>
  <c r="Q78" i="15"/>
  <c r="Q82" i="15"/>
  <c r="Q86" i="15"/>
  <c r="Q90" i="15"/>
  <c r="AQ16" i="14"/>
  <c r="P74" i="14"/>
  <c r="AQ8" i="10"/>
  <c r="A564" i="1" s="1"/>
  <c r="M47" i="10"/>
  <c r="M71" i="10"/>
  <c r="M83" i="10"/>
  <c r="M58" i="12"/>
  <c r="M65" i="12"/>
  <c r="M77" i="12"/>
  <c r="N58" i="13"/>
  <c r="M87" i="13"/>
  <c r="L56" i="3"/>
  <c r="C19" i="14"/>
  <c r="M70" i="14"/>
  <c r="N77" i="14"/>
  <c r="M91" i="14"/>
  <c r="C5" i="15"/>
  <c r="AQ5" i="15"/>
  <c r="A616" i="1" s="1"/>
  <c r="C7" i="15"/>
  <c r="AQ18" i="15"/>
  <c r="AQ21" i="15"/>
  <c r="C32" i="15"/>
  <c r="P43" i="15"/>
  <c r="I45" i="15"/>
  <c r="S45" i="15" s="1"/>
  <c r="P47" i="15"/>
  <c r="I49" i="15"/>
  <c r="S49" i="15" s="1"/>
  <c r="P51" i="15"/>
  <c r="I53" i="15"/>
  <c r="S53" i="15" s="1"/>
  <c r="P55" i="15"/>
  <c r="I57" i="15"/>
  <c r="S57" i="15" s="1"/>
  <c r="P59" i="15"/>
  <c r="I61" i="15"/>
  <c r="S61" i="15" s="1"/>
  <c r="P63" i="15"/>
  <c r="I65" i="15"/>
  <c r="S65" i="15" s="1"/>
  <c r="P67" i="15"/>
  <c r="I69" i="15"/>
  <c r="S69" i="15" s="1"/>
  <c r="P71" i="15"/>
  <c r="I73" i="15"/>
  <c r="S73" i="15" s="1"/>
  <c r="P75" i="15"/>
  <c r="P79" i="15"/>
  <c r="P83" i="15"/>
  <c r="P87" i="15"/>
  <c r="P91" i="15"/>
  <c r="C22" i="14"/>
  <c r="N46" i="14"/>
  <c r="AQ7" i="15"/>
  <c r="A618" i="1" s="1"/>
  <c r="Q71" i="15"/>
  <c r="Q75" i="15"/>
  <c r="Q79" i="15"/>
  <c r="Q83" i="15"/>
  <c r="Q87" i="15"/>
  <c r="Q91" i="15"/>
  <c r="X6" i="14"/>
  <c r="AQ25" i="14"/>
  <c r="Q70" i="14"/>
  <c r="S75" i="14"/>
  <c r="AQ10" i="15"/>
  <c r="A621" i="1" s="1"/>
  <c r="AQ13" i="15"/>
  <c r="A624" i="1" s="1"/>
  <c r="M54" i="13"/>
  <c r="M78" i="13"/>
  <c r="M90" i="13"/>
  <c r="Y6" i="14"/>
  <c r="N73" i="14"/>
  <c r="M75" i="14"/>
  <c r="A57" i="3"/>
  <c r="C17" i="15"/>
  <c r="C20" i="15"/>
  <c r="C23" i="15"/>
  <c r="C26" i="15"/>
  <c r="C35" i="15"/>
  <c r="P44" i="15"/>
  <c r="P48" i="15"/>
  <c r="P52" i="15"/>
  <c r="P56" i="15"/>
  <c r="P60" i="15"/>
  <c r="P64" i="15"/>
  <c r="P68" i="15"/>
  <c r="P72" i="15"/>
  <c r="P76" i="15"/>
  <c r="P80" i="15"/>
  <c r="P84" i="15"/>
  <c r="S87" i="15"/>
  <c r="P88" i="15"/>
  <c r="S91" i="15"/>
  <c r="Q76" i="15"/>
  <c r="Q80" i="15"/>
  <c r="Q84" i="15"/>
  <c r="Q88" i="15"/>
  <c r="AQ22" i="12"/>
  <c r="L57" i="3"/>
  <c r="AQ6" i="15"/>
  <c r="A617" i="1" s="1"/>
  <c r="N72" i="11"/>
  <c r="N86" i="11"/>
  <c r="M71" i="12"/>
  <c r="M45" i="13"/>
  <c r="M43" i="14"/>
  <c r="M64" i="14"/>
  <c r="N69" i="14"/>
  <c r="M78" i="14"/>
  <c r="F57" i="3"/>
  <c r="AQ9" i="15"/>
  <c r="A620" i="1" s="1"/>
  <c r="AQ12" i="15"/>
  <c r="A623" i="1" s="1"/>
  <c r="P45" i="15"/>
  <c r="P49" i="15"/>
  <c r="P53" i="15"/>
  <c r="P57" i="15"/>
  <c r="P61" i="15"/>
  <c r="P65" i="15"/>
  <c r="P69" i="15"/>
  <c r="P73" i="15"/>
  <c r="P77" i="15"/>
  <c r="P81" i="15"/>
  <c r="P85" i="15"/>
  <c r="AA6" i="14"/>
  <c r="J57" i="3"/>
  <c r="S42" i="14"/>
  <c r="P50" i="14"/>
  <c r="S71" i="14"/>
  <c r="S80" i="14"/>
  <c r="S62" i="14"/>
  <c r="C28" i="14"/>
  <c r="Q64" i="14"/>
  <c r="Q73" i="14"/>
  <c r="C33" i="14"/>
  <c r="P42" i="14"/>
  <c r="P46" i="14"/>
  <c r="Q71" i="14"/>
  <c r="U6" i="12"/>
  <c r="Q60" i="14"/>
  <c r="S88" i="14"/>
  <c r="B2" i="12"/>
  <c r="U5" i="12" s="1"/>
  <c r="D55" i="3" s="1"/>
  <c r="S42" i="12"/>
  <c r="S54" i="12"/>
  <c r="S47" i="14"/>
  <c r="Q58" i="14"/>
  <c r="S70" i="14"/>
  <c r="C9" i="14"/>
  <c r="Q56" i="14"/>
  <c r="I57" i="3"/>
  <c r="S71" i="12"/>
  <c r="H57" i="3"/>
  <c r="G57" i="3"/>
  <c r="M71" i="14"/>
  <c r="N45" i="14"/>
  <c r="N49" i="14"/>
  <c r="N85" i="14"/>
  <c r="N87" i="14"/>
  <c r="M45" i="14"/>
  <c r="M49" i="14"/>
  <c r="M51" i="14"/>
  <c r="M58" i="14"/>
  <c r="M67" i="14"/>
  <c r="M85" i="14"/>
  <c r="M83" i="14"/>
  <c r="N47" i="14"/>
  <c r="N83" i="14"/>
  <c r="M88" i="14"/>
  <c r="N61" i="14"/>
  <c r="M50" i="14"/>
  <c r="M52" i="14"/>
  <c r="M61" i="14"/>
  <c r="M68" i="14"/>
  <c r="M86" i="14"/>
  <c r="N57" i="14"/>
  <c r="M42" i="14"/>
  <c r="M44" i="14"/>
  <c r="M48" i="14"/>
  <c r="M57" i="14"/>
  <c r="M66" i="14"/>
  <c r="M84" i="14"/>
  <c r="N89" i="14"/>
  <c r="N42" i="14"/>
  <c r="N54" i="14"/>
  <c r="N58" i="14"/>
  <c r="N62" i="14"/>
  <c r="N66" i="14"/>
  <c r="N71" i="14"/>
  <c r="N79" i="14"/>
  <c r="N90" i="14"/>
  <c r="N67" i="14"/>
  <c r="N86" i="14"/>
  <c r="N88" i="14"/>
  <c r="N43" i="14"/>
  <c r="N55" i="14"/>
  <c r="N59" i="14"/>
  <c r="N63" i="14"/>
  <c r="N75" i="14"/>
  <c r="N70" i="14"/>
  <c r="N80" i="14"/>
  <c r="N78" i="14"/>
  <c r="N91" i="14"/>
  <c r="N74" i="14"/>
  <c r="C18" i="14"/>
  <c r="S50" i="14"/>
  <c r="Q51" i="14"/>
  <c r="Q53" i="14"/>
  <c r="S55" i="14"/>
  <c r="P58" i="14"/>
  <c r="S78" i="14"/>
  <c r="S82" i="14"/>
  <c r="S84" i="14"/>
  <c r="S90" i="14"/>
  <c r="Z9" i="14"/>
  <c r="AQ19" i="14"/>
  <c r="C29" i="14"/>
  <c r="S43" i="14"/>
  <c r="Q46" i="14"/>
  <c r="S66" i="14"/>
  <c r="Q67" i="14"/>
  <c r="Q69" i="14"/>
  <c r="Q74" i="14"/>
  <c r="AE5" i="14"/>
  <c r="B2" i="14"/>
  <c r="U5" i="14" s="1"/>
  <c r="D57" i="3" s="1"/>
  <c r="C6" i="14"/>
  <c r="C10" i="14"/>
  <c r="AQ20" i="14"/>
  <c r="C30" i="14"/>
  <c r="Q48" i="14"/>
  <c r="S54" i="14"/>
  <c r="P62" i="14"/>
  <c r="Q76" i="14"/>
  <c r="P86" i="14"/>
  <c r="C11" i="14"/>
  <c r="C21" i="14"/>
  <c r="C31" i="14"/>
  <c r="Q55" i="14"/>
  <c r="Q57" i="14"/>
  <c r="S59" i="14"/>
  <c r="Q62" i="14"/>
  <c r="P78" i="14"/>
  <c r="P82" i="14"/>
  <c r="P90" i="14"/>
  <c r="C13" i="14"/>
  <c r="AQ22" i="14"/>
  <c r="C34" i="14"/>
  <c r="Q50" i="14"/>
  <c r="Q52" i="14"/>
  <c r="C14" i="14"/>
  <c r="AQ23" i="14"/>
  <c r="C36" i="14"/>
  <c r="S58" i="14"/>
  <c r="Q59" i="14"/>
  <c r="Q61" i="14"/>
  <c r="S63" i="14"/>
  <c r="P66" i="14"/>
  <c r="S79" i="14"/>
  <c r="S83" i="14"/>
  <c r="S87" i="14"/>
  <c r="S91" i="14"/>
  <c r="C15" i="14"/>
  <c r="C24" i="14"/>
  <c r="C37" i="14"/>
  <c r="S46" i="14"/>
  <c r="P54" i="14"/>
  <c r="Q66" i="14"/>
  <c r="Q68" i="14"/>
  <c r="S74" i="14"/>
  <c r="Q85" i="14"/>
  <c r="C16" i="14"/>
  <c r="C25" i="14"/>
  <c r="Q47" i="14"/>
  <c r="Q49" i="14"/>
  <c r="S51" i="14"/>
  <c r="Q54" i="14"/>
  <c r="P70" i="14"/>
  <c r="Q75" i="14"/>
  <c r="Q77" i="14"/>
  <c r="Q81" i="14"/>
  <c r="Q89" i="14"/>
  <c r="AB5" i="14"/>
  <c r="C8" i="14"/>
  <c r="AQ17" i="14"/>
  <c r="AQ26" i="14"/>
  <c r="Q42" i="14"/>
  <c r="Q44" i="14"/>
  <c r="Q63" i="14"/>
  <c r="Q65" i="14"/>
  <c r="S67" i="14"/>
  <c r="Q72" i="14"/>
  <c r="S86" i="14"/>
  <c r="P89" i="13"/>
  <c r="C25" i="13"/>
  <c r="C22" i="13"/>
  <c r="Q66" i="13"/>
  <c r="C15" i="13"/>
  <c r="Q50" i="13"/>
  <c r="Q70" i="13"/>
  <c r="C9" i="13"/>
  <c r="Q54" i="13"/>
  <c r="Q60" i="13"/>
  <c r="Q67" i="13"/>
  <c r="N61" i="10"/>
  <c r="N85" i="10"/>
  <c r="S63" i="13"/>
  <c r="N46" i="9"/>
  <c r="N42" i="10"/>
  <c r="Q44" i="13"/>
  <c r="Q51" i="13"/>
  <c r="M67" i="8"/>
  <c r="M91" i="8"/>
  <c r="M44" i="11"/>
  <c r="C30" i="13"/>
  <c r="S47" i="13"/>
  <c r="C34" i="13"/>
  <c r="N48" i="14"/>
  <c r="I48" i="14"/>
  <c r="S48" i="14" s="1"/>
  <c r="N56" i="14"/>
  <c r="I56" i="14"/>
  <c r="S56" i="14" s="1"/>
  <c r="N64" i="14"/>
  <c r="I64" i="14"/>
  <c r="S64" i="14" s="1"/>
  <c r="N72" i="14"/>
  <c r="I72" i="14"/>
  <c r="S72" i="14" s="1"/>
  <c r="N81" i="10"/>
  <c r="M47" i="9"/>
  <c r="M59" i="9"/>
  <c r="AQ19" i="11"/>
  <c r="N84" i="14"/>
  <c r="M77" i="10"/>
  <c r="AF6" i="13"/>
  <c r="N61" i="12"/>
  <c r="M63" i="12"/>
  <c r="M75" i="12"/>
  <c r="M82" i="12"/>
  <c r="M89" i="12"/>
  <c r="W6" i="13"/>
  <c r="F56" i="3"/>
  <c r="AQ24" i="13"/>
  <c r="AQ19" i="13"/>
  <c r="M49" i="12"/>
  <c r="M61" i="12"/>
  <c r="AE6" i="13"/>
  <c r="N56" i="3"/>
  <c r="Y6" i="13"/>
  <c r="M67" i="13"/>
  <c r="S79" i="13"/>
  <c r="N44" i="14"/>
  <c r="I44" i="14"/>
  <c r="N52" i="14"/>
  <c r="I52" i="14"/>
  <c r="S52" i="14" s="1"/>
  <c r="N60" i="14"/>
  <c r="I60" i="14"/>
  <c r="S60" i="14" s="1"/>
  <c r="N68" i="14"/>
  <c r="I68" i="14"/>
  <c r="S68" i="14" s="1"/>
  <c r="N76" i="14"/>
  <c r="I76" i="14"/>
  <c r="S76" i="14" s="1"/>
  <c r="AQ11" i="14"/>
  <c r="A611" i="1" s="1"/>
  <c r="AQ14" i="14"/>
  <c r="A614" i="1" s="1"/>
  <c r="Q78" i="14"/>
  <c r="Q82" i="14"/>
  <c r="Q86" i="14"/>
  <c r="Q90" i="14"/>
  <c r="N66" i="12"/>
  <c r="S82" i="13"/>
  <c r="M56" i="11"/>
  <c r="N75" i="11"/>
  <c r="N87" i="11"/>
  <c r="AQ7" i="13"/>
  <c r="A596" i="1" s="1"/>
  <c r="M50" i="13"/>
  <c r="M59" i="13"/>
  <c r="M82" i="13"/>
  <c r="C5" i="14"/>
  <c r="AQ5" i="14"/>
  <c r="A605" i="1" s="1"/>
  <c r="C7" i="14"/>
  <c r="AQ18" i="14"/>
  <c r="AQ21" i="14"/>
  <c r="C32" i="14"/>
  <c r="P43" i="14"/>
  <c r="I45" i="14"/>
  <c r="S45" i="14" s="1"/>
  <c r="P47" i="14"/>
  <c r="I49" i="14"/>
  <c r="S49" i="14" s="1"/>
  <c r="P51" i="14"/>
  <c r="I53" i="14"/>
  <c r="S53" i="14" s="1"/>
  <c r="P55" i="14"/>
  <c r="I57" i="14"/>
  <c r="S57" i="14" s="1"/>
  <c r="P59" i="14"/>
  <c r="I61" i="14"/>
  <c r="S61" i="14" s="1"/>
  <c r="P63" i="14"/>
  <c r="I65" i="14"/>
  <c r="S65" i="14" s="1"/>
  <c r="P67" i="14"/>
  <c r="I69" i="14"/>
  <c r="S69" i="14" s="1"/>
  <c r="P71" i="14"/>
  <c r="I73" i="14"/>
  <c r="S73" i="14" s="1"/>
  <c r="P75" i="14"/>
  <c r="I77" i="14"/>
  <c r="S77" i="14" s="1"/>
  <c r="P79" i="14"/>
  <c r="I81" i="14"/>
  <c r="S81" i="14" s="1"/>
  <c r="P83" i="14"/>
  <c r="I85" i="14"/>
  <c r="S85" i="14" s="1"/>
  <c r="P87" i="14"/>
  <c r="I89" i="14"/>
  <c r="S89" i="14" s="1"/>
  <c r="P91" i="14"/>
  <c r="X6" i="13"/>
  <c r="S57" i="13"/>
  <c r="AQ7" i="14"/>
  <c r="A607" i="1" s="1"/>
  <c r="Q79" i="14"/>
  <c r="Q83" i="14"/>
  <c r="Q87" i="14"/>
  <c r="Q91" i="14"/>
  <c r="N48" i="12"/>
  <c r="N85" i="13"/>
  <c r="AQ10" i="14"/>
  <c r="A610" i="1" s="1"/>
  <c r="AQ13" i="14"/>
  <c r="A613" i="1" s="1"/>
  <c r="M47" i="11"/>
  <c r="N52" i="11"/>
  <c r="N54" i="11"/>
  <c r="M59" i="11"/>
  <c r="M83" i="11"/>
  <c r="M48" i="12"/>
  <c r="N86" i="12"/>
  <c r="Z6" i="13"/>
  <c r="M64" i="13"/>
  <c r="M85" i="13"/>
  <c r="S90" i="13"/>
  <c r="C17" i="14"/>
  <c r="C20" i="14"/>
  <c r="C23" i="14"/>
  <c r="C26" i="14"/>
  <c r="C35" i="14"/>
  <c r="P44" i="14"/>
  <c r="P48" i="14"/>
  <c r="P52" i="14"/>
  <c r="P56" i="14"/>
  <c r="P60" i="14"/>
  <c r="P64" i="14"/>
  <c r="P68" i="14"/>
  <c r="P72" i="14"/>
  <c r="P76" i="14"/>
  <c r="P80" i="14"/>
  <c r="P84" i="14"/>
  <c r="P88" i="14"/>
  <c r="AA6" i="13"/>
  <c r="Q80" i="14"/>
  <c r="Q84" i="14"/>
  <c r="Q88" i="14"/>
  <c r="S51" i="13"/>
  <c r="AQ6" i="14"/>
  <c r="A606" i="1" s="1"/>
  <c r="S67" i="13"/>
  <c r="M69" i="13"/>
  <c r="M76" i="13"/>
  <c r="M88" i="13"/>
  <c r="J56" i="3"/>
  <c r="AQ9" i="14"/>
  <c r="A609" i="1" s="1"/>
  <c r="AQ12" i="14"/>
  <c r="A612" i="1" s="1"/>
  <c r="P45" i="14"/>
  <c r="P49" i="14"/>
  <c r="P53" i="14"/>
  <c r="P57" i="14"/>
  <c r="P61" i="14"/>
  <c r="P65" i="14"/>
  <c r="P69" i="14"/>
  <c r="P73" i="14"/>
  <c r="P77" i="14"/>
  <c r="P81" i="14"/>
  <c r="P85" i="14"/>
  <c r="N42" i="13"/>
  <c r="M49" i="13"/>
  <c r="M60" i="13"/>
  <c r="M73" i="13"/>
  <c r="M80" i="13"/>
  <c r="N82" i="13"/>
  <c r="M47" i="13"/>
  <c r="M43" i="13"/>
  <c r="N81" i="13"/>
  <c r="M52" i="13"/>
  <c r="N54" i="13"/>
  <c r="M63" i="13"/>
  <c r="M74" i="13"/>
  <c r="M81" i="13"/>
  <c r="M61" i="13"/>
  <c r="N74" i="13"/>
  <c r="M46" i="13"/>
  <c r="M57" i="13"/>
  <c r="M66" i="13"/>
  <c r="M86" i="13"/>
  <c r="N70" i="13"/>
  <c r="N46" i="13"/>
  <c r="M84" i="13"/>
  <c r="N89" i="13"/>
  <c r="M51" i="13"/>
  <c r="M62" i="13"/>
  <c r="N73" i="13"/>
  <c r="M75" i="13"/>
  <c r="M89" i="13"/>
  <c r="N50" i="13"/>
  <c r="N90" i="13"/>
  <c r="N49" i="13"/>
  <c r="N65" i="13"/>
  <c r="N86" i="13"/>
  <c r="N45" i="13"/>
  <c r="N53" i="13"/>
  <c r="N57" i="13"/>
  <c r="N61" i="13"/>
  <c r="N69" i="13"/>
  <c r="N78" i="13"/>
  <c r="N91" i="13"/>
  <c r="C21" i="13"/>
  <c r="C33" i="13"/>
  <c r="S42" i="13"/>
  <c r="Q45" i="13"/>
  <c r="S58" i="13"/>
  <c r="Q61" i="13"/>
  <c r="C10" i="13"/>
  <c r="AQ22" i="13"/>
  <c r="C36" i="13"/>
  <c r="Q47" i="13"/>
  <c r="S53" i="13"/>
  <c r="Q56" i="13"/>
  <c r="Q63" i="13"/>
  <c r="S69" i="13"/>
  <c r="C6" i="13"/>
  <c r="C12" i="13"/>
  <c r="AQ23" i="13"/>
  <c r="C37" i="13"/>
  <c r="S46" i="13"/>
  <c r="Q49" i="13"/>
  <c r="S62" i="13"/>
  <c r="Q65" i="13"/>
  <c r="S75" i="13"/>
  <c r="S86" i="13"/>
  <c r="C13" i="13"/>
  <c r="C24" i="13"/>
  <c r="Q42" i="13"/>
  <c r="S55" i="13"/>
  <c r="Q58" i="13"/>
  <c r="S71" i="13"/>
  <c r="AQ16" i="13"/>
  <c r="AQ25" i="13"/>
  <c r="S50" i="13"/>
  <c r="Q53" i="13"/>
  <c r="S66" i="13"/>
  <c r="Q69" i="13"/>
  <c r="Q73" i="13"/>
  <c r="AQ17" i="13"/>
  <c r="AQ26" i="13"/>
  <c r="S43" i="13"/>
  <c r="Q46" i="13"/>
  <c r="S59" i="13"/>
  <c r="Q62" i="13"/>
  <c r="S78" i="13"/>
  <c r="S91" i="13"/>
  <c r="C18" i="13"/>
  <c r="S45" i="13"/>
  <c r="Q48" i="13"/>
  <c r="Q55" i="13"/>
  <c r="S61" i="13"/>
  <c r="Q64" i="13"/>
  <c r="C19" i="13"/>
  <c r="C28" i="13"/>
  <c r="S54" i="13"/>
  <c r="Q57" i="13"/>
  <c r="S70" i="13"/>
  <c r="S74" i="13"/>
  <c r="S87" i="13"/>
  <c r="AB5" i="13"/>
  <c r="C8" i="13"/>
  <c r="AQ20" i="13"/>
  <c r="C31" i="13"/>
  <c r="Q43" i="13"/>
  <c r="S49" i="13"/>
  <c r="Q52" i="13"/>
  <c r="Q59" i="13"/>
  <c r="S65" i="13"/>
  <c r="Q68" i="13"/>
  <c r="S83" i="13"/>
  <c r="A50" i="3"/>
  <c r="AQ15" i="13"/>
  <c r="A604" i="1" s="1"/>
  <c r="AQ12" i="13"/>
  <c r="A601" i="1" s="1"/>
  <c r="AQ9" i="13"/>
  <c r="A598" i="1" s="1"/>
  <c r="AQ6" i="13"/>
  <c r="A595" i="1" s="1"/>
  <c r="AQ13" i="13"/>
  <c r="A602" i="1" s="1"/>
  <c r="AQ10" i="13"/>
  <c r="A599" i="1" s="1"/>
  <c r="AQ5" i="13"/>
  <c r="A594" i="1" s="1"/>
  <c r="AQ8" i="13"/>
  <c r="A597" i="1" s="1"/>
  <c r="N82" i="11"/>
  <c r="N44" i="13"/>
  <c r="I44" i="13"/>
  <c r="N56" i="13"/>
  <c r="I56" i="13"/>
  <c r="S56" i="13" s="1"/>
  <c r="N68" i="13"/>
  <c r="I68" i="13"/>
  <c r="S68" i="13" s="1"/>
  <c r="N88" i="13"/>
  <c r="I88" i="13"/>
  <c r="S88" i="13" s="1"/>
  <c r="M45" i="10"/>
  <c r="M57" i="10"/>
  <c r="M69" i="10"/>
  <c r="M82" i="11"/>
  <c r="AQ15" i="12"/>
  <c r="A593" i="1" s="1"/>
  <c r="AQ14" i="12"/>
  <c r="A592" i="1" s="1"/>
  <c r="N84" i="13"/>
  <c r="I84" i="13"/>
  <c r="S84" i="13" s="1"/>
  <c r="N80" i="13"/>
  <c r="I80" i="13"/>
  <c r="S80" i="13" s="1"/>
  <c r="N72" i="13"/>
  <c r="I72" i="13"/>
  <c r="S72" i="13" s="1"/>
  <c r="N76" i="13"/>
  <c r="I76" i="13"/>
  <c r="S76" i="13" s="1"/>
  <c r="M60" i="10"/>
  <c r="M85" i="11"/>
  <c r="Z9" i="12"/>
  <c r="I55" i="3"/>
  <c r="A55" i="3"/>
  <c r="AQ14" i="13"/>
  <c r="A603" i="1" s="1"/>
  <c r="N48" i="13"/>
  <c r="I48" i="13"/>
  <c r="S48" i="13" s="1"/>
  <c r="N60" i="13"/>
  <c r="I60" i="13"/>
  <c r="S60" i="13" s="1"/>
  <c r="N85" i="12"/>
  <c r="U6" i="13"/>
  <c r="N64" i="11"/>
  <c r="N76" i="11"/>
  <c r="N88" i="11"/>
  <c r="N88" i="12"/>
  <c r="AQ11" i="13"/>
  <c r="A600" i="1" s="1"/>
  <c r="M51" i="10"/>
  <c r="N58" i="10"/>
  <c r="N89" i="10"/>
  <c r="AQ15" i="11"/>
  <c r="A582" i="1" s="1"/>
  <c r="A54" i="3"/>
  <c r="N59" i="11"/>
  <c r="M76" i="11"/>
  <c r="M88" i="11"/>
  <c r="W6" i="12"/>
  <c r="F55" i="3"/>
  <c r="J55" i="3"/>
  <c r="B2" i="13"/>
  <c r="U5" i="13" s="1"/>
  <c r="D56" i="3" s="1"/>
  <c r="N68" i="7"/>
  <c r="N74" i="11"/>
  <c r="AE6" i="12"/>
  <c r="N55" i="3"/>
  <c r="N52" i="13"/>
  <c r="I52" i="13"/>
  <c r="S52" i="13" s="1"/>
  <c r="N64" i="13"/>
  <c r="I64" i="13"/>
  <c r="S64" i="13" s="1"/>
  <c r="N50" i="11"/>
  <c r="M55" i="11"/>
  <c r="M62" i="11"/>
  <c r="M74" i="11"/>
  <c r="M86" i="11"/>
  <c r="N44" i="12"/>
  <c r="Q77" i="13"/>
  <c r="Q81" i="13"/>
  <c r="Q85" i="13"/>
  <c r="Q89" i="13"/>
  <c r="S46" i="12"/>
  <c r="M88" i="12"/>
  <c r="C11" i="13"/>
  <c r="C14" i="13"/>
  <c r="C16" i="13"/>
  <c r="C29" i="13"/>
  <c r="P42" i="13"/>
  <c r="P46" i="13"/>
  <c r="P50" i="13"/>
  <c r="P54" i="13"/>
  <c r="P58" i="13"/>
  <c r="P62" i="13"/>
  <c r="P66" i="13"/>
  <c r="P70" i="13"/>
  <c r="P74" i="13"/>
  <c r="P78" i="13"/>
  <c r="P82" i="13"/>
  <c r="P86" i="13"/>
  <c r="P90" i="13"/>
  <c r="Q74" i="13"/>
  <c r="Q78" i="13"/>
  <c r="Q82" i="13"/>
  <c r="Q86" i="13"/>
  <c r="Q90" i="13"/>
  <c r="S70" i="12"/>
  <c r="N84" i="12"/>
  <c r="L55" i="3"/>
  <c r="N43" i="13"/>
  <c r="N47" i="13"/>
  <c r="N51" i="13"/>
  <c r="N55" i="13"/>
  <c r="N59" i="13"/>
  <c r="N63" i="13"/>
  <c r="N67" i="13"/>
  <c r="N71" i="13"/>
  <c r="N75" i="13"/>
  <c r="N79" i="13"/>
  <c r="N83" i="13"/>
  <c r="M44" i="12"/>
  <c r="N49" i="12"/>
  <c r="M51" i="12"/>
  <c r="M70" i="12"/>
  <c r="M84" i="12"/>
  <c r="M91" i="12"/>
  <c r="C5" i="13"/>
  <c r="C7" i="13"/>
  <c r="AQ18" i="13"/>
  <c r="AQ21" i="13"/>
  <c r="C32" i="13"/>
  <c r="P43" i="13"/>
  <c r="P47" i="13"/>
  <c r="P51" i="13"/>
  <c r="P55" i="13"/>
  <c r="P59" i="13"/>
  <c r="P63" i="13"/>
  <c r="P67" i="13"/>
  <c r="P71" i="13"/>
  <c r="I73" i="13"/>
  <c r="S73" i="13" s="1"/>
  <c r="P75" i="13"/>
  <c r="I77" i="13"/>
  <c r="S77" i="13" s="1"/>
  <c r="P79" i="13"/>
  <c r="I81" i="13"/>
  <c r="S81" i="13" s="1"/>
  <c r="P83" i="13"/>
  <c r="I85" i="13"/>
  <c r="S85" i="13" s="1"/>
  <c r="P87" i="13"/>
  <c r="I89" i="13"/>
  <c r="S89" i="13" s="1"/>
  <c r="P91" i="13"/>
  <c r="Q71" i="13"/>
  <c r="Q75" i="13"/>
  <c r="Q79" i="13"/>
  <c r="Q83" i="13"/>
  <c r="Q87" i="13"/>
  <c r="Q91" i="13"/>
  <c r="AQ25" i="12"/>
  <c r="M47" i="12"/>
  <c r="M54" i="12"/>
  <c r="S59" i="12"/>
  <c r="M80" i="12"/>
  <c r="C17" i="13"/>
  <c r="C20" i="13"/>
  <c r="C23" i="13"/>
  <c r="C26" i="13"/>
  <c r="C35" i="13"/>
  <c r="P44" i="13"/>
  <c r="P48" i="13"/>
  <c r="P52" i="13"/>
  <c r="P56" i="13"/>
  <c r="P60" i="13"/>
  <c r="P64" i="13"/>
  <c r="P68" i="13"/>
  <c r="P72" i="13"/>
  <c r="P76" i="13"/>
  <c r="P80" i="13"/>
  <c r="P84" i="13"/>
  <c r="P88" i="13"/>
  <c r="Q72" i="13"/>
  <c r="Q76" i="13"/>
  <c r="Q80" i="13"/>
  <c r="Q84" i="13"/>
  <c r="Q88" i="13"/>
  <c r="N64" i="12"/>
  <c r="S43" i="12"/>
  <c r="M50" i="12"/>
  <c r="M64" i="12"/>
  <c r="S69" i="12"/>
  <c r="S90" i="12"/>
  <c r="P45" i="13"/>
  <c r="P49" i="13"/>
  <c r="P53" i="13"/>
  <c r="P57" i="13"/>
  <c r="P61" i="13"/>
  <c r="P65" i="13"/>
  <c r="P69" i="13"/>
  <c r="P73" i="13"/>
  <c r="P77" i="13"/>
  <c r="P81" i="13"/>
  <c r="P85" i="13"/>
  <c r="M53" i="12"/>
  <c r="M69" i="12"/>
  <c r="M76" i="12"/>
  <c r="N87" i="12"/>
  <c r="N56" i="12"/>
  <c r="M67" i="12"/>
  <c r="N72" i="12"/>
  <c r="M81" i="12"/>
  <c r="M56" i="12"/>
  <c r="N67" i="12"/>
  <c r="M72" i="12"/>
  <c r="M90" i="12"/>
  <c r="N65" i="12"/>
  <c r="N45" i="12"/>
  <c r="N63" i="12"/>
  <c r="M45" i="12"/>
  <c r="N52" i="12"/>
  <c r="M59" i="12"/>
  <c r="N68" i="12"/>
  <c r="M52" i="12"/>
  <c r="N57" i="12"/>
  <c r="M68" i="12"/>
  <c r="M43" i="12"/>
  <c r="M57" i="12"/>
  <c r="M66" i="12"/>
  <c r="M73" i="12"/>
  <c r="N80" i="12"/>
  <c r="N60" i="12"/>
  <c r="N91" i="12"/>
  <c r="M46" i="12"/>
  <c r="N53" i="12"/>
  <c r="M60" i="12"/>
  <c r="N76" i="12"/>
  <c r="M85" i="12"/>
  <c r="N54" i="12"/>
  <c r="N69" i="12"/>
  <c r="N71" i="12"/>
  <c r="N46" i="12"/>
  <c r="N59" i="12"/>
  <c r="I86" i="12"/>
  <c r="S86" i="12" s="1"/>
  <c r="N74" i="12"/>
  <c r="N78" i="12"/>
  <c r="N82" i="12"/>
  <c r="N42" i="12"/>
  <c r="N55" i="12"/>
  <c r="N70" i="12"/>
  <c r="N89" i="12"/>
  <c r="N58" i="12"/>
  <c r="N77" i="12"/>
  <c r="N81" i="12"/>
  <c r="N73" i="12"/>
  <c r="N75" i="12"/>
  <c r="N79" i="12"/>
  <c r="N83" i="12"/>
  <c r="AQ20" i="12"/>
  <c r="AQ23" i="12"/>
  <c r="S74" i="12"/>
  <c r="S78" i="12"/>
  <c r="S82" i="12"/>
  <c r="AQ26" i="12"/>
  <c r="S66" i="12"/>
  <c r="S51" i="12"/>
  <c r="S62" i="12"/>
  <c r="C28" i="12"/>
  <c r="AQ8" i="12"/>
  <c r="A586" i="1" s="1"/>
  <c r="S47" i="12"/>
  <c r="S58" i="12"/>
  <c r="S77" i="12"/>
  <c r="S81" i="12"/>
  <c r="S85" i="12"/>
  <c r="S89" i="12"/>
  <c r="S91" i="12"/>
  <c r="Z6" i="12"/>
  <c r="AQ11" i="12"/>
  <c r="A589" i="1" s="1"/>
  <c r="S73" i="12"/>
  <c r="S75" i="12"/>
  <c r="S79" i="12"/>
  <c r="S83" i="12"/>
  <c r="S87" i="12"/>
  <c r="S65" i="12"/>
  <c r="S67" i="12"/>
  <c r="AQ19" i="12"/>
  <c r="S50" i="12"/>
  <c r="S63" i="12"/>
  <c r="M54" i="10"/>
  <c r="M66" i="10"/>
  <c r="M45" i="11"/>
  <c r="M66" i="11"/>
  <c r="M73" i="11"/>
  <c r="C19" i="12"/>
  <c r="C22" i="12"/>
  <c r="C25" i="12"/>
  <c r="Q45" i="12"/>
  <c r="Q49" i="12"/>
  <c r="Q53" i="12"/>
  <c r="Q57" i="12"/>
  <c r="Q61" i="12"/>
  <c r="Q65" i="12"/>
  <c r="Q69" i="12"/>
  <c r="Q73" i="12"/>
  <c r="Q77" i="12"/>
  <c r="Q81" i="12"/>
  <c r="Q85" i="12"/>
  <c r="Q89" i="12"/>
  <c r="M64" i="10"/>
  <c r="M76" i="10"/>
  <c r="M57" i="11"/>
  <c r="M64" i="11"/>
  <c r="M71" i="11"/>
  <c r="L54" i="3"/>
  <c r="AB5" i="12"/>
  <c r="C8" i="12"/>
  <c r="C11" i="12"/>
  <c r="C14" i="12"/>
  <c r="C16" i="12"/>
  <c r="C29" i="12"/>
  <c r="P42" i="12"/>
  <c r="I44" i="12"/>
  <c r="P46" i="12"/>
  <c r="I48" i="12"/>
  <c r="S48" i="12" s="1"/>
  <c r="P50" i="12"/>
  <c r="I52" i="12"/>
  <c r="S52" i="12" s="1"/>
  <c r="P54" i="12"/>
  <c r="I56" i="12"/>
  <c r="S56" i="12" s="1"/>
  <c r="P58" i="12"/>
  <c r="I60" i="12"/>
  <c r="S60" i="12" s="1"/>
  <c r="P62" i="12"/>
  <c r="I64" i="12"/>
  <c r="S64" i="12" s="1"/>
  <c r="P66" i="12"/>
  <c r="I68" i="12"/>
  <c r="S68" i="12" s="1"/>
  <c r="P70" i="12"/>
  <c r="I72" i="12"/>
  <c r="S72" i="12" s="1"/>
  <c r="P74" i="12"/>
  <c r="I76" i="12"/>
  <c r="S76" i="12" s="1"/>
  <c r="P78" i="12"/>
  <c r="I80" i="12"/>
  <c r="S80" i="12" s="1"/>
  <c r="P82" i="12"/>
  <c r="I84" i="12"/>
  <c r="S84" i="12" s="1"/>
  <c r="P86" i="12"/>
  <c r="I88" i="12"/>
  <c r="S88" i="12" s="1"/>
  <c r="P90" i="12"/>
  <c r="L53" i="3"/>
  <c r="X6" i="12"/>
  <c r="AQ16" i="12"/>
  <c r="C30" i="12"/>
  <c r="Q42" i="12"/>
  <c r="Q46" i="12"/>
  <c r="Q50" i="12"/>
  <c r="Q54" i="12"/>
  <c r="Q58" i="12"/>
  <c r="Q62" i="12"/>
  <c r="Q66" i="12"/>
  <c r="Q70" i="12"/>
  <c r="Q74" i="12"/>
  <c r="Q78" i="12"/>
  <c r="Q82" i="12"/>
  <c r="Q86" i="12"/>
  <c r="Q90" i="12"/>
  <c r="N52" i="9"/>
  <c r="N64" i="9"/>
  <c r="N90" i="11"/>
  <c r="Y6" i="12"/>
  <c r="C18" i="12"/>
  <c r="C21" i="12"/>
  <c r="C24" i="12"/>
  <c r="C31" i="12"/>
  <c r="N43" i="12"/>
  <c r="N47" i="12"/>
  <c r="N51" i="12"/>
  <c r="N45" i="9"/>
  <c r="M76" i="9"/>
  <c r="N74" i="10"/>
  <c r="M46" i="11"/>
  <c r="I74" i="11"/>
  <c r="S74" i="11" s="1"/>
  <c r="AQ18" i="12"/>
  <c r="AQ21" i="12"/>
  <c r="C32" i="12"/>
  <c r="P43" i="12"/>
  <c r="I45" i="12"/>
  <c r="S45" i="12" s="1"/>
  <c r="P47" i="12"/>
  <c r="I49" i="12"/>
  <c r="S49" i="12" s="1"/>
  <c r="P51" i="12"/>
  <c r="I53" i="12"/>
  <c r="S53" i="12" s="1"/>
  <c r="P55" i="12"/>
  <c r="I57" i="12"/>
  <c r="S57" i="12" s="1"/>
  <c r="P59" i="12"/>
  <c r="I61" i="12"/>
  <c r="S61" i="12" s="1"/>
  <c r="P63" i="12"/>
  <c r="P67" i="12"/>
  <c r="P71" i="12"/>
  <c r="P75" i="12"/>
  <c r="P79" i="12"/>
  <c r="P83" i="12"/>
  <c r="P87" i="12"/>
  <c r="P91" i="12"/>
  <c r="C5" i="12"/>
  <c r="C7" i="12"/>
  <c r="C10" i="12"/>
  <c r="C13" i="12"/>
  <c r="C33" i="12"/>
  <c r="Q43" i="12"/>
  <c r="Q47" i="12"/>
  <c r="Q51" i="12"/>
  <c r="Q55" i="12"/>
  <c r="Q59" i="12"/>
  <c r="Q63" i="12"/>
  <c r="Q67" i="12"/>
  <c r="Q71" i="12"/>
  <c r="Q75" i="12"/>
  <c r="Q79" i="12"/>
  <c r="Q83" i="12"/>
  <c r="Q87" i="12"/>
  <c r="Q91" i="12"/>
  <c r="N84" i="11"/>
  <c r="AQ7" i="12"/>
  <c r="A585" i="1" s="1"/>
  <c r="AQ10" i="12"/>
  <c r="A588" i="1" s="1"/>
  <c r="AQ13" i="12"/>
  <c r="A591" i="1" s="1"/>
  <c r="C34" i="12"/>
  <c r="N50" i="9"/>
  <c r="M67" i="9"/>
  <c r="N72" i="9"/>
  <c r="M79" i="9"/>
  <c r="M91" i="9"/>
  <c r="M70" i="10"/>
  <c r="AQ17" i="11"/>
  <c r="M51" i="11"/>
  <c r="N56" i="11"/>
  <c r="N70" i="11"/>
  <c r="N79" i="11"/>
  <c r="M84" i="11"/>
  <c r="C17" i="12"/>
  <c r="C20" i="12"/>
  <c r="C23" i="12"/>
  <c r="C26" i="12"/>
  <c r="C35" i="12"/>
  <c r="P44" i="12"/>
  <c r="P48" i="12"/>
  <c r="P52" i="12"/>
  <c r="P56" i="12"/>
  <c r="P60" i="12"/>
  <c r="P64" i="12"/>
  <c r="P68" i="12"/>
  <c r="P72" i="12"/>
  <c r="P76" i="12"/>
  <c r="P80" i="12"/>
  <c r="P84" i="12"/>
  <c r="P88" i="12"/>
  <c r="AQ8" i="8"/>
  <c r="A542" i="1" s="1"/>
  <c r="C36" i="12"/>
  <c r="Q44" i="12"/>
  <c r="Q48" i="12"/>
  <c r="Q52" i="12"/>
  <c r="Q56" i="12"/>
  <c r="Q60" i="12"/>
  <c r="Q64" i="12"/>
  <c r="Q68" i="12"/>
  <c r="Q72" i="12"/>
  <c r="Q76" i="12"/>
  <c r="Q80" i="12"/>
  <c r="Q84" i="12"/>
  <c r="Q88" i="12"/>
  <c r="N60" i="6"/>
  <c r="N84" i="6"/>
  <c r="AQ22" i="11"/>
  <c r="C9" i="12"/>
  <c r="C12" i="12"/>
  <c r="C15" i="12"/>
  <c r="C37" i="12"/>
  <c r="M46" i="9"/>
  <c r="M61" i="10"/>
  <c r="M73" i="10"/>
  <c r="N45" i="11"/>
  <c r="M54" i="11"/>
  <c r="M75" i="11"/>
  <c r="M87" i="11"/>
  <c r="C6" i="12"/>
  <c r="AQ6" i="12"/>
  <c r="A584" i="1" s="1"/>
  <c r="AQ9" i="12"/>
  <c r="A587" i="1" s="1"/>
  <c r="AQ12" i="12"/>
  <c r="A590" i="1" s="1"/>
  <c r="P45" i="12"/>
  <c r="P49" i="12"/>
  <c r="P53" i="12"/>
  <c r="P57" i="12"/>
  <c r="P61" i="12"/>
  <c r="P65" i="12"/>
  <c r="P69" i="12"/>
  <c r="P73" i="12"/>
  <c r="P77" i="12"/>
  <c r="P81" i="12"/>
  <c r="P85" i="12"/>
  <c r="J54" i="3"/>
  <c r="Q19" i="4"/>
  <c r="U6" i="11"/>
  <c r="Q33" i="4"/>
  <c r="Q45" i="4"/>
  <c r="Q51" i="4"/>
  <c r="Z6" i="11"/>
  <c r="AR2" i="11"/>
  <c r="AR1" i="11"/>
  <c r="Q73" i="4"/>
  <c r="Q79" i="4"/>
  <c r="Q85" i="4"/>
  <c r="Q97" i="4"/>
  <c r="Q109" i="4"/>
  <c r="Q133" i="4"/>
  <c r="Q181" i="4"/>
  <c r="Q193" i="4"/>
  <c r="Q205" i="4"/>
  <c r="Q247" i="4"/>
  <c r="C28" i="11"/>
  <c r="W6" i="11"/>
  <c r="S55" i="11"/>
  <c r="S62" i="11"/>
  <c r="S58" i="11"/>
  <c r="M61" i="11"/>
  <c r="M68" i="11"/>
  <c r="M79" i="11"/>
  <c r="N83" i="11"/>
  <c r="N57" i="11"/>
  <c r="I82" i="11"/>
  <c r="S82" i="11" s="1"/>
  <c r="N49" i="11"/>
  <c r="N55" i="11"/>
  <c r="N78" i="11"/>
  <c r="N80" i="11"/>
  <c r="M49" i="11"/>
  <c r="N60" i="11"/>
  <c r="M67" i="11"/>
  <c r="N71" i="11"/>
  <c r="I78" i="11"/>
  <c r="S78" i="11" s="1"/>
  <c r="M80" i="11"/>
  <c r="M58" i="11"/>
  <c r="M60" i="11"/>
  <c r="M78" i="11"/>
  <c r="I70" i="11"/>
  <c r="S70" i="11" s="1"/>
  <c r="M43" i="11"/>
  <c r="M50" i="11"/>
  <c r="M52" i="11"/>
  <c r="N68" i="11"/>
  <c r="M70" i="11"/>
  <c r="M81" i="11"/>
  <c r="N53" i="11"/>
  <c r="N51" i="11"/>
  <c r="N47" i="11"/>
  <c r="N66" i="11"/>
  <c r="N43" i="11"/>
  <c r="N62" i="11"/>
  <c r="N58" i="11"/>
  <c r="N46" i="11"/>
  <c r="N69" i="11"/>
  <c r="N73" i="11"/>
  <c r="N77" i="11"/>
  <c r="N81" i="11"/>
  <c r="N85" i="11"/>
  <c r="N89" i="11"/>
  <c r="N42" i="11"/>
  <c r="N65" i="11"/>
  <c r="N63" i="11"/>
  <c r="AQ8" i="11"/>
  <c r="A575" i="1" s="1"/>
  <c r="S43" i="11"/>
  <c r="S66" i="11"/>
  <c r="S86" i="11"/>
  <c r="S90" i="11"/>
  <c r="S54" i="11"/>
  <c r="AE5" i="11"/>
  <c r="S50" i="11"/>
  <c r="AQ20" i="11"/>
  <c r="S46" i="11"/>
  <c r="AQ5" i="11"/>
  <c r="A572" i="1" s="1"/>
  <c r="S42" i="11"/>
  <c r="S67" i="11"/>
  <c r="S69" i="11"/>
  <c r="S71" i="11"/>
  <c r="S73" i="11"/>
  <c r="S75" i="11"/>
  <c r="S77" i="11"/>
  <c r="S79" i="11"/>
  <c r="S81" i="11"/>
  <c r="S83" i="11"/>
  <c r="S85" i="11"/>
  <c r="S87" i="11"/>
  <c r="S89" i="11"/>
  <c r="S91" i="11"/>
  <c r="B2" i="11"/>
  <c r="U5" i="11" s="1"/>
  <c r="D54" i="3" s="1"/>
  <c r="AQ25" i="11"/>
  <c r="S63" i="11"/>
  <c r="S65" i="11"/>
  <c r="S59" i="11"/>
  <c r="S61" i="11"/>
  <c r="S57" i="11"/>
  <c r="S51" i="11"/>
  <c r="S53" i="11"/>
  <c r="S47" i="11"/>
  <c r="AQ15" i="9"/>
  <c r="A560" i="1" s="1"/>
  <c r="A52" i="3"/>
  <c r="N44" i="11"/>
  <c r="I44" i="11"/>
  <c r="N48" i="11"/>
  <c r="I48" i="11"/>
  <c r="S48" i="11" s="1"/>
  <c r="M74" i="9"/>
  <c r="M48" i="10"/>
  <c r="N50" i="10"/>
  <c r="N69" i="10"/>
  <c r="M88" i="10"/>
  <c r="C19" i="11"/>
  <c r="C22" i="11"/>
  <c r="C25" i="11"/>
  <c r="Q45" i="11"/>
  <c r="Q49" i="11"/>
  <c r="Q53" i="11"/>
  <c r="Q57" i="11"/>
  <c r="Q61" i="11"/>
  <c r="Q65" i="11"/>
  <c r="Q69" i="11"/>
  <c r="Q73" i="11"/>
  <c r="Q77" i="11"/>
  <c r="Q81" i="11"/>
  <c r="Q85" i="11"/>
  <c r="Q89" i="11"/>
  <c r="M69" i="8"/>
  <c r="M81" i="8"/>
  <c r="N53" i="9"/>
  <c r="M60" i="9"/>
  <c r="N65" i="9"/>
  <c r="M46" i="10"/>
  <c r="M84" i="10"/>
  <c r="A51" i="3"/>
  <c r="AB5" i="11"/>
  <c r="C8" i="11"/>
  <c r="C11" i="11"/>
  <c r="C14" i="11"/>
  <c r="C16" i="11"/>
  <c r="C29" i="11"/>
  <c r="P42" i="11"/>
  <c r="P46" i="11"/>
  <c r="P50" i="11"/>
  <c r="I52" i="11"/>
  <c r="S52" i="11" s="1"/>
  <c r="P54" i="11"/>
  <c r="I56" i="11"/>
  <c r="S56" i="11" s="1"/>
  <c r="P58" i="11"/>
  <c r="I60" i="11"/>
  <c r="S60" i="11" s="1"/>
  <c r="P62" i="11"/>
  <c r="I64" i="11"/>
  <c r="S64" i="11" s="1"/>
  <c r="P66" i="11"/>
  <c r="I68" i="11"/>
  <c r="S68" i="11" s="1"/>
  <c r="P70" i="11"/>
  <c r="I72" i="11"/>
  <c r="S72" i="11" s="1"/>
  <c r="P74" i="11"/>
  <c r="I76" i="11"/>
  <c r="S76" i="11" s="1"/>
  <c r="P78" i="11"/>
  <c r="I80" i="11"/>
  <c r="S80" i="11" s="1"/>
  <c r="P82" i="11"/>
  <c r="I84" i="11"/>
  <c r="S84" i="11" s="1"/>
  <c r="P86" i="11"/>
  <c r="I88" i="11"/>
  <c r="S88" i="11" s="1"/>
  <c r="P90" i="11"/>
  <c r="N46" i="10"/>
  <c r="N65" i="10"/>
  <c r="X6" i="11"/>
  <c r="AQ16" i="11"/>
  <c r="C30" i="11"/>
  <c r="Q42" i="11"/>
  <c r="Q46" i="11"/>
  <c r="Q50" i="11"/>
  <c r="Q54" i="11"/>
  <c r="Q58" i="11"/>
  <c r="Q62" i="11"/>
  <c r="Q66" i="11"/>
  <c r="Q70" i="11"/>
  <c r="Q74" i="11"/>
  <c r="Q78" i="11"/>
  <c r="Q82" i="11"/>
  <c r="Q86" i="11"/>
  <c r="Q90" i="11"/>
  <c r="N44" i="9"/>
  <c r="A53" i="3"/>
  <c r="L51" i="3"/>
  <c r="Y6" i="11"/>
  <c r="C18" i="11"/>
  <c r="C21" i="11"/>
  <c r="C24" i="11"/>
  <c r="C31" i="11"/>
  <c r="M44" i="9"/>
  <c r="M87" i="9"/>
  <c r="M49" i="10"/>
  <c r="M68" i="10"/>
  <c r="N82" i="10"/>
  <c r="M89" i="10"/>
  <c r="AQ18" i="11"/>
  <c r="AQ21" i="11"/>
  <c r="AQ24" i="11"/>
  <c r="C32" i="11"/>
  <c r="P43" i="11"/>
  <c r="I45" i="11"/>
  <c r="S45" i="11" s="1"/>
  <c r="P47" i="11"/>
  <c r="I49" i="11"/>
  <c r="S49" i="11" s="1"/>
  <c r="P51" i="11"/>
  <c r="P55" i="11"/>
  <c r="P59" i="11"/>
  <c r="P63" i="11"/>
  <c r="P67" i="11"/>
  <c r="P71" i="11"/>
  <c r="P75" i="11"/>
  <c r="P79" i="11"/>
  <c r="P83" i="11"/>
  <c r="P87" i="11"/>
  <c r="P91" i="11"/>
  <c r="C5" i="11"/>
  <c r="C7" i="11"/>
  <c r="C10" i="11"/>
  <c r="C13" i="11"/>
  <c r="C33" i="11"/>
  <c r="Q43" i="11"/>
  <c r="Q47" i="11"/>
  <c r="Q51" i="11"/>
  <c r="Q55" i="11"/>
  <c r="Q59" i="11"/>
  <c r="Q63" i="11"/>
  <c r="Q67" i="11"/>
  <c r="Q71" i="11"/>
  <c r="Q75" i="11"/>
  <c r="Q79" i="11"/>
  <c r="Q83" i="11"/>
  <c r="Q87" i="11"/>
  <c r="Q91" i="11"/>
  <c r="AQ26" i="10"/>
  <c r="A49" i="3"/>
  <c r="AQ7" i="11"/>
  <c r="A574" i="1" s="1"/>
  <c r="AQ10" i="11"/>
  <c r="A577" i="1" s="1"/>
  <c r="AQ13" i="11"/>
  <c r="A580" i="1" s="1"/>
  <c r="C34" i="11"/>
  <c r="M51" i="8"/>
  <c r="M63" i="8"/>
  <c r="M75" i="8"/>
  <c r="M66" i="9"/>
  <c r="M78" i="9"/>
  <c r="M90" i="9"/>
  <c r="N52" i="10"/>
  <c r="M59" i="10"/>
  <c r="M78" i="10"/>
  <c r="C17" i="11"/>
  <c r="C20" i="11"/>
  <c r="C23" i="11"/>
  <c r="C26" i="11"/>
  <c r="C35" i="11"/>
  <c r="P44" i="11"/>
  <c r="P48" i="11"/>
  <c r="P52" i="11"/>
  <c r="P56" i="11"/>
  <c r="P60" i="11"/>
  <c r="P64" i="11"/>
  <c r="P68" i="11"/>
  <c r="P72" i="11"/>
  <c r="P76" i="11"/>
  <c r="P80" i="11"/>
  <c r="P84" i="11"/>
  <c r="P88" i="11"/>
  <c r="L49" i="3"/>
  <c r="AQ23" i="11"/>
  <c r="C36" i="11"/>
  <c r="Q44" i="11"/>
  <c r="Q48" i="11"/>
  <c r="Q52" i="11"/>
  <c r="Q56" i="11"/>
  <c r="Q60" i="11"/>
  <c r="Q64" i="11"/>
  <c r="Q68" i="11"/>
  <c r="Q72" i="11"/>
  <c r="Q76" i="11"/>
  <c r="Q80" i="11"/>
  <c r="Q84" i="11"/>
  <c r="Q88" i="11"/>
  <c r="N90" i="8"/>
  <c r="N57" i="9"/>
  <c r="C9" i="11"/>
  <c r="C12" i="11"/>
  <c r="C15" i="11"/>
  <c r="C37" i="11"/>
  <c r="M57" i="6"/>
  <c r="M54" i="8"/>
  <c r="N61" i="8"/>
  <c r="M66" i="8"/>
  <c r="M78" i="8"/>
  <c r="M57" i="9"/>
  <c r="N48" i="10"/>
  <c r="M90" i="10"/>
  <c r="L52" i="3"/>
  <c r="C6" i="11"/>
  <c r="AQ6" i="11"/>
  <c r="A573" i="1" s="1"/>
  <c r="AQ9" i="11"/>
  <c r="A576" i="1" s="1"/>
  <c r="AQ12" i="11"/>
  <c r="A579" i="1" s="1"/>
  <c r="P45" i="11"/>
  <c r="P49" i="11"/>
  <c r="P53" i="11"/>
  <c r="P57" i="11"/>
  <c r="P61" i="11"/>
  <c r="P65" i="11"/>
  <c r="P69" i="11"/>
  <c r="P73" i="11"/>
  <c r="P77" i="11"/>
  <c r="P81" i="11"/>
  <c r="P85" i="11"/>
  <c r="Q14" i="4"/>
  <c r="AA5" i="6"/>
  <c r="J49" i="3" s="1"/>
  <c r="AA5" i="9"/>
  <c r="J52" i="3" s="1"/>
  <c r="AA5" i="7"/>
  <c r="AA6" i="7" s="1"/>
  <c r="Q20" i="4"/>
  <c r="Q26" i="4"/>
  <c r="Q32" i="4"/>
  <c r="Q56" i="4"/>
  <c r="Q62" i="4"/>
  <c r="Q68" i="4"/>
  <c r="Q74" i="4"/>
  <c r="Q80" i="4"/>
  <c r="S79" i="9"/>
  <c r="W6" i="10"/>
  <c r="Z6" i="10"/>
  <c r="W6" i="7"/>
  <c r="W6" i="8"/>
  <c r="C13" i="10"/>
  <c r="S66" i="10"/>
  <c r="I53" i="3"/>
  <c r="S74" i="8"/>
  <c r="S90" i="10"/>
  <c r="S55" i="10"/>
  <c r="F53" i="3"/>
  <c r="S53" i="10"/>
  <c r="AA5" i="8"/>
  <c r="J51" i="3" s="1"/>
  <c r="N53" i="3"/>
  <c r="F51" i="3"/>
  <c r="N52" i="3"/>
  <c r="AR1" i="10"/>
  <c r="M58" i="10"/>
  <c r="M65" i="10"/>
  <c r="M67" i="10"/>
  <c r="M74" i="10"/>
  <c r="M87" i="10"/>
  <c r="M56" i="10"/>
  <c r="M63" i="10"/>
  <c r="M72" i="10"/>
  <c r="M79" i="10"/>
  <c r="M81" i="10"/>
  <c r="N54" i="10"/>
  <c r="M75" i="10"/>
  <c r="M43" i="10"/>
  <c r="M52" i="10"/>
  <c r="M86" i="10"/>
  <c r="M50" i="10"/>
  <c r="N84" i="10"/>
  <c r="M82" i="10"/>
  <c r="N56" i="10"/>
  <c r="M55" i="10"/>
  <c r="M62" i="10"/>
  <c r="N72" i="10"/>
  <c r="N44" i="10"/>
  <c r="M44" i="10"/>
  <c r="M53" i="10"/>
  <c r="N60" i="10"/>
  <c r="N76" i="10"/>
  <c r="M85" i="10"/>
  <c r="N57" i="10"/>
  <c r="N68" i="10"/>
  <c r="N70" i="10"/>
  <c r="N86" i="10"/>
  <c r="N88" i="10"/>
  <c r="N53" i="10"/>
  <c r="N64" i="10"/>
  <c r="N66" i="10"/>
  <c r="N49" i="10"/>
  <c r="N77" i="10"/>
  <c r="N90" i="10"/>
  <c r="N45" i="10"/>
  <c r="N62" i="10"/>
  <c r="N73" i="10"/>
  <c r="N91" i="10"/>
  <c r="N78" i="10"/>
  <c r="N80" i="10"/>
  <c r="Y6" i="10"/>
  <c r="C8" i="10"/>
  <c r="AQ15" i="10"/>
  <c r="A571" i="1" s="1"/>
  <c r="AQ17" i="10"/>
  <c r="C33" i="10"/>
  <c r="S68" i="10"/>
  <c r="S88" i="10"/>
  <c r="C16" i="10"/>
  <c r="AB5" i="10"/>
  <c r="AQ6" i="10"/>
  <c r="A562" i="1" s="1"/>
  <c r="C11" i="10"/>
  <c r="S43" i="10"/>
  <c r="S47" i="10"/>
  <c r="S51" i="10"/>
  <c r="S62" i="10"/>
  <c r="S73" i="10"/>
  <c r="S75" i="10"/>
  <c r="S81" i="10"/>
  <c r="S83" i="10"/>
  <c r="S49" i="10"/>
  <c r="AQ11" i="10"/>
  <c r="A567" i="1" s="1"/>
  <c r="S60" i="10"/>
  <c r="S45" i="10"/>
  <c r="S58" i="10"/>
  <c r="S69" i="10"/>
  <c r="S71" i="10"/>
  <c r="S85" i="10"/>
  <c r="AQ5" i="10"/>
  <c r="A561" i="1" s="1"/>
  <c r="AQ9" i="10"/>
  <c r="A565" i="1" s="1"/>
  <c r="C14" i="10"/>
  <c r="Q43" i="10"/>
  <c r="Q47" i="10"/>
  <c r="S56" i="10"/>
  <c r="S87" i="10"/>
  <c r="S64" i="10"/>
  <c r="C7" i="10"/>
  <c r="AQ14" i="10"/>
  <c r="A570" i="1" s="1"/>
  <c r="S54" i="10"/>
  <c r="S65" i="10"/>
  <c r="S67" i="10"/>
  <c r="S89" i="10"/>
  <c r="C5" i="10"/>
  <c r="S46" i="10"/>
  <c r="S50" i="10"/>
  <c r="S78" i="10"/>
  <c r="S80" i="10"/>
  <c r="S91" i="10"/>
  <c r="S77" i="10"/>
  <c r="AQ12" i="10"/>
  <c r="A568" i="1" s="1"/>
  <c r="S42" i="10"/>
  <c r="S61" i="10"/>
  <c r="S63" i="10"/>
  <c r="S74" i="10"/>
  <c r="S76" i="10"/>
  <c r="S82" i="10"/>
  <c r="S84" i="10"/>
  <c r="S79" i="10"/>
  <c r="C10" i="10"/>
  <c r="AQ23" i="10"/>
  <c r="S72" i="10"/>
  <c r="X6" i="10"/>
  <c r="AQ20" i="10"/>
  <c r="S57" i="10"/>
  <c r="S59" i="10"/>
  <c r="S70" i="10"/>
  <c r="N48" i="8"/>
  <c r="N60" i="8"/>
  <c r="N84" i="8"/>
  <c r="C19" i="10"/>
  <c r="C22" i="10"/>
  <c r="C25" i="10"/>
  <c r="Q45" i="10"/>
  <c r="Q49" i="10"/>
  <c r="Q53" i="10"/>
  <c r="Q57" i="10"/>
  <c r="Q61" i="10"/>
  <c r="Q65" i="10"/>
  <c r="Q69" i="10"/>
  <c r="Q73" i="10"/>
  <c r="Q77" i="10"/>
  <c r="Q81" i="10"/>
  <c r="Q85" i="10"/>
  <c r="Q89" i="10"/>
  <c r="M91" i="7"/>
  <c r="M48" i="8"/>
  <c r="M84" i="8"/>
  <c r="M43" i="9"/>
  <c r="M50" i="9"/>
  <c r="S55" i="9"/>
  <c r="M62" i="9"/>
  <c r="M81" i="9"/>
  <c r="B2" i="10"/>
  <c r="U5" i="10" s="1"/>
  <c r="D53" i="3" s="1"/>
  <c r="U6" i="10"/>
  <c r="AQ19" i="10"/>
  <c r="AQ22" i="10"/>
  <c r="AQ25" i="10"/>
  <c r="C28" i="10"/>
  <c r="C29" i="10"/>
  <c r="P42" i="10"/>
  <c r="I44" i="10"/>
  <c r="S44" i="10" s="1"/>
  <c r="P46" i="10"/>
  <c r="I48" i="10"/>
  <c r="S48" i="10" s="1"/>
  <c r="P50" i="10"/>
  <c r="I52" i="10"/>
  <c r="S52" i="10" s="1"/>
  <c r="P54" i="10"/>
  <c r="P58" i="10"/>
  <c r="P62" i="10"/>
  <c r="P66" i="10"/>
  <c r="P70" i="10"/>
  <c r="P74" i="10"/>
  <c r="P78" i="10"/>
  <c r="P82" i="10"/>
  <c r="P86" i="10"/>
  <c r="P90" i="10"/>
  <c r="AQ16" i="10"/>
  <c r="C30" i="10"/>
  <c r="Q42" i="10"/>
  <c r="Q46" i="10"/>
  <c r="Q50" i="10"/>
  <c r="Q54" i="10"/>
  <c r="Q58" i="10"/>
  <c r="Q62" i="10"/>
  <c r="Q66" i="10"/>
  <c r="Q70" i="10"/>
  <c r="Q74" i="10"/>
  <c r="Q78" i="10"/>
  <c r="Q82" i="10"/>
  <c r="Q86" i="10"/>
  <c r="Q90" i="10"/>
  <c r="N56" i="8"/>
  <c r="W6" i="9"/>
  <c r="S58" i="9"/>
  <c r="M72" i="9"/>
  <c r="N77" i="9"/>
  <c r="M84" i="9"/>
  <c r="C18" i="10"/>
  <c r="C21" i="10"/>
  <c r="C24" i="10"/>
  <c r="C31" i="10"/>
  <c r="N43" i="10"/>
  <c r="N47" i="10"/>
  <c r="N51" i="10"/>
  <c r="N55" i="10"/>
  <c r="N59" i="10"/>
  <c r="N63" i="10"/>
  <c r="N67" i="10"/>
  <c r="N71" i="10"/>
  <c r="N75" i="10"/>
  <c r="N79" i="10"/>
  <c r="N83" i="10"/>
  <c r="N87" i="10"/>
  <c r="N50" i="6"/>
  <c r="N62" i="6"/>
  <c r="M91" i="6"/>
  <c r="M51" i="7"/>
  <c r="M63" i="7"/>
  <c r="N82" i="7"/>
  <c r="AQ5" i="9"/>
  <c r="A550" i="1" s="1"/>
  <c r="M58" i="9"/>
  <c r="M77" i="9"/>
  <c r="S82" i="9"/>
  <c r="AQ18" i="10"/>
  <c r="AQ21" i="10"/>
  <c r="C32" i="10"/>
  <c r="P43" i="10"/>
  <c r="P47" i="10"/>
  <c r="P51" i="10"/>
  <c r="P55" i="10"/>
  <c r="P59" i="10"/>
  <c r="P63" i="10"/>
  <c r="P67" i="10"/>
  <c r="P71" i="10"/>
  <c r="P75" i="10"/>
  <c r="P79" i="10"/>
  <c r="P83" i="10"/>
  <c r="S86" i="10"/>
  <c r="P87" i="10"/>
  <c r="P91" i="10"/>
  <c r="Q65" i="9"/>
  <c r="Q51" i="10"/>
  <c r="Q55" i="10"/>
  <c r="Q59" i="10"/>
  <c r="Q63" i="10"/>
  <c r="Q67" i="10"/>
  <c r="Q71" i="10"/>
  <c r="Q75" i="10"/>
  <c r="Q79" i="10"/>
  <c r="Q83" i="10"/>
  <c r="Q87" i="10"/>
  <c r="Q91" i="10"/>
  <c r="AQ11" i="8"/>
  <c r="A545" i="1" s="1"/>
  <c r="M90" i="8"/>
  <c r="B2" i="9"/>
  <c r="U5" i="9" s="1"/>
  <c r="D52" i="3" s="1"/>
  <c r="S42" i="9"/>
  <c r="N49" i="9"/>
  <c r="AQ7" i="10"/>
  <c r="A563" i="1" s="1"/>
  <c r="AQ10" i="10"/>
  <c r="A566" i="1" s="1"/>
  <c r="C34" i="10"/>
  <c r="AA6" i="5"/>
  <c r="N89" i="6"/>
  <c r="M66" i="7"/>
  <c r="M78" i="7"/>
  <c r="M90" i="7"/>
  <c r="AQ14" i="8"/>
  <c r="A548" i="1" s="1"/>
  <c r="N42" i="8"/>
  <c r="M47" i="8"/>
  <c r="AQ14" i="9"/>
  <c r="A559" i="1" s="1"/>
  <c r="M49" i="9"/>
  <c r="M68" i="9"/>
  <c r="N73" i="9"/>
  <c r="N75" i="9"/>
  <c r="M80" i="9"/>
  <c r="N85" i="9"/>
  <c r="N87" i="9"/>
  <c r="C17" i="10"/>
  <c r="C20" i="10"/>
  <c r="C23" i="10"/>
  <c r="C26" i="10"/>
  <c r="C35" i="10"/>
  <c r="P44" i="10"/>
  <c r="P48" i="10"/>
  <c r="P52" i="10"/>
  <c r="P56" i="10"/>
  <c r="P60" i="10"/>
  <c r="P64" i="10"/>
  <c r="P68" i="10"/>
  <c r="P72" i="10"/>
  <c r="P76" i="10"/>
  <c r="P80" i="10"/>
  <c r="P84" i="10"/>
  <c r="P88" i="10"/>
  <c r="C25" i="9"/>
  <c r="S47" i="9"/>
  <c r="M54" i="9"/>
  <c r="S66" i="9"/>
  <c r="M73" i="9"/>
  <c r="M85" i="9"/>
  <c r="C36" i="10"/>
  <c r="Q44" i="10"/>
  <c r="Q48" i="10"/>
  <c r="Q52" i="10"/>
  <c r="Q56" i="10"/>
  <c r="Q60" i="10"/>
  <c r="Q64" i="10"/>
  <c r="Q68" i="10"/>
  <c r="Q72" i="10"/>
  <c r="Q76" i="10"/>
  <c r="Q80" i="10"/>
  <c r="Q84" i="10"/>
  <c r="Q88" i="10"/>
  <c r="S71" i="9"/>
  <c r="C9" i="10"/>
  <c r="C12" i="10"/>
  <c r="C15" i="10"/>
  <c r="C37" i="10"/>
  <c r="M50" i="8"/>
  <c r="S55" i="8"/>
  <c r="M62" i="8"/>
  <c r="X6" i="9"/>
  <c r="M45" i="9"/>
  <c r="M52" i="9"/>
  <c r="M64" i="9"/>
  <c r="M71" i="9"/>
  <c r="N78" i="9"/>
  <c r="C6" i="10"/>
  <c r="P45" i="10"/>
  <c r="P49" i="10"/>
  <c r="P53" i="10"/>
  <c r="P57" i="10"/>
  <c r="P61" i="10"/>
  <c r="P65" i="10"/>
  <c r="P69" i="10"/>
  <c r="P73" i="10"/>
  <c r="P77" i="10"/>
  <c r="P81" i="10"/>
  <c r="P85" i="10"/>
  <c r="M61" i="9"/>
  <c r="N68" i="9"/>
  <c r="M75" i="9"/>
  <c r="M82" i="9"/>
  <c r="N59" i="9"/>
  <c r="N43" i="9"/>
  <c r="N48" i="9"/>
  <c r="N69" i="9"/>
  <c r="N71" i="9"/>
  <c r="M83" i="9"/>
  <c r="M48" i="9"/>
  <c r="M55" i="9"/>
  <c r="N60" i="9"/>
  <c r="M69" i="9"/>
  <c r="N81" i="9"/>
  <c r="M88" i="9"/>
  <c r="N62" i="9"/>
  <c r="M53" i="9"/>
  <c r="M86" i="9"/>
  <c r="M51" i="9"/>
  <c r="N56" i="9"/>
  <c r="N89" i="9"/>
  <c r="M56" i="9"/>
  <c r="N61" i="9"/>
  <c r="M63" i="9"/>
  <c r="M70" i="9"/>
  <c r="N84" i="9"/>
  <c r="M89" i="9"/>
  <c r="N74" i="9"/>
  <c r="N76" i="9"/>
  <c r="N67" i="9"/>
  <c r="N47" i="9"/>
  <c r="N63" i="9"/>
  <c r="N88" i="9"/>
  <c r="N90" i="9"/>
  <c r="N54" i="9"/>
  <c r="N79" i="9"/>
  <c r="N58" i="9"/>
  <c r="N83" i="9"/>
  <c r="N70" i="9"/>
  <c r="N86" i="9"/>
  <c r="N42" i="9"/>
  <c r="N51" i="9"/>
  <c r="I89" i="9"/>
  <c r="S89" i="9" s="1"/>
  <c r="N66" i="9"/>
  <c r="N82" i="9"/>
  <c r="N91" i="9"/>
  <c r="N55" i="9"/>
  <c r="N80" i="9"/>
  <c r="C22" i="9"/>
  <c r="Q61" i="9"/>
  <c r="Q85" i="9"/>
  <c r="Q57" i="9"/>
  <c r="Q81" i="9"/>
  <c r="S88" i="9"/>
  <c r="S90" i="9"/>
  <c r="U6" i="9"/>
  <c r="C28" i="9"/>
  <c r="S51" i="9"/>
  <c r="S62" i="9"/>
  <c r="S75" i="9"/>
  <c r="S86" i="9"/>
  <c r="C30" i="9"/>
  <c r="Q53" i="9"/>
  <c r="Q77" i="9"/>
  <c r="S84" i="9"/>
  <c r="Q49" i="9"/>
  <c r="Q73" i="9"/>
  <c r="S80" i="9"/>
  <c r="S43" i="9"/>
  <c r="S54" i="9"/>
  <c r="S67" i="9"/>
  <c r="S78" i="9"/>
  <c r="Z6" i="9"/>
  <c r="AQ8" i="9"/>
  <c r="A553" i="1" s="1"/>
  <c r="Q45" i="9"/>
  <c r="Q69" i="9"/>
  <c r="S76" i="9"/>
  <c r="S91" i="9"/>
  <c r="AQ11" i="9"/>
  <c r="A556" i="1" s="1"/>
  <c r="S50" i="9"/>
  <c r="S63" i="9"/>
  <c r="S74" i="9"/>
  <c r="S87" i="9"/>
  <c r="C19" i="9"/>
  <c r="S46" i="9"/>
  <c r="S59" i="9"/>
  <c r="S70" i="9"/>
  <c r="S83" i="9"/>
  <c r="Q89" i="9"/>
  <c r="AR1" i="9"/>
  <c r="AQ22" i="5"/>
  <c r="AQ24" i="5"/>
  <c r="AQ24" i="8"/>
  <c r="AQ25" i="8"/>
  <c r="AQ17" i="8"/>
  <c r="M80" i="6"/>
  <c r="U6" i="7"/>
  <c r="M44" i="7"/>
  <c r="M68" i="7"/>
  <c r="U6" i="8"/>
  <c r="M55" i="8"/>
  <c r="N69" i="8"/>
  <c r="M74" i="8"/>
  <c r="AB5" i="9"/>
  <c r="C8" i="9"/>
  <c r="C11" i="9"/>
  <c r="C14" i="9"/>
  <c r="C16" i="9"/>
  <c r="C29" i="9"/>
  <c r="P42" i="9"/>
  <c r="I44" i="9"/>
  <c r="P46" i="9"/>
  <c r="I48" i="9"/>
  <c r="S48" i="9" s="1"/>
  <c r="P50" i="9"/>
  <c r="I52" i="9"/>
  <c r="S52" i="9" s="1"/>
  <c r="P54" i="9"/>
  <c r="I56" i="9"/>
  <c r="S56" i="9" s="1"/>
  <c r="P58" i="9"/>
  <c r="I60" i="9"/>
  <c r="S60" i="9" s="1"/>
  <c r="P62" i="9"/>
  <c r="I64" i="9"/>
  <c r="S64" i="9" s="1"/>
  <c r="P66" i="9"/>
  <c r="I68" i="9"/>
  <c r="S68" i="9" s="1"/>
  <c r="P70" i="9"/>
  <c r="I72" i="9"/>
  <c r="S72" i="9" s="1"/>
  <c r="P74" i="9"/>
  <c r="P78" i="9"/>
  <c r="P82" i="9"/>
  <c r="P86" i="9"/>
  <c r="P90" i="9"/>
  <c r="AQ19" i="7"/>
  <c r="S53" i="8"/>
  <c r="AQ16" i="9"/>
  <c r="Q42" i="9"/>
  <c r="Q46" i="9"/>
  <c r="Q50" i="9"/>
  <c r="Q54" i="9"/>
  <c r="Q58" i="9"/>
  <c r="Q62" i="9"/>
  <c r="Q66" i="9"/>
  <c r="Q70" i="9"/>
  <c r="Q74" i="9"/>
  <c r="Q78" i="9"/>
  <c r="Q82" i="9"/>
  <c r="Q86" i="9"/>
  <c r="Q90" i="9"/>
  <c r="AQ23" i="7"/>
  <c r="Y6" i="9"/>
  <c r="C18" i="9"/>
  <c r="C21" i="9"/>
  <c r="C24" i="9"/>
  <c r="C31" i="9"/>
  <c r="M52" i="6"/>
  <c r="M71" i="6"/>
  <c r="AQ26" i="7"/>
  <c r="M59" i="7"/>
  <c r="M71" i="7"/>
  <c r="S51" i="8"/>
  <c r="M65" i="8"/>
  <c r="S70" i="8"/>
  <c r="M77" i="8"/>
  <c r="M89" i="8"/>
  <c r="AQ18" i="9"/>
  <c r="AQ21" i="9"/>
  <c r="AQ24" i="9"/>
  <c r="C32" i="9"/>
  <c r="P43" i="9"/>
  <c r="I45" i="9"/>
  <c r="S45" i="9" s="1"/>
  <c r="P47" i="9"/>
  <c r="I49" i="9"/>
  <c r="S49" i="9" s="1"/>
  <c r="P51" i="9"/>
  <c r="I53" i="9"/>
  <c r="S53" i="9" s="1"/>
  <c r="P55" i="9"/>
  <c r="I57" i="9"/>
  <c r="S57" i="9" s="1"/>
  <c r="P59" i="9"/>
  <c r="I61" i="9"/>
  <c r="S61" i="9" s="1"/>
  <c r="P63" i="9"/>
  <c r="I65" i="9"/>
  <c r="S65" i="9" s="1"/>
  <c r="P67" i="9"/>
  <c r="I69" i="9"/>
  <c r="S69" i="9" s="1"/>
  <c r="P71" i="9"/>
  <c r="I73" i="9"/>
  <c r="S73" i="9" s="1"/>
  <c r="P75" i="9"/>
  <c r="I77" i="9"/>
  <c r="S77" i="9" s="1"/>
  <c r="P79" i="9"/>
  <c r="I81" i="9"/>
  <c r="S81" i="9" s="1"/>
  <c r="P83" i="9"/>
  <c r="I85" i="9"/>
  <c r="S85" i="9" s="1"/>
  <c r="P87" i="9"/>
  <c r="P91" i="9"/>
  <c r="AQ19" i="9"/>
  <c r="AQ22" i="9"/>
  <c r="AQ25" i="9"/>
  <c r="N46" i="8"/>
  <c r="C5" i="9"/>
  <c r="C7" i="9"/>
  <c r="C10" i="9"/>
  <c r="C13" i="9"/>
  <c r="C33" i="9"/>
  <c r="Q43" i="9"/>
  <c r="Q47" i="9"/>
  <c r="Q51" i="9"/>
  <c r="Q55" i="9"/>
  <c r="Q59" i="9"/>
  <c r="Q63" i="9"/>
  <c r="Q67" i="9"/>
  <c r="Q71" i="9"/>
  <c r="Q75" i="9"/>
  <c r="Q79" i="9"/>
  <c r="Q83" i="9"/>
  <c r="Q87" i="9"/>
  <c r="Q91" i="9"/>
  <c r="S49" i="8"/>
  <c r="M56" i="8"/>
  <c r="N68" i="8"/>
  <c r="N70" i="8"/>
  <c r="AQ7" i="9"/>
  <c r="A552" i="1" s="1"/>
  <c r="AQ10" i="9"/>
  <c r="A555" i="1" s="1"/>
  <c r="AQ13" i="9"/>
  <c r="A558" i="1" s="1"/>
  <c r="C34" i="9"/>
  <c r="Q69" i="6"/>
  <c r="M50" i="7"/>
  <c r="M74" i="7"/>
  <c r="Z6" i="8"/>
  <c r="C28" i="8"/>
  <c r="M49" i="8"/>
  <c r="M61" i="8"/>
  <c r="M68" i="8"/>
  <c r="C17" i="9"/>
  <c r="C20" i="9"/>
  <c r="C23" i="9"/>
  <c r="C26" i="9"/>
  <c r="C35" i="9"/>
  <c r="P44" i="9"/>
  <c r="P48" i="9"/>
  <c r="P52" i="9"/>
  <c r="P56" i="9"/>
  <c r="P60" i="9"/>
  <c r="P64" i="9"/>
  <c r="P68" i="9"/>
  <c r="P72" i="9"/>
  <c r="P76" i="9"/>
  <c r="P80" i="9"/>
  <c r="P84" i="9"/>
  <c r="P88" i="9"/>
  <c r="S53" i="6"/>
  <c r="S47" i="8"/>
  <c r="S78" i="8"/>
  <c r="AQ17" i="9"/>
  <c r="AQ20" i="9"/>
  <c r="AQ23" i="9"/>
  <c r="C36" i="9"/>
  <c r="Q44" i="9"/>
  <c r="Q48" i="9"/>
  <c r="Q52" i="9"/>
  <c r="Q56" i="9"/>
  <c r="Q60" i="9"/>
  <c r="Q64" i="9"/>
  <c r="Q68" i="9"/>
  <c r="Q72" i="9"/>
  <c r="Q76" i="9"/>
  <c r="Q80" i="9"/>
  <c r="Q84" i="9"/>
  <c r="Q88" i="9"/>
  <c r="N77" i="7"/>
  <c r="S45" i="8"/>
  <c r="C9" i="9"/>
  <c r="C12" i="9"/>
  <c r="C15" i="9"/>
  <c r="C37" i="9"/>
  <c r="M77" i="6"/>
  <c r="M65" i="7"/>
  <c r="M77" i="7"/>
  <c r="M45" i="8"/>
  <c r="N64" i="8"/>
  <c r="M71" i="8"/>
  <c r="N76" i="8"/>
  <c r="N88" i="8"/>
  <c r="C6" i="9"/>
  <c r="AQ6" i="9"/>
  <c r="A551" i="1" s="1"/>
  <c r="AQ9" i="9"/>
  <c r="A554" i="1" s="1"/>
  <c r="AQ12" i="9"/>
  <c r="A557" i="1" s="1"/>
  <c r="P45" i="9"/>
  <c r="P49" i="9"/>
  <c r="P53" i="9"/>
  <c r="P57" i="9"/>
  <c r="P61" i="9"/>
  <c r="P65" i="9"/>
  <c r="P69" i="9"/>
  <c r="P73" i="9"/>
  <c r="P77" i="9"/>
  <c r="P81" i="9"/>
  <c r="P85" i="9"/>
  <c r="M58" i="8"/>
  <c r="M73" i="8"/>
  <c r="M87" i="8"/>
  <c r="M76" i="8"/>
  <c r="M83" i="8"/>
  <c r="I90" i="8"/>
  <c r="S90" i="8" s="1"/>
  <c r="N65" i="8"/>
  <c r="N52" i="8"/>
  <c r="M59" i="8"/>
  <c r="N86" i="8"/>
  <c r="M43" i="8"/>
  <c r="N45" i="8"/>
  <c r="M52" i="8"/>
  <c r="N72" i="8"/>
  <c r="M79" i="8"/>
  <c r="I86" i="8"/>
  <c r="S86" i="8" s="1"/>
  <c r="M57" i="8"/>
  <c r="M70" i="8"/>
  <c r="M72" i="8"/>
  <c r="M86" i="8"/>
  <c r="M64" i="8"/>
  <c r="I82" i="8"/>
  <c r="S82" i="8" s="1"/>
  <c r="N44" i="8"/>
  <c r="M60" i="8"/>
  <c r="N66" i="8"/>
  <c r="N80" i="8"/>
  <c r="M44" i="8"/>
  <c r="M53" i="8"/>
  <c r="N62" i="8"/>
  <c r="M80" i="8"/>
  <c r="N57" i="8"/>
  <c r="N53" i="8"/>
  <c r="N78" i="8"/>
  <c r="N49" i="8"/>
  <c r="N74" i="8"/>
  <c r="N58" i="8"/>
  <c r="N81" i="8"/>
  <c r="N85" i="8"/>
  <c r="N89" i="8"/>
  <c r="N54" i="8"/>
  <c r="N77" i="8"/>
  <c r="N87" i="8"/>
  <c r="N91" i="8"/>
  <c r="N50" i="8"/>
  <c r="N73" i="8"/>
  <c r="S57" i="8"/>
  <c r="S59" i="8"/>
  <c r="AQ16" i="8"/>
  <c r="S43" i="8"/>
  <c r="S66" i="8"/>
  <c r="AE5" i="8"/>
  <c r="S62" i="8"/>
  <c r="AQ19" i="8"/>
  <c r="S58" i="8"/>
  <c r="S81" i="8"/>
  <c r="S85" i="8"/>
  <c r="S89" i="8"/>
  <c r="AQ5" i="8"/>
  <c r="A539" i="1" s="1"/>
  <c r="AQ20" i="8"/>
  <c r="S54" i="8"/>
  <c r="S77" i="8"/>
  <c r="S79" i="8"/>
  <c r="S83" i="8"/>
  <c r="S87" i="8"/>
  <c r="S91" i="8"/>
  <c r="B2" i="8"/>
  <c r="U5" i="8" s="1"/>
  <c r="D51" i="3" s="1"/>
  <c r="AQ22" i="8"/>
  <c r="S50" i="8"/>
  <c r="S73" i="8"/>
  <c r="S75" i="8"/>
  <c r="AQ23" i="8"/>
  <c r="S46" i="8"/>
  <c r="S69" i="8"/>
  <c r="S71" i="8"/>
  <c r="S42" i="8"/>
  <c r="S65" i="8"/>
  <c r="S67" i="8"/>
  <c r="AQ26" i="8"/>
  <c r="S61" i="8"/>
  <c r="S63" i="8"/>
  <c r="AR1" i="8"/>
  <c r="M74" i="6"/>
  <c r="M45" i="7"/>
  <c r="M81" i="7"/>
  <c r="M88" i="7"/>
  <c r="C19" i="8"/>
  <c r="C22" i="8"/>
  <c r="C25" i="8"/>
  <c r="Q45" i="8"/>
  <c r="Q49" i="8"/>
  <c r="Q53" i="8"/>
  <c r="Q57" i="8"/>
  <c r="Q61" i="8"/>
  <c r="Q65" i="8"/>
  <c r="Q69" i="8"/>
  <c r="Q73" i="8"/>
  <c r="Q77" i="8"/>
  <c r="Q81" i="8"/>
  <c r="Q85" i="8"/>
  <c r="Q89" i="8"/>
  <c r="M51" i="5"/>
  <c r="AQ16" i="5"/>
  <c r="S46" i="6"/>
  <c r="M65" i="6"/>
  <c r="M84" i="6"/>
  <c r="M55" i="7"/>
  <c r="M67" i="7"/>
  <c r="M79" i="7"/>
  <c r="M86" i="7"/>
  <c r="AB5" i="8"/>
  <c r="C8" i="8"/>
  <c r="C11" i="8"/>
  <c r="C14" i="8"/>
  <c r="C16" i="8"/>
  <c r="C29" i="8"/>
  <c r="P42" i="8"/>
  <c r="I44" i="8"/>
  <c r="P46" i="8"/>
  <c r="I48" i="8"/>
  <c r="S48" i="8" s="1"/>
  <c r="P50" i="8"/>
  <c r="I52" i="8"/>
  <c r="S52" i="8" s="1"/>
  <c r="P54" i="8"/>
  <c r="I56" i="8"/>
  <c r="S56" i="8" s="1"/>
  <c r="P58" i="8"/>
  <c r="I60" i="8"/>
  <c r="S60" i="8" s="1"/>
  <c r="P62" i="8"/>
  <c r="I64" i="8"/>
  <c r="S64" i="8" s="1"/>
  <c r="P66" i="8"/>
  <c r="I68" i="8"/>
  <c r="S68" i="8" s="1"/>
  <c r="P70" i="8"/>
  <c r="I72" i="8"/>
  <c r="S72" i="8" s="1"/>
  <c r="P74" i="8"/>
  <c r="I76" i="8"/>
  <c r="S76" i="8" s="1"/>
  <c r="P78" i="8"/>
  <c r="I80" i="8"/>
  <c r="S80" i="8" s="1"/>
  <c r="P82" i="8"/>
  <c r="I84" i="8"/>
  <c r="S84" i="8" s="1"/>
  <c r="P86" i="8"/>
  <c r="I88" i="8"/>
  <c r="S88" i="8" s="1"/>
  <c r="P90" i="8"/>
  <c r="N65" i="6"/>
  <c r="X6" i="8"/>
  <c r="C30" i="8"/>
  <c r="Q42" i="8"/>
  <c r="Q46" i="8"/>
  <c r="Q50" i="8"/>
  <c r="Q54" i="8"/>
  <c r="Q58" i="8"/>
  <c r="Q62" i="8"/>
  <c r="Q66" i="8"/>
  <c r="Q70" i="8"/>
  <c r="Q74" i="8"/>
  <c r="Q78" i="8"/>
  <c r="Q82" i="8"/>
  <c r="Q86" i="8"/>
  <c r="Q90" i="8"/>
  <c r="AQ21" i="5"/>
  <c r="N58" i="6"/>
  <c r="Y6" i="8"/>
  <c r="C18" i="8"/>
  <c r="C21" i="8"/>
  <c r="C24" i="8"/>
  <c r="C31" i="8"/>
  <c r="N43" i="8"/>
  <c r="N47" i="8"/>
  <c r="N51" i="8"/>
  <c r="N55" i="8"/>
  <c r="N59" i="8"/>
  <c r="N63" i="8"/>
  <c r="N67" i="8"/>
  <c r="N71" i="8"/>
  <c r="N75" i="8"/>
  <c r="N79" i="8"/>
  <c r="N83" i="8"/>
  <c r="AQ20" i="5"/>
  <c r="M68" i="6"/>
  <c r="M75" i="6"/>
  <c r="N80" i="6"/>
  <c r="N82" i="6"/>
  <c r="M70" i="7"/>
  <c r="M89" i="7"/>
  <c r="AQ18" i="8"/>
  <c r="AQ21" i="8"/>
  <c r="C32" i="8"/>
  <c r="P43" i="8"/>
  <c r="P47" i="8"/>
  <c r="P51" i="8"/>
  <c r="P55" i="8"/>
  <c r="P59" i="8"/>
  <c r="P63" i="8"/>
  <c r="P67" i="8"/>
  <c r="P71" i="8"/>
  <c r="P75" i="8"/>
  <c r="P79" i="8"/>
  <c r="P83" i="8"/>
  <c r="P87" i="8"/>
  <c r="P91" i="8"/>
  <c r="AQ18" i="5"/>
  <c r="C5" i="8"/>
  <c r="C7" i="8"/>
  <c r="C10" i="8"/>
  <c r="C13" i="8"/>
  <c r="C33" i="8"/>
  <c r="Q43" i="8"/>
  <c r="Q47" i="8"/>
  <c r="Q51" i="8"/>
  <c r="Q55" i="8"/>
  <c r="Q59" i="8"/>
  <c r="Q63" i="8"/>
  <c r="Q67" i="8"/>
  <c r="Q71" i="8"/>
  <c r="Q75" i="8"/>
  <c r="Q79" i="8"/>
  <c r="Q83" i="8"/>
  <c r="Q87" i="8"/>
  <c r="Q91" i="8"/>
  <c r="N49" i="6"/>
  <c r="M54" i="6"/>
  <c r="N49" i="7"/>
  <c r="AQ7" i="8"/>
  <c r="A541" i="1" s="1"/>
  <c r="AQ10" i="8"/>
  <c r="A544" i="1" s="1"/>
  <c r="AQ13" i="8"/>
  <c r="A547" i="1" s="1"/>
  <c r="C34" i="8"/>
  <c r="M47" i="6"/>
  <c r="M59" i="6"/>
  <c r="S71" i="6"/>
  <c r="N73" i="6"/>
  <c r="M78" i="6"/>
  <c r="AQ20" i="7"/>
  <c r="M73" i="7"/>
  <c r="N78" i="7"/>
  <c r="C17" i="8"/>
  <c r="C20" i="8"/>
  <c r="C23" i="8"/>
  <c r="C26" i="8"/>
  <c r="C35" i="8"/>
  <c r="P44" i="8"/>
  <c r="P48" i="8"/>
  <c r="P52" i="8"/>
  <c r="P56" i="8"/>
  <c r="P60" i="8"/>
  <c r="P64" i="8"/>
  <c r="P68" i="8"/>
  <c r="P72" i="8"/>
  <c r="P76" i="8"/>
  <c r="P80" i="8"/>
  <c r="P84" i="8"/>
  <c r="P88" i="8"/>
  <c r="C36" i="8"/>
  <c r="Q44" i="8"/>
  <c r="Q48" i="8"/>
  <c r="Q52" i="8"/>
  <c r="Q56" i="8"/>
  <c r="Q60" i="8"/>
  <c r="Q64" i="8"/>
  <c r="Q68" i="8"/>
  <c r="Q72" i="8"/>
  <c r="Q76" i="8"/>
  <c r="Q80" i="8"/>
  <c r="Q84" i="8"/>
  <c r="Q88" i="8"/>
  <c r="N52" i="7"/>
  <c r="N64" i="7"/>
  <c r="N76" i="7"/>
  <c r="C9" i="8"/>
  <c r="C12" i="8"/>
  <c r="C15" i="8"/>
  <c r="C37" i="8"/>
  <c r="N55" i="5"/>
  <c r="M52" i="7"/>
  <c r="N57" i="7"/>
  <c r="M64" i="7"/>
  <c r="N69" i="7"/>
  <c r="M83" i="7"/>
  <c r="N88" i="7"/>
  <c r="N90" i="7"/>
  <c r="C6" i="8"/>
  <c r="AQ6" i="8"/>
  <c r="A540" i="1" s="1"/>
  <c r="AQ9" i="8"/>
  <c r="A543" i="1" s="1"/>
  <c r="AQ12" i="8"/>
  <c r="A546" i="1" s="1"/>
  <c r="P45" i="8"/>
  <c r="P49" i="8"/>
  <c r="P53" i="8"/>
  <c r="P57" i="8"/>
  <c r="P61" i="8"/>
  <c r="P65" i="8"/>
  <c r="P69" i="8"/>
  <c r="P73" i="8"/>
  <c r="P77" i="8"/>
  <c r="P81" i="8"/>
  <c r="P85" i="8"/>
  <c r="AQ11" i="7"/>
  <c r="A534" i="1" s="1"/>
  <c r="S87" i="7"/>
  <c r="S85" i="7"/>
  <c r="S71" i="7"/>
  <c r="S83" i="7"/>
  <c r="S67" i="7"/>
  <c r="S79" i="7"/>
  <c r="AQ5" i="7"/>
  <c r="A528" i="1" s="1"/>
  <c r="S91" i="7"/>
  <c r="S58" i="7"/>
  <c r="S89" i="7"/>
  <c r="AQ8" i="7"/>
  <c r="A531" i="1" s="1"/>
  <c r="S63" i="7"/>
  <c r="S75" i="7"/>
  <c r="N51" i="7"/>
  <c r="N54" i="7"/>
  <c r="N50" i="7"/>
  <c r="N74" i="7"/>
  <c r="N70" i="7"/>
  <c r="N45" i="7"/>
  <c r="M54" i="7"/>
  <c r="M61" i="7"/>
  <c r="N66" i="7"/>
  <c r="N73" i="7"/>
  <c r="M75" i="7"/>
  <c r="N80" i="7"/>
  <c r="N48" i="7"/>
  <c r="N43" i="7"/>
  <c r="M48" i="7"/>
  <c r="M57" i="7"/>
  <c r="M69" i="7"/>
  <c r="N53" i="7"/>
  <c r="N60" i="7"/>
  <c r="N44" i="7"/>
  <c r="N46" i="7"/>
  <c r="N55" i="7"/>
  <c r="N65" i="7"/>
  <c r="N86" i="7"/>
  <c r="M47" i="7"/>
  <c r="M82" i="7"/>
  <c r="M56" i="7"/>
  <c r="N61" i="7"/>
  <c r="M72" i="7"/>
  <c r="N81" i="7"/>
  <c r="M46" i="7"/>
  <c r="I66" i="7"/>
  <c r="S66" i="7" s="1"/>
  <c r="I86" i="7"/>
  <c r="S86" i="7" s="1"/>
  <c r="N84" i="7"/>
  <c r="M53" i="7"/>
  <c r="M62" i="7"/>
  <c r="M84" i="7"/>
  <c r="M49" i="7"/>
  <c r="M60" i="7"/>
  <c r="I78" i="7"/>
  <c r="S78" i="7" s="1"/>
  <c r="M80" i="7"/>
  <c r="M43" i="7"/>
  <c r="M58" i="7"/>
  <c r="M76" i="7"/>
  <c r="N47" i="7"/>
  <c r="N56" i="7"/>
  <c r="N72" i="7"/>
  <c r="M85" i="7"/>
  <c r="M87" i="7"/>
  <c r="N62" i="7"/>
  <c r="N58" i="7"/>
  <c r="N42" i="7"/>
  <c r="N85" i="7"/>
  <c r="N89" i="7"/>
  <c r="N63" i="7"/>
  <c r="N67" i="7"/>
  <c r="N71" i="7"/>
  <c r="N75" i="7"/>
  <c r="N79" i="7"/>
  <c r="N83" i="7"/>
  <c r="N87" i="7"/>
  <c r="N91" i="7"/>
  <c r="N59" i="7"/>
  <c r="AE5" i="7"/>
  <c r="AE6" i="7" s="1"/>
  <c r="AQ17" i="7"/>
  <c r="S62" i="7"/>
  <c r="S70" i="7"/>
  <c r="S74" i="7"/>
  <c r="S82" i="7"/>
  <c r="S90" i="7"/>
  <c r="S54" i="7"/>
  <c r="B2" i="7"/>
  <c r="U5" i="7" s="1"/>
  <c r="AQ22" i="7"/>
  <c r="S50" i="7"/>
  <c r="S46" i="7"/>
  <c r="AQ25" i="7"/>
  <c r="S42" i="7"/>
  <c r="S59" i="7"/>
  <c r="C28" i="7"/>
  <c r="S55" i="7"/>
  <c r="Z6" i="7"/>
  <c r="S51" i="7"/>
  <c r="AQ14" i="7"/>
  <c r="A537" i="1" s="1"/>
  <c r="S47" i="7"/>
  <c r="AQ16" i="7"/>
  <c r="S43" i="7"/>
  <c r="AR1" i="7"/>
  <c r="M48" i="6"/>
  <c r="M62" i="6"/>
  <c r="M81" i="6"/>
  <c r="M88" i="6"/>
  <c r="C19" i="7"/>
  <c r="C22" i="7"/>
  <c r="C25" i="7"/>
  <c r="Q45" i="7"/>
  <c r="Q49" i="7"/>
  <c r="Q53" i="7"/>
  <c r="Q57" i="7"/>
  <c r="Q61" i="7"/>
  <c r="Q65" i="7"/>
  <c r="Q69" i="7"/>
  <c r="Q73" i="7"/>
  <c r="Q77" i="7"/>
  <c r="Q81" i="7"/>
  <c r="Q85" i="7"/>
  <c r="Q89" i="7"/>
  <c r="M50" i="5"/>
  <c r="M53" i="6"/>
  <c r="S58" i="6"/>
  <c r="M60" i="6"/>
  <c r="S65" i="6"/>
  <c r="M79" i="6"/>
  <c r="Q81" i="6"/>
  <c r="M86" i="6"/>
  <c r="AB5" i="7"/>
  <c r="AB1" i="7" s="1"/>
  <c r="C8" i="7"/>
  <c r="C11" i="7"/>
  <c r="C14" i="7"/>
  <c r="C16" i="7"/>
  <c r="C29" i="7"/>
  <c r="P42" i="7"/>
  <c r="I44" i="7"/>
  <c r="P46" i="7"/>
  <c r="I48" i="7"/>
  <c r="S48" i="7" s="1"/>
  <c r="P50" i="7"/>
  <c r="I52" i="7"/>
  <c r="S52" i="7" s="1"/>
  <c r="P54" i="7"/>
  <c r="I56" i="7"/>
  <c r="S56" i="7" s="1"/>
  <c r="P58" i="7"/>
  <c r="I60" i="7"/>
  <c r="S60" i="7" s="1"/>
  <c r="P62" i="7"/>
  <c r="I64" i="7"/>
  <c r="S64" i="7" s="1"/>
  <c r="P66" i="7"/>
  <c r="I68" i="7"/>
  <c r="S68" i="7" s="1"/>
  <c r="P70" i="7"/>
  <c r="I72" i="7"/>
  <c r="S72" i="7" s="1"/>
  <c r="P74" i="7"/>
  <c r="I76" i="7"/>
  <c r="S76" i="7" s="1"/>
  <c r="P78" i="7"/>
  <c r="I80" i="7"/>
  <c r="S80" i="7" s="1"/>
  <c r="P82" i="7"/>
  <c r="I84" i="7"/>
  <c r="S84" i="7" s="1"/>
  <c r="P86" i="7"/>
  <c r="I88" i="7"/>
  <c r="S88" i="7" s="1"/>
  <c r="P90" i="7"/>
  <c r="S77" i="6"/>
  <c r="X6" i="7"/>
  <c r="C30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W6" i="6"/>
  <c r="Y6" i="7"/>
  <c r="C18" i="7"/>
  <c r="C21" i="7"/>
  <c r="C24" i="7"/>
  <c r="C31" i="7"/>
  <c r="M53" i="5"/>
  <c r="M65" i="5"/>
  <c r="M77" i="5"/>
  <c r="U6" i="6"/>
  <c r="AQ14" i="6"/>
  <c r="A526" i="1" s="1"/>
  <c r="M42" i="6"/>
  <c r="M56" i="6"/>
  <c r="N68" i="6"/>
  <c r="M70" i="6"/>
  <c r="S82" i="6"/>
  <c r="M89" i="6"/>
  <c r="AQ18" i="7"/>
  <c r="AQ21" i="7"/>
  <c r="C32" i="7"/>
  <c r="P43" i="7"/>
  <c r="I45" i="7"/>
  <c r="S45" i="7" s="1"/>
  <c r="P47" i="7"/>
  <c r="I49" i="7"/>
  <c r="S49" i="7" s="1"/>
  <c r="P51" i="7"/>
  <c r="I53" i="7"/>
  <c r="S53" i="7" s="1"/>
  <c r="P55" i="7"/>
  <c r="I57" i="7"/>
  <c r="S57" i="7" s="1"/>
  <c r="P59" i="7"/>
  <c r="I61" i="7"/>
  <c r="S61" i="7" s="1"/>
  <c r="P63" i="7"/>
  <c r="I65" i="7"/>
  <c r="S65" i="7" s="1"/>
  <c r="P67" i="7"/>
  <c r="I69" i="7"/>
  <c r="S69" i="7" s="1"/>
  <c r="P71" i="7"/>
  <c r="I73" i="7"/>
  <c r="S73" i="7" s="1"/>
  <c r="P75" i="7"/>
  <c r="I77" i="7"/>
  <c r="S77" i="7" s="1"/>
  <c r="P79" i="7"/>
  <c r="I81" i="7"/>
  <c r="S81" i="7" s="1"/>
  <c r="P83" i="7"/>
  <c r="P87" i="7"/>
  <c r="P91" i="7"/>
  <c r="C25" i="6"/>
  <c r="C5" i="7"/>
  <c r="C7" i="7"/>
  <c r="C10" i="7"/>
  <c r="C13" i="7"/>
  <c r="C33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AQ14" i="5"/>
  <c r="AQ7" i="7"/>
  <c r="A530" i="1" s="1"/>
  <c r="AQ10" i="7"/>
  <c r="A533" i="1" s="1"/>
  <c r="AQ13" i="7"/>
  <c r="A536" i="1" s="1"/>
  <c r="C34" i="7"/>
  <c r="N87" i="5"/>
  <c r="AQ11" i="5"/>
  <c r="M45" i="6"/>
  <c r="N52" i="6"/>
  <c r="S59" i="6"/>
  <c r="N61" i="6"/>
  <c r="M66" i="6"/>
  <c r="C17" i="7"/>
  <c r="C20" i="7"/>
  <c r="C23" i="7"/>
  <c r="C26" i="7"/>
  <c r="C35" i="7"/>
  <c r="P44" i="7"/>
  <c r="P48" i="7"/>
  <c r="P52" i="7"/>
  <c r="P56" i="7"/>
  <c r="P60" i="7"/>
  <c r="P64" i="7"/>
  <c r="P68" i="7"/>
  <c r="P72" i="7"/>
  <c r="P76" i="7"/>
  <c r="P80" i="7"/>
  <c r="P84" i="7"/>
  <c r="P88" i="7"/>
  <c r="C36" i="7"/>
  <c r="Q44" i="7"/>
  <c r="Q48" i="7"/>
  <c r="Q52" i="7"/>
  <c r="Q56" i="7"/>
  <c r="Q60" i="7"/>
  <c r="Q64" i="7"/>
  <c r="Q68" i="7"/>
  <c r="Q72" i="7"/>
  <c r="Q76" i="7"/>
  <c r="Q80" i="7"/>
  <c r="Q84" i="7"/>
  <c r="Q88" i="7"/>
  <c r="Q45" i="6"/>
  <c r="S83" i="6"/>
  <c r="C9" i="7"/>
  <c r="C12" i="7"/>
  <c r="C15" i="7"/>
  <c r="C37" i="7"/>
  <c r="N78" i="5"/>
  <c r="AQ23" i="5"/>
  <c r="Z6" i="6"/>
  <c r="M69" i="6"/>
  <c r="M83" i="6"/>
  <c r="N88" i="6"/>
  <c r="N90" i="6"/>
  <c r="C6" i="7"/>
  <c r="AQ6" i="7"/>
  <c r="A529" i="1" s="1"/>
  <c r="AQ9" i="7"/>
  <c r="A532" i="1" s="1"/>
  <c r="AQ12" i="7"/>
  <c r="A535" i="1" s="1"/>
  <c r="P45" i="7"/>
  <c r="P49" i="7"/>
  <c r="P53" i="7"/>
  <c r="P57" i="7"/>
  <c r="P61" i="7"/>
  <c r="P65" i="7"/>
  <c r="P69" i="7"/>
  <c r="P73" i="7"/>
  <c r="P77" i="7"/>
  <c r="P81" i="7"/>
  <c r="P85" i="7"/>
  <c r="N56" i="6"/>
  <c r="M67" i="6"/>
  <c r="N69" i="6"/>
  <c r="M76" i="6"/>
  <c r="N78" i="6"/>
  <c r="M85" i="6"/>
  <c r="N72" i="6"/>
  <c r="M43" i="6"/>
  <c r="N45" i="6"/>
  <c r="M61" i="6"/>
  <c r="M63" i="6"/>
  <c r="M72" i="6"/>
  <c r="M90" i="6"/>
  <c r="N54" i="6"/>
  <c r="N48" i="6"/>
  <c r="M50" i="6"/>
  <c r="N44" i="6"/>
  <c r="N64" i="6"/>
  <c r="N86" i="6"/>
  <c r="M44" i="6"/>
  <c r="M46" i="6"/>
  <c r="M55" i="6"/>
  <c r="M64" i="6"/>
  <c r="M73" i="6"/>
  <c r="M82" i="6"/>
  <c r="N91" i="6"/>
  <c r="M49" i="6"/>
  <c r="M51" i="6"/>
  <c r="M58" i="6"/>
  <c r="N76" i="6"/>
  <c r="M87" i="6"/>
  <c r="N74" i="6"/>
  <c r="N87" i="6"/>
  <c r="N46" i="6"/>
  <c r="N57" i="6"/>
  <c r="N85" i="6"/>
  <c r="N42" i="6"/>
  <c r="N70" i="6"/>
  <c r="N81" i="6"/>
  <c r="N53" i="6"/>
  <c r="N66" i="6"/>
  <c r="N77" i="6"/>
  <c r="AQ11" i="6"/>
  <c r="A523" i="1" s="1"/>
  <c r="S50" i="6"/>
  <c r="S69" i="6"/>
  <c r="S75" i="6"/>
  <c r="Q85" i="6"/>
  <c r="C19" i="6"/>
  <c r="S42" i="6"/>
  <c r="S61" i="6"/>
  <c r="S67" i="6"/>
  <c r="Q77" i="6"/>
  <c r="S90" i="6"/>
  <c r="AE5" i="6"/>
  <c r="C22" i="6"/>
  <c r="S57" i="6"/>
  <c r="S63" i="6"/>
  <c r="Q73" i="6"/>
  <c r="S86" i="6"/>
  <c r="AQ5" i="6"/>
  <c r="A517" i="1" s="1"/>
  <c r="S49" i="6"/>
  <c r="S55" i="6"/>
  <c r="Q65" i="6"/>
  <c r="S78" i="6"/>
  <c r="S45" i="6"/>
  <c r="S51" i="6"/>
  <c r="Q61" i="6"/>
  <c r="S74" i="6"/>
  <c r="S47" i="6"/>
  <c r="Q57" i="6"/>
  <c r="S70" i="6"/>
  <c r="S89" i="6"/>
  <c r="S43" i="6"/>
  <c r="Q53" i="6"/>
  <c r="S66" i="6"/>
  <c r="S85" i="6"/>
  <c r="S91" i="6"/>
  <c r="Q49" i="6"/>
  <c r="S62" i="6"/>
  <c r="S81" i="6"/>
  <c r="S87" i="6"/>
  <c r="AQ8" i="6"/>
  <c r="A520" i="1" s="1"/>
  <c r="S54" i="6"/>
  <c r="S73" i="6"/>
  <c r="S79" i="6"/>
  <c r="Q89" i="6"/>
  <c r="AR1" i="6"/>
  <c r="AQ10" i="5"/>
  <c r="B2" i="6"/>
  <c r="U5" i="6" s="1"/>
  <c r="D49" i="3" s="1"/>
  <c r="AQ19" i="6"/>
  <c r="AQ22" i="6"/>
  <c r="AQ25" i="6"/>
  <c r="C28" i="6"/>
  <c r="AQ9" i="5"/>
  <c r="AQ19" i="5"/>
  <c r="AB5" i="6"/>
  <c r="C8" i="6"/>
  <c r="C11" i="6"/>
  <c r="C14" i="6"/>
  <c r="C16" i="6"/>
  <c r="C29" i="6"/>
  <c r="P42" i="6"/>
  <c r="I44" i="6"/>
  <c r="P46" i="6"/>
  <c r="I48" i="6"/>
  <c r="S48" i="6" s="1"/>
  <c r="P50" i="6"/>
  <c r="I52" i="6"/>
  <c r="S52" i="6" s="1"/>
  <c r="P54" i="6"/>
  <c r="I56" i="6"/>
  <c r="S56" i="6" s="1"/>
  <c r="P58" i="6"/>
  <c r="I60" i="6"/>
  <c r="S60" i="6" s="1"/>
  <c r="P62" i="6"/>
  <c r="I64" i="6"/>
  <c r="S64" i="6" s="1"/>
  <c r="P66" i="6"/>
  <c r="I68" i="6"/>
  <c r="S68" i="6" s="1"/>
  <c r="P70" i="6"/>
  <c r="I72" i="6"/>
  <c r="S72" i="6" s="1"/>
  <c r="P74" i="6"/>
  <c r="I76" i="6"/>
  <c r="S76" i="6" s="1"/>
  <c r="P78" i="6"/>
  <c r="I80" i="6"/>
  <c r="S80" i="6" s="1"/>
  <c r="P82" i="6"/>
  <c r="I84" i="6"/>
  <c r="S84" i="6" s="1"/>
  <c r="P86" i="6"/>
  <c r="I88" i="6"/>
  <c r="S88" i="6" s="1"/>
  <c r="P90" i="6"/>
  <c r="AQ8" i="5"/>
  <c r="X6" i="6"/>
  <c r="AQ16" i="6"/>
  <c r="C30" i="6"/>
  <c r="Q42" i="6"/>
  <c r="Q46" i="6"/>
  <c r="Q50" i="6"/>
  <c r="Q54" i="6"/>
  <c r="Q58" i="6"/>
  <c r="Q62" i="6"/>
  <c r="Q66" i="6"/>
  <c r="Q70" i="6"/>
  <c r="Q74" i="6"/>
  <c r="Q78" i="6"/>
  <c r="Q82" i="6"/>
  <c r="Q86" i="6"/>
  <c r="Q90" i="6"/>
  <c r="AQ7" i="5"/>
  <c r="AQ17" i="5"/>
  <c r="Y6" i="6"/>
  <c r="C18" i="6"/>
  <c r="C21" i="6"/>
  <c r="C24" i="6"/>
  <c r="C31" i="6"/>
  <c r="N43" i="6"/>
  <c r="N47" i="6"/>
  <c r="N51" i="6"/>
  <c r="N55" i="6"/>
  <c r="N59" i="6"/>
  <c r="N63" i="6"/>
  <c r="N67" i="6"/>
  <c r="N71" i="6"/>
  <c r="N75" i="6"/>
  <c r="N79" i="6"/>
  <c r="N83" i="6"/>
  <c r="M82" i="5"/>
  <c r="AQ6" i="5"/>
  <c r="AQ18" i="6"/>
  <c r="AQ21" i="6"/>
  <c r="AQ24" i="6"/>
  <c r="C32" i="6"/>
  <c r="P43" i="6"/>
  <c r="P47" i="6"/>
  <c r="P51" i="6"/>
  <c r="P55" i="6"/>
  <c r="P59" i="6"/>
  <c r="P63" i="6"/>
  <c r="P67" i="6"/>
  <c r="P71" i="6"/>
  <c r="P75" i="6"/>
  <c r="P79" i="6"/>
  <c r="P83" i="6"/>
  <c r="P87" i="6"/>
  <c r="P91" i="6"/>
  <c r="C7" i="6"/>
  <c r="C10" i="6"/>
  <c r="C13" i="6"/>
  <c r="C33" i="6"/>
  <c r="Q43" i="6"/>
  <c r="Q47" i="6"/>
  <c r="Q51" i="6"/>
  <c r="Q55" i="6"/>
  <c r="Q59" i="6"/>
  <c r="Q63" i="6"/>
  <c r="Q67" i="6"/>
  <c r="Q71" i="6"/>
  <c r="Q75" i="6"/>
  <c r="Q79" i="6"/>
  <c r="Q83" i="6"/>
  <c r="Q87" i="6"/>
  <c r="Q91" i="6"/>
  <c r="C5" i="6"/>
  <c r="AQ5" i="5"/>
  <c r="AQ26" i="5"/>
  <c r="AQ7" i="6"/>
  <c r="A519" i="1" s="1"/>
  <c r="AQ10" i="6"/>
  <c r="A522" i="1" s="1"/>
  <c r="AQ13" i="6"/>
  <c r="A525" i="1" s="1"/>
  <c r="C34" i="6"/>
  <c r="AQ15" i="5"/>
  <c r="AQ25" i="5"/>
  <c r="C17" i="6"/>
  <c r="C20" i="6"/>
  <c r="C23" i="6"/>
  <c r="C26" i="6"/>
  <c r="C35" i="6"/>
  <c r="P44" i="6"/>
  <c r="P48" i="6"/>
  <c r="P52" i="6"/>
  <c r="P56" i="6"/>
  <c r="P60" i="6"/>
  <c r="P64" i="6"/>
  <c r="P68" i="6"/>
  <c r="P72" i="6"/>
  <c r="P76" i="6"/>
  <c r="P80" i="6"/>
  <c r="P84" i="6"/>
  <c r="P88" i="6"/>
  <c r="AQ17" i="6"/>
  <c r="AQ20" i="6"/>
  <c r="AQ23" i="6"/>
  <c r="C36" i="6"/>
  <c r="Q44" i="6"/>
  <c r="Q48" i="6"/>
  <c r="Q52" i="6"/>
  <c r="Q56" i="6"/>
  <c r="Q60" i="6"/>
  <c r="Q64" i="6"/>
  <c r="Q68" i="6"/>
  <c r="Q72" i="6"/>
  <c r="Q76" i="6"/>
  <c r="Q80" i="6"/>
  <c r="Q84" i="6"/>
  <c r="Q88" i="6"/>
  <c r="AQ13" i="5"/>
  <c r="C9" i="6"/>
  <c r="C12" i="6"/>
  <c r="C15" i="6"/>
  <c r="C37" i="6"/>
  <c r="N47" i="5"/>
  <c r="N59" i="5"/>
  <c r="C6" i="6"/>
  <c r="AQ6" i="6"/>
  <c r="A518" i="1" s="1"/>
  <c r="AQ9" i="6"/>
  <c r="A521" i="1" s="1"/>
  <c r="AQ12" i="6"/>
  <c r="A524" i="1" s="1"/>
  <c r="P45" i="6"/>
  <c r="P49" i="6"/>
  <c r="P53" i="6"/>
  <c r="P57" i="6"/>
  <c r="P61" i="6"/>
  <c r="P65" i="6"/>
  <c r="P69" i="6"/>
  <c r="P73" i="6"/>
  <c r="P77" i="6"/>
  <c r="P81" i="6"/>
  <c r="P85" i="6"/>
  <c r="B2" i="5"/>
  <c r="U5" i="5" s="1"/>
  <c r="X6" i="5"/>
  <c r="Y6" i="5"/>
  <c r="Z6" i="5"/>
  <c r="AE5" i="5"/>
  <c r="AE6" i="5" s="1"/>
  <c r="Q38" i="4"/>
  <c r="Q44" i="4"/>
  <c r="Q50" i="4"/>
  <c r="Q63" i="4"/>
  <c r="Q69" i="4"/>
  <c r="Q81" i="4"/>
  <c r="Q93" i="4"/>
  <c r="Q105" i="4"/>
  <c r="Q117" i="4"/>
  <c r="Q129" i="4"/>
  <c r="Q141" i="4"/>
  <c r="Q153" i="4"/>
  <c r="Q165" i="4"/>
  <c r="Q177" i="4"/>
  <c r="Q189" i="4"/>
  <c r="Q201" i="4"/>
  <c r="Q213" i="4"/>
  <c r="Q225" i="4"/>
  <c r="Q237" i="4"/>
  <c r="W6" i="5"/>
  <c r="Q3" i="4"/>
  <c r="Q39" i="4"/>
  <c r="Q121" i="4"/>
  <c r="Q183" i="4"/>
  <c r="Q195" i="4"/>
  <c r="Q207" i="4"/>
  <c r="Q254" i="4"/>
  <c r="O119" i="4"/>
  <c r="Q119" i="4" s="1"/>
  <c r="Q59" i="4"/>
  <c r="Q135" i="4"/>
  <c r="Q229" i="4"/>
  <c r="Q157" i="4"/>
  <c r="Q35" i="4"/>
  <c r="Q75" i="4"/>
  <c r="Q131" i="4"/>
  <c r="Q219" i="4"/>
  <c r="Q231" i="4"/>
  <c r="Q243" i="4"/>
  <c r="O154" i="4"/>
  <c r="Q154" i="4" s="1"/>
  <c r="O130" i="4"/>
  <c r="Q130" i="4" s="1"/>
  <c r="O10" i="4"/>
  <c r="Q10" i="4" s="1"/>
  <c r="U6" i="5"/>
  <c r="Q95" i="4"/>
  <c r="Q169" i="4"/>
  <c r="Q147" i="4"/>
  <c r="Q11" i="4"/>
  <c r="Q70" i="4"/>
  <c r="Q178" i="4"/>
  <c r="Q202" i="4"/>
  <c r="Q255" i="4"/>
  <c r="O261" i="4"/>
  <c r="Q261" i="4" s="1"/>
  <c r="Q106" i="4"/>
  <c r="Q217" i="4"/>
  <c r="Q34" i="4"/>
  <c r="Q21" i="4"/>
  <c r="Q46" i="4"/>
  <c r="Q143" i="4"/>
  <c r="Q155" i="4"/>
  <c r="Q167" i="4"/>
  <c r="Q226" i="4"/>
  <c r="O260" i="4"/>
  <c r="Q260" i="4" s="1"/>
  <c r="O248" i="4"/>
  <c r="Q248" i="4" s="1"/>
  <c r="O212" i="4"/>
  <c r="Q212" i="4" s="1"/>
  <c r="O188" i="4"/>
  <c r="Q188" i="4" s="1"/>
  <c r="O140" i="4"/>
  <c r="Q140" i="4" s="1"/>
  <c r="O92" i="4"/>
  <c r="Q92" i="4" s="1"/>
  <c r="Q83" i="4"/>
  <c r="Q200" i="4"/>
  <c r="Q145" i="4"/>
  <c r="Q71" i="4"/>
  <c r="Q87" i="4"/>
  <c r="Q104" i="4"/>
  <c r="Q179" i="4"/>
  <c r="Q191" i="4"/>
  <c r="Q203" i="4"/>
  <c r="Q250" i="4"/>
  <c r="O259" i="4"/>
  <c r="Q259" i="4" s="1"/>
  <c r="O211" i="4"/>
  <c r="Q211" i="4" s="1"/>
  <c r="O199" i="4"/>
  <c r="Q199" i="4" s="1"/>
  <c r="O127" i="4"/>
  <c r="Q127" i="4" s="1"/>
  <c r="O115" i="4"/>
  <c r="Q115" i="4" s="1"/>
  <c r="O103" i="4"/>
  <c r="Q103" i="4" s="1"/>
  <c r="O91" i="4"/>
  <c r="Q91" i="4" s="1"/>
  <c r="Q215" i="4"/>
  <c r="Q227" i="4"/>
  <c r="Q239" i="4"/>
  <c r="O138" i="4"/>
  <c r="Q138" i="4" s="1"/>
  <c r="O126" i="4"/>
  <c r="Q126" i="4" s="1"/>
  <c r="O114" i="4"/>
  <c r="Q114" i="4" s="1"/>
  <c r="O102" i="4"/>
  <c r="Q102" i="4" s="1"/>
  <c r="O90" i="4"/>
  <c r="Q90" i="4" s="1"/>
  <c r="O66" i="4"/>
  <c r="Q66" i="4" s="1"/>
  <c r="O54" i="4"/>
  <c r="Q54" i="4" s="1"/>
  <c r="O42" i="4"/>
  <c r="Q42" i="4" s="1"/>
  <c r="O30" i="4"/>
  <c r="Q30" i="4" s="1"/>
  <c r="O6" i="4"/>
  <c r="Q6" i="4" s="1"/>
  <c r="Q116" i="4"/>
  <c r="Q150" i="4"/>
  <c r="Q162" i="4"/>
  <c r="Q174" i="4"/>
  <c r="Q57" i="4"/>
  <c r="Q82" i="4"/>
  <c r="Q99" i="4"/>
  <c r="Q128" i="4"/>
  <c r="Q139" i="4"/>
  <c r="Q186" i="4"/>
  <c r="Q198" i="4"/>
  <c r="Q210" i="4"/>
  <c r="Q251" i="4"/>
  <c r="Q263" i="4"/>
  <c r="O233" i="4"/>
  <c r="Q233" i="4" s="1"/>
  <c r="O197" i="4"/>
  <c r="Q197" i="4" s="1"/>
  <c r="O161" i="4"/>
  <c r="Q161" i="4" s="1"/>
  <c r="O125" i="4"/>
  <c r="Q125" i="4" s="1"/>
  <c r="O113" i="4"/>
  <c r="Q113" i="4" s="1"/>
  <c r="O101" i="4"/>
  <c r="Q101" i="4" s="1"/>
  <c r="O89" i="4"/>
  <c r="O77" i="4"/>
  <c r="Q77" i="4" s="1"/>
  <c r="O65" i="4"/>
  <c r="Q65" i="4" s="1"/>
  <c r="O53" i="4"/>
  <c r="Q53" i="4" s="1"/>
  <c r="O41" i="4"/>
  <c r="Q41" i="4" s="1"/>
  <c r="O17" i="4"/>
  <c r="Q17" i="4" s="1"/>
  <c r="O5" i="4"/>
  <c r="Q5" i="4" s="1"/>
  <c r="Q58" i="4"/>
  <c r="Q123" i="4"/>
  <c r="Q258" i="4"/>
  <c r="Q7" i="4"/>
  <c r="Q22" i="4"/>
  <c r="Q47" i="4"/>
  <c r="Q8" i="4"/>
  <c r="Q18" i="4"/>
  <c r="Q23" i="4"/>
  <c r="Q78" i="4"/>
  <c r="Q94" i="4"/>
  <c r="Q111" i="4"/>
  <c r="Q151" i="4"/>
  <c r="Q163" i="4"/>
  <c r="Q175" i="4"/>
  <c r="Q222" i="4"/>
  <c r="Q234" i="4"/>
  <c r="Q240" i="4"/>
  <c r="Q246" i="4"/>
  <c r="O244" i="4"/>
  <c r="Q244" i="4" s="1"/>
  <c r="O208" i="4"/>
  <c r="Q208" i="4" s="1"/>
  <c r="O172" i="4"/>
  <c r="Q172" i="4" s="1"/>
  <c r="O136" i="4"/>
  <c r="Q136" i="4" s="1"/>
  <c r="O100" i="4"/>
  <c r="Q100" i="4" s="1"/>
  <c r="O88" i="4"/>
  <c r="Q88" i="4" s="1"/>
  <c r="O76" i="4"/>
  <c r="Q76" i="4" s="1"/>
  <c r="O64" i="4"/>
  <c r="Q64" i="4" s="1"/>
  <c r="O52" i="4"/>
  <c r="Q52" i="4" s="1"/>
  <c r="O40" i="4"/>
  <c r="Q40" i="4" s="1"/>
  <c r="O28" i="4"/>
  <c r="Q28" i="4" s="1"/>
  <c r="O4" i="4"/>
  <c r="Q4" i="4" s="1"/>
  <c r="Q187" i="4"/>
  <c r="Q112" i="4"/>
  <c r="Q152" i="4"/>
  <c r="Q164" i="4"/>
  <c r="Q176" i="4"/>
  <c r="Q223" i="4"/>
  <c r="Q235" i="4"/>
  <c r="O194" i="4"/>
  <c r="O182" i="4"/>
  <c r="Q182" i="4" s="1"/>
  <c r="O170" i="4"/>
  <c r="Q170" i="4" s="1"/>
  <c r="O158" i="4"/>
  <c r="Q158" i="4" s="1"/>
  <c r="O146" i="4"/>
  <c r="Q146" i="4" s="1"/>
  <c r="O134" i="4"/>
  <c r="Q134" i="4" s="1"/>
  <c r="O122" i="4"/>
  <c r="Q122" i="4" s="1"/>
  <c r="O110" i="4"/>
  <c r="Q110" i="4" s="1"/>
  <c r="O98" i="4"/>
  <c r="Q98" i="4" s="1"/>
  <c r="O86" i="4"/>
  <c r="Q86" i="4" s="1"/>
  <c r="Q29" i="4"/>
  <c r="Q124" i="4"/>
  <c r="Q206" i="4"/>
  <c r="Q241" i="4"/>
  <c r="Q107" i="4"/>
  <c r="Q159" i="4"/>
  <c r="Q171" i="4"/>
  <c r="Q218" i="4"/>
  <c r="Q224" i="4"/>
  <c r="Q230" i="4"/>
  <c r="Q236" i="4"/>
  <c r="Q242" i="4"/>
  <c r="O252" i="4"/>
  <c r="Q252" i="4" s="1"/>
  <c r="O228" i="4"/>
  <c r="Q228" i="4" s="1"/>
  <c r="O216" i="4"/>
  <c r="Q216" i="4" s="1"/>
  <c r="O204" i="4"/>
  <c r="Q204" i="4" s="1"/>
  <c r="O192" i="4"/>
  <c r="O180" i="4"/>
  <c r="Q180" i="4" s="1"/>
  <c r="O168" i="4"/>
  <c r="Q168" i="4" s="1"/>
  <c r="O156" i="4"/>
  <c r="Q156" i="4" s="1"/>
  <c r="O144" i="4"/>
  <c r="Q144" i="4" s="1"/>
  <c r="O132" i="4"/>
  <c r="Q132" i="4" s="1"/>
  <c r="O120" i="4"/>
  <c r="Q120" i="4" s="1"/>
  <c r="O108" i="4"/>
  <c r="Q108" i="4" s="1"/>
  <c r="O96" i="4"/>
  <c r="Q96" i="4" s="1"/>
  <c r="O84" i="4"/>
  <c r="Q84" i="4" s="1"/>
  <c r="O72" i="4"/>
  <c r="Q72" i="4" s="1"/>
  <c r="O60" i="4"/>
  <c r="Q60" i="4" s="1"/>
  <c r="O48" i="4"/>
  <c r="Q48" i="4" s="1"/>
  <c r="O36" i="4"/>
  <c r="Q36" i="4" s="1"/>
  <c r="O24" i="4"/>
  <c r="Q24" i="4" s="1"/>
  <c r="O12" i="4"/>
  <c r="Q12" i="4" s="1"/>
  <c r="AR1" i="5"/>
  <c r="Q137" i="4"/>
  <c r="Q148" i="4"/>
  <c r="Q209" i="4"/>
  <c r="Q220" i="4"/>
  <c r="Q149" i="4"/>
  <c r="Q160" i="4"/>
  <c r="Q221" i="4"/>
  <c r="Q232" i="4"/>
  <c r="Q166" i="4"/>
  <c r="Q238" i="4"/>
  <c r="Q249" i="4"/>
  <c r="Q173" i="4"/>
  <c r="Q184" i="4"/>
  <c r="Q245" i="4"/>
  <c r="Q262" i="4"/>
  <c r="Q118" i="4"/>
  <c r="Q190" i="4"/>
  <c r="Q185" i="4"/>
  <c r="Q196" i="4"/>
  <c r="Q257" i="4"/>
  <c r="Q142" i="4"/>
  <c r="Q214" i="4"/>
  <c r="Q253" i="4"/>
  <c r="Q2" i="4"/>
  <c r="AB5" i="5"/>
  <c r="AB1" i="5" s="1"/>
  <c r="C7" i="5"/>
  <c r="P50" i="5"/>
  <c r="C9" i="5"/>
  <c r="C21" i="5"/>
  <c r="Q62" i="5"/>
  <c r="C22" i="5"/>
  <c r="S42" i="5"/>
  <c r="Q74" i="5"/>
  <c r="P52" i="5"/>
  <c r="Q43" i="5"/>
  <c r="C30" i="5"/>
  <c r="C32" i="5"/>
  <c r="Q45" i="5"/>
  <c r="C6" i="5"/>
  <c r="P45" i="5"/>
  <c r="S59" i="5"/>
  <c r="C8" i="5"/>
  <c r="C31" i="5"/>
  <c r="Q79" i="5"/>
  <c r="P86" i="5"/>
  <c r="C10" i="5"/>
  <c r="C33" i="5"/>
  <c r="P48" i="5"/>
  <c r="Q50" i="5"/>
  <c r="S66" i="5"/>
  <c r="Q91" i="5"/>
  <c r="C11" i="5"/>
  <c r="C34" i="5"/>
  <c r="C18" i="5"/>
  <c r="C35" i="5"/>
  <c r="P57" i="5"/>
  <c r="S78" i="5"/>
  <c r="C19" i="5"/>
  <c r="Q55" i="5"/>
  <c r="Q57" i="5"/>
  <c r="C20" i="5"/>
  <c r="S47" i="5"/>
  <c r="P64" i="5"/>
  <c r="S83" i="5"/>
  <c r="P69" i="5"/>
  <c r="C23" i="5"/>
  <c r="P43" i="5"/>
  <c r="S54" i="5"/>
  <c r="C12" i="5"/>
  <c r="C24" i="5"/>
  <c r="C36" i="5"/>
  <c r="P47" i="5"/>
  <c r="Q52" i="5"/>
  <c r="N54" i="5"/>
  <c r="P59" i="5"/>
  <c r="Q64" i="5"/>
  <c r="P71" i="5"/>
  <c r="Q76" i="5"/>
  <c r="Q81" i="5"/>
  <c r="N83" i="5"/>
  <c r="P88" i="5"/>
  <c r="C13" i="5"/>
  <c r="C25" i="5"/>
  <c r="C37" i="5"/>
  <c r="P42" i="5"/>
  <c r="Q47" i="5"/>
  <c r="S51" i="5"/>
  <c r="P54" i="5"/>
  <c r="Q59" i="5"/>
  <c r="S63" i="5"/>
  <c r="P66" i="5"/>
  <c r="M68" i="5"/>
  <c r="Q71" i="5"/>
  <c r="S75" i="5"/>
  <c r="P83" i="5"/>
  <c r="Q88" i="5"/>
  <c r="N90" i="5"/>
  <c r="C14" i="5"/>
  <c r="C26" i="5"/>
  <c r="Q42" i="5"/>
  <c r="S46" i="5"/>
  <c r="P49" i="5"/>
  <c r="Q54" i="5"/>
  <c r="S58" i="5"/>
  <c r="P61" i="5"/>
  <c r="Q66" i="5"/>
  <c r="S70" i="5"/>
  <c r="P73" i="5"/>
  <c r="P78" i="5"/>
  <c r="Q83" i="5"/>
  <c r="S87" i="5"/>
  <c r="P90" i="5"/>
  <c r="C15" i="5"/>
  <c r="P44" i="5"/>
  <c r="Q49" i="5"/>
  <c r="N53" i="5"/>
  <c r="P56" i="5"/>
  <c r="Q61" i="5"/>
  <c r="N65" i="5"/>
  <c r="P68" i="5"/>
  <c r="M70" i="5"/>
  <c r="Q73" i="5"/>
  <c r="Q78" i="5"/>
  <c r="S82" i="5"/>
  <c r="P85" i="5"/>
  <c r="M87" i="5"/>
  <c r="Q90" i="5"/>
  <c r="C16" i="5"/>
  <c r="C28" i="5"/>
  <c r="Q44" i="5"/>
  <c r="N46" i="5"/>
  <c r="P51" i="5"/>
  <c r="Q56" i="5"/>
  <c r="P63" i="5"/>
  <c r="Q68" i="5"/>
  <c r="P75" i="5"/>
  <c r="P80" i="5"/>
  <c r="Q85" i="5"/>
  <c r="C5" i="5"/>
  <c r="C17" i="5"/>
  <c r="C29" i="5"/>
  <c r="S43" i="5"/>
  <c r="P46" i="5"/>
  <c r="Q51" i="5"/>
  <c r="S55" i="5"/>
  <c r="P58" i="5"/>
  <c r="Q63" i="5"/>
  <c r="S67" i="5"/>
  <c r="P70" i="5"/>
  <c r="Q75" i="5"/>
  <c r="Q80" i="5"/>
  <c r="P87" i="5"/>
  <c r="Q46" i="5"/>
  <c r="S50" i="5"/>
  <c r="P53" i="5"/>
  <c r="Q58" i="5"/>
  <c r="S62" i="5"/>
  <c r="P65" i="5"/>
  <c r="M67" i="5"/>
  <c r="Q70" i="5"/>
  <c r="S74" i="5"/>
  <c r="P77" i="5"/>
  <c r="S79" i="5"/>
  <c r="P82" i="5"/>
  <c r="M84" i="5"/>
  <c r="Q87" i="5"/>
  <c r="S91" i="5"/>
  <c r="Q53" i="5"/>
  <c r="P60" i="5"/>
  <c r="Q65" i="5"/>
  <c r="P72" i="5"/>
  <c r="Q77" i="5"/>
  <c r="Q82" i="5"/>
  <c r="S86" i="5"/>
  <c r="P89" i="5"/>
  <c r="Q48" i="5"/>
  <c r="P55" i="5"/>
  <c r="Q60" i="5"/>
  <c r="N64" i="5"/>
  <c r="P67" i="5"/>
  <c r="M69" i="5"/>
  <c r="Q72" i="5"/>
  <c r="P84" i="5"/>
  <c r="M86" i="5"/>
  <c r="Q89" i="5"/>
  <c r="M52" i="5"/>
  <c r="P62" i="5"/>
  <c r="Q67" i="5"/>
  <c r="S71" i="5"/>
  <c r="P74" i="5"/>
  <c r="M76" i="5"/>
  <c r="P79" i="5"/>
  <c r="M81" i="5"/>
  <c r="Q84" i="5"/>
  <c r="P91" i="5"/>
  <c r="Q69" i="5"/>
  <c r="P76" i="5"/>
  <c r="P81" i="5"/>
  <c r="S90" i="5"/>
  <c r="M44" i="5"/>
  <c r="N68" i="5"/>
  <c r="M73" i="5"/>
  <c r="M90" i="5"/>
  <c r="M46" i="5"/>
  <c r="M63" i="5"/>
  <c r="M75" i="5"/>
  <c r="M80" i="5"/>
  <c r="N60" i="5"/>
  <c r="N72" i="5"/>
  <c r="M43" i="5"/>
  <c r="M55" i="5"/>
  <c r="M60" i="5"/>
  <c r="M72" i="5"/>
  <c r="M89" i="5"/>
  <c r="N57" i="5"/>
  <c r="M45" i="5"/>
  <c r="N52" i="5"/>
  <c r="M57" i="5"/>
  <c r="M62" i="5"/>
  <c r="N69" i="5"/>
  <c r="M74" i="5"/>
  <c r="M79" i="5"/>
  <c r="M91" i="5"/>
  <c r="M47" i="5"/>
  <c r="M59" i="5"/>
  <c r="N49" i="5"/>
  <c r="M71" i="5"/>
  <c r="M88" i="5"/>
  <c r="M49" i="5"/>
  <c r="N61" i="5"/>
  <c r="M66" i="5"/>
  <c r="M78" i="5"/>
  <c r="M83" i="5"/>
  <c r="N42" i="5"/>
  <c r="N62" i="5"/>
  <c r="N70" i="5"/>
  <c r="N75" i="5"/>
  <c r="N51" i="5"/>
  <c r="N67" i="5"/>
  <c r="N82" i="5"/>
  <c r="N43" i="5"/>
  <c r="N58" i="5"/>
  <c r="N74" i="5"/>
  <c r="N79" i="5"/>
  <c r="N91" i="5"/>
  <c r="N71" i="5"/>
  <c r="N86" i="5"/>
  <c r="N63" i="5"/>
  <c r="M58" i="5"/>
  <c r="M61" i="5"/>
  <c r="M64" i="5"/>
  <c r="N89" i="5"/>
  <c r="M54" i="5"/>
  <c r="N77" i="5"/>
  <c r="N80" i="5"/>
  <c r="N66" i="5"/>
  <c r="N45" i="5"/>
  <c r="N48" i="5"/>
  <c r="N85" i="5"/>
  <c r="N88" i="5"/>
  <c r="M48" i="5"/>
  <c r="M85" i="5"/>
  <c r="N56" i="5"/>
  <c r="N73" i="5"/>
  <c r="N76" i="5"/>
  <c r="M56" i="5"/>
  <c r="N44" i="5"/>
  <c r="N50" i="5"/>
  <c r="N81" i="5"/>
  <c r="N84" i="5"/>
  <c r="I44" i="5"/>
  <c r="I48" i="5"/>
  <c r="S48" i="5" s="1"/>
  <c r="I52" i="5"/>
  <c r="S52" i="5" s="1"/>
  <c r="I56" i="5"/>
  <c r="S56" i="5" s="1"/>
  <c r="I60" i="5"/>
  <c r="S60" i="5" s="1"/>
  <c r="I64" i="5"/>
  <c r="S64" i="5" s="1"/>
  <c r="I68" i="5"/>
  <c r="S68" i="5" s="1"/>
  <c r="I72" i="5"/>
  <c r="S72" i="5" s="1"/>
  <c r="I76" i="5"/>
  <c r="S76" i="5" s="1"/>
  <c r="I80" i="5"/>
  <c r="S80" i="5" s="1"/>
  <c r="I84" i="5"/>
  <c r="S84" i="5" s="1"/>
  <c r="I88" i="5"/>
  <c r="S88" i="5" s="1"/>
  <c r="I45" i="5"/>
  <c r="S45" i="5" s="1"/>
  <c r="I49" i="5"/>
  <c r="S49" i="5" s="1"/>
  <c r="I53" i="5"/>
  <c r="S53" i="5" s="1"/>
  <c r="I57" i="5"/>
  <c r="S57" i="5" s="1"/>
  <c r="I61" i="5"/>
  <c r="S61" i="5" s="1"/>
  <c r="I65" i="5"/>
  <c r="S65" i="5" s="1"/>
  <c r="I69" i="5"/>
  <c r="S69" i="5" s="1"/>
  <c r="I73" i="5"/>
  <c r="S73" i="5" s="1"/>
  <c r="I77" i="5"/>
  <c r="S77" i="5" s="1"/>
  <c r="I81" i="5"/>
  <c r="S81" i="5" s="1"/>
  <c r="I85" i="5"/>
  <c r="S85" i="5" s="1"/>
  <c r="I89" i="5"/>
  <c r="S89" i="5" s="1"/>
  <c r="F1" i="3"/>
  <c r="AR2" i="13" a="1"/>
  <c r="AR2" i="5" a="1"/>
  <c r="AR1" i="14" a="1"/>
  <c r="AR2" i="15" a="1"/>
  <c r="AR5" i="9" a="1"/>
  <c r="AR5" i="6" a="1"/>
  <c r="AR2" i="7" a="1"/>
  <c r="AR2" i="10" a="1"/>
  <c r="AR1" i="13" a="1"/>
  <c r="AR5" i="10" a="1"/>
  <c r="AR5" i="7" a="1"/>
  <c r="AR5" i="8" a="1"/>
  <c r="AR2" i="8" a="1"/>
  <c r="AR1" i="15" a="1"/>
  <c r="AR2" i="16" a="1"/>
  <c r="AR2" i="9" a="1"/>
  <c r="AR2" i="14" a="1"/>
  <c r="AR2" i="12" a="1"/>
  <c r="AR5" i="17" a="1"/>
  <c r="AR2" i="17" a="1"/>
  <c r="AR1" i="16" a="1"/>
  <c r="AR5" i="5" a="1"/>
  <c r="AR5" i="11" a="1"/>
  <c r="AR2" i="6" a="1"/>
  <c r="AR1" i="12" a="1"/>
  <c r="V84" i="17" l="1"/>
  <c r="V75" i="17"/>
  <c r="V51" i="17"/>
  <c r="V47" i="17"/>
  <c r="V71" i="17"/>
  <c r="V91" i="17"/>
  <c r="V63" i="17"/>
  <c r="V87" i="17"/>
  <c r="V55" i="17"/>
  <c r="V79" i="17"/>
  <c r="V46" i="17"/>
  <c r="AR2" i="17"/>
  <c r="AR8" i="17"/>
  <c r="B641" i="1" s="1"/>
  <c r="AR7" i="17"/>
  <c r="B640" i="1" s="1"/>
  <c r="AR6" i="17"/>
  <c r="B639" i="1" s="1"/>
  <c r="AR5" i="17"/>
  <c r="B638" i="1" s="1"/>
  <c r="AR15" i="17"/>
  <c r="B648" i="1" s="1"/>
  <c r="AR14" i="17"/>
  <c r="B647" i="1" s="1"/>
  <c r="AR13" i="17"/>
  <c r="B646" i="1" s="1"/>
  <c r="AR12" i="17"/>
  <c r="B645" i="1" s="1"/>
  <c r="AR11" i="17"/>
  <c r="B644" i="1" s="1"/>
  <c r="AR9" i="17"/>
  <c r="B642" i="1" s="1"/>
  <c r="AR10" i="17"/>
  <c r="B643" i="1" s="1"/>
  <c r="T91" i="17"/>
  <c r="T87" i="17"/>
  <c r="T83" i="17"/>
  <c r="T79" i="17"/>
  <c r="T75" i="17"/>
  <c r="T71" i="17"/>
  <c r="T67" i="17"/>
  <c r="T63" i="17"/>
  <c r="T59" i="17"/>
  <c r="T55" i="17"/>
  <c r="T51" i="17"/>
  <c r="T47" i="17"/>
  <c r="T43" i="17"/>
  <c r="T90" i="17"/>
  <c r="T86" i="17"/>
  <c r="T82" i="17"/>
  <c r="T78" i="17"/>
  <c r="T74" i="17"/>
  <c r="T70" i="17"/>
  <c r="T66" i="17"/>
  <c r="T62" i="17"/>
  <c r="T58" i="17"/>
  <c r="T54" i="17"/>
  <c r="T50" i="17"/>
  <c r="T46" i="17"/>
  <c r="T42" i="17"/>
  <c r="T89" i="17"/>
  <c r="T85" i="17"/>
  <c r="T81" i="17"/>
  <c r="T77" i="17"/>
  <c r="T73" i="17"/>
  <c r="T69" i="17"/>
  <c r="T65" i="17"/>
  <c r="T61" i="17"/>
  <c r="T57" i="17"/>
  <c r="T53" i="17"/>
  <c r="T49" i="17"/>
  <c r="T45" i="17"/>
  <c r="T88" i="17"/>
  <c r="T84" i="17"/>
  <c r="T80" i="17"/>
  <c r="T76" i="17"/>
  <c r="T72" i="17"/>
  <c r="T68" i="17"/>
  <c r="T64" i="17"/>
  <c r="T60" i="17"/>
  <c r="T56" i="17"/>
  <c r="T52" i="17"/>
  <c r="T48" i="17"/>
  <c r="T44" i="17"/>
  <c r="V90" i="17"/>
  <c r="V66" i="17"/>
  <c r="V42" i="17"/>
  <c r="V73" i="17"/>
  <c r="V57" i="17"/>
  <c r="V64" i="17"/>
  <c r="V48" i="17"/>
  <c r="V89" i="17"/>
  <c r="V80" i="17"/>
  <c r="V86" i="17"/>
  <c r="V62" i="17"/>
  <c r="V67" i="17"/>
  <c r="V43" i="17"/>
  <c r="V85" i="17"/>
  <c r="V69" i="17"/>
  <c r="V53" i="17"/>
  <c r="V76" i="17"/>
  <c r="V60" i="17"/>
  <c r="V44" i="17"/>
  <c r="V82" i="17"/>
  <c r="V58" i="17"/>
  <c r="S44" i="17"/>
  <c r="V78" i="17"/>
  <c r="V54" i="17"/>
  <c r="V81" i="17"/>
  <c r="V65" i="17"/>
  <c r="V49" i="17"/>
  <c r="V72" i="17"/>
  <c r="V56" i="17"/>
  <c r="V83" i="17"/>
  <c r="V59" i="17"/>
  <c r="U48" i="17"/>
  <c r="U91" i="17"/>
  <c r="U87" i="17"/>
  <c r="U83" i="17"/>
  <c r="U79" i="17"/>
  <c r="U75" i="17"/>
  <c r="U71" i="17"/>
  <c r="U67" i="17"/>
  <c r="U63" i="17"/>
  <c r="U59" i="17"/>
  <c r="U55" i="17"/>
  <c r="U51" i="17"/>
  <c r="U47" i="17"/>
  <c r="U43" i="17"/>
  <c r="U64" i="17"/>
  <c r="U90" i="17"/>
  <c r="U86" i="17"/>
  <c r="U82" i="17"/>
  <c r="U78" i="17"/>
  <c r="U74" i="17"/>
  <c r="U70" i="17"/>
  <c r="U66" i="17"/>
  <c r="U62" i="17"/>
  <c r="U58" i="17"/>
  <c r="U54" i="17"/>
  <c r="U50" i="17"/>
  <c r="U46" i="17"/>
  <c r="U42" i="17"/>
  <c r="U80" i="17"/>
  <c r="U88" i="17"/>
  <c r="U68" i="17"/>
  <c r="U44" i="17"/>
  <c r="U89" i="17"/>
  <c r="U85" i="17"/>
  <c r="U81" i="17"/>
  <c r="U77" i="17"/>
  <c r="U73" i="17"/>
  <c r="U69" i="17"/>
  <c r="U65" i="17"/>
  <c r="U61" i="17"/>
  <c r="U57" i="17"/>
  <c r="U53" i="17"/>
  <c r="U49" i="17"/>
  <c r="U45" i="17"/>
  <c r="U60" i="17"/>
  <c r="U56" i="17"/>
  <c r="U72" i="17"/>
  <c r="U52" i="17"/>
  <c r="U84" i="17"/>
  <c r="U76" i="17"/>
  <c r="V74" i="17"/>
  <c r="V50" i="17"/>
  <c r="V77" i="17"/>
  <c r="V61" i="17"/>
  <c r="V45" i="17"/>
  <c r="V88" i="17"/>
  <c r="V68" i="17"/>
  <c r="V52" i="17"/>
  <c r="V70" i="17"/>
  <c r="AR1" i="16"/>
  <c r="AR2" i="16"/>
  <c r="AR1" i="13"/>
  <c r="AR2" i="13"/>
  <c r="AB1" i="16"/>
  <c r="K59" i="3"/>
  <c r="Q194" i="4"/>
  <c r="AA5" i="16"/>
  <c r="V78" i="15"/>
  <c r="AE6" i="16"/>
  <c r="N59" i="3"/>
  <c r="Q192" i="4"/>
  <c r="AA5" i="15"/>
  <c r="V87" i="16"/>
  <c r="V63" i="16"/>
  <c r="V66" i="16"/>
  <c r="V86" i="16"/>
  <c r="V42" i="16"/>
  <c r="V46" i="16"/>
  <c r="V57" i="16"/>
  <c r="V80" i="16"/>
  <c r="V77" i="16"/>
  <c r="V76" i="16"/>
  <c r="V60" i="16"/>
  <c r="V44" i="16"/>
  <c r="S44" i="16"/>
  <c r="V83" i="16"/>
  <c r="V59" i="16"/>
  <c r="V62" i="16"/>
  <c r="V73" i="16"/>
  <c r="V82" i="16"/>
  <c r="V53" i="16"/>
  <c r="V72" i="16"/>
  <c r="V56" i="16"/>
  <c r="V79" i="16"/>
  <c r="V55" i="16"/>
  <c r="V58" i="16"/>
  <c r="V69" i="16"/>
  <c r="U91" i="16"/>
  <c r="U87" i="16"/>
  <c r="U83" i="16"/>
  <c r="U79" i="16"/>
  <c r="U75" i="16"/>
  <c r="U71" i="16"/>
  <c r="U67" i="16"/>
  <c r="U63" i="16"/>
  <c r="U59" i="16"/>
  <c r="U55" i="16"/>
  <c r="U51" i="16"/>
  <c r="U47" i="16"/>
  <c r="U43" i="16"/>
  <c r="U90" i="16"/>
  <c r="U86" i="16"/>
  <c r="U82" i="16"/>
  <c r="U78" i="16"/>
  <c r="U74" i="16"/>
  <c r="U70" i="16"/>
  <c r="U66" i="16"/>
  <c r="U62" i="16"/>
  <c r="U58" i="16"/>
  <c r="U54" i="16"/>
  <c r="U50" i="16"/>
  <c r="U46" i="16"/>
  <c r="U42" i="16"/>
  <c r="U89" i="16"/>
  <c r="U85" i="16"/>
  <c r="U81" i="16"/>
  <c r="U77" i="16"/>
  <c r="U73" i="16"/>
  <c r="U69" i="16"/>
  <c r="U65" i="16"/>
  <c r="U61" i="16"/>
  <c r="U57" i="16"/>
  <c r="U53" i="16"/>
  <c r="U49" i="16"/>
  <c r="U45" i="16"/>
  <c r="U88" i="16"/>
  <c r="U84" i="16"/>
  <c r="U80" i="16"/>
  <c r="U76" i="16"/>
  <c r="U72" i="16"/>
  <c r="U68" i="16"/>
  <c r="U64" i="16"/>
  <c r="U60" i="16"/>
  <c r="U56" i="16"/>
  <c r="U52" i="16"/>
  <c r="U48" i="16"/>
  <c r="U44" i="16"/>
  <c r="T91" i="16"/>
  <c r="T87" i="16"/>
  <c r="T83" i="16"/>
  <c r="T79" i="16"/>
  <c r="T75" i="16"/>
  <c r="T71" i="16"/>
  <c r="T67" i="16"/>
  <c r="T63" i="16"/>
  <c r="T59" i="16"/>
  <c r="T55" i="16"/>
  <c r="T51" i="16"/>
  <c r="T47" i="16"/>
  <c r="T43" i="16"/>
  <c r="T90" i="16"/>
  <c r="T86" i="16"/>
  <c r="T82" i="16"/>
  <c r="T78" i="16"/>
  <c r="T74" i="16"/>
  <c r="T70" i="16"/>
  <c r="T66" i="16"/>
  <c r="T62" i="16"/>
  <c r="T58" i="16"/>
  <c r="T54" i="16"/>
  <c r="T50" i="16"/>
  <c r="T46" i="16"/>
  <c r="T42" i="16"/>
  <c r="T88" i="16"/>
  <c r="T72" i="16"/>
  <c r="T52" i="16"/>
  <c r="T80" i="16"/>
  <c r="T89" i="16"/>
  <c r="T85" i="16"/>
  <c r="T81" i="16"/>
  <c r="T77" i="16"/>
  <c r="T73" i="16"/>
  <c r="T69" i="16"/>
  <c r="T65" i="16"/>
  <c r="T61" i="16"/>
  <c r="T57" i="16"/>
  <c r="T53" i="16"/>
  <c r="T49" i="16"/>
  <c r="T45" i="16"/>
  <c r="T60" i="16"/>
  <c r="T84" i="16"/>
  <c r="T56" i="16"/>
  <c r="T48" i="16"/>
  <c r="T44" i="16"/>
  <c r="T76" i="16"/>
  <c r="T68" i="16"/>
  <c r="T64" i="16"/>
  <c r="V88" i="16"/>
  <c r="AE6" i="15"/>
  <c r="N58" i="3"/>
  <c r="V75" i="16"/>
  <c r="V51" i="16"/>
  <c r="V78" i="16"/>
  <c r="V54" i="16"/>
  <c r="V89" i="16"/>
  <c r="V65" i="16"/>
  <c r="V49" i="16"/>
  <c r="V68" i="16"/>
  <c r="V52" i="16"/>
  <c r="V71" i="16"/>
  <c r="V47" i="16"/>
  <c r="V74" i="16"/>
  <c r="V50" i="16"/>
  <c r="V85" i="16"/>
  <c r="V84" i="16"/>
  <c r="V91" i="16"/>
  <c r="V79" i="15"/>
  <c r="V90" i="15"/>
  <c r="V66" i="15"/>
  <c r="V90" i="16"/>
  <c r="V61" i="16"/>
  <c r="V45" i="16"/>
  <c r="V64" i="16"/>
  <c r="V48" i="16"/>
  <c r="V67" i="16"/>
  <c r="V43" i="16"/>
  <c r="V70" i="16"/>
  <c r="V81" i="16"/>
  <c r="V83" i="15"/>
  <c r="V55" i="15"/>
  <c r="V75" i="15"/>
  <c r="V65" i="15"/>
  <c r="V54" i="15"/>
  <c r="V86" i="15"/>
  <c r="V62" i="15"/>
  <c r="V82" i="15"/>
  <c r="V58" i="15"/>
  <c r="V43" i="15"/>
  <c r="V60" i="15"/>
  <c r="V47" i="15"/>
  <c r="V76" i="15"/>
  <c r="V70" i="15"/>
  <c r="V46" i="15"/>
  <c r="AR1" i="15"/>
  <c r="AR2" i="15"/>
  <c r="V61" i="15"/>
  <c r="V74" i="15"/>
  <c r="V50" i="15"/>
  <c r="V51" i="15"/>
  <c r="V44" i="15"/>
  <c r="V63" i="15"/>
  <c r="V87" i="15"/>
  <c r="V59" i="15"/>
  <c r="V85" i="15"/>
  <c r="V71" i="15"/>
  <c r="V53" i="15"/>
  <c r="V48" i="15"/>
  <c r="V49" i="15"/>
  <c r="V56" i="15"/>
  <c r="V67" i="15"/>
  <c r="V77" i="15"/>
  <c r="V45" i="15"/>
  <c r="V89" i="15"/>
  <c r="V69" i="15"/>
  <c r="T91" i="15"/>
  <c r="T87" i="15"/>
  <c r="T83" i="15"/>
  <c r="T79" i="15"/>
  <c r="T75" i="15"/>
  <c r="T71" i="15"/>
  <c r="T67" i="15"/>
  <c r="T63" i="15"/>
  <c r="T59" i="15"/>
  <c r="T55" i="15"/>
  <c r="T51" i="15"/>
  <c r="T47" i="15"/>
  <c r="T43" i="15"/>
  <c r="T90" i="15"/>
  <c r="T86" i="15"/>
  <c r="T82" i="15"/>
  <c r="T78" i="15"/>
  <c r="T74" i="15"/>
  <c r="T70" i="15"/>
  <c r="T66" i="15"/>
  <c r="T62" i="15"/>
  <c r="T58" i="15"/>
  <c r="T54" i="15"/>
  <c r="T50" i="15"/>
  <c r="T46" i="15"/>
  <c r="T42" i="15"/>
  <c r="T89" i="15"/>
  <c r="T85" i="15"/>
  <c r="T81" i="15"/>
  <c r="T77" i="15"/>
  <c r="T73" i="15"/>
  <c r="T69" i="15"/>
  <c r="T65" i="15"/>
  <c r="T61" i="15"/>
  <c r="T57" i="15"/>
  <c r="T53" i="15"/>
  <c r="T49" i="15"/>
  <c r="T45" i="15"/>
  <c r="T88" i="15"/>
  <c r="T84" i="15"/>
  <c r="T80" i="15"/>
  <c r="T76" i="15"/>
  <c r="T72" i="15"/>
  <c r="T68" i="15"/>
  <c r="T64" i="15"/>
  <c r="T60" i="15"/>
  <c r="T56" i="15"/>
  <c r="T52" i="15"/>
  <c r="T48" i="15"/>
  <c r="T44" i="15"/>
  <c r="S44" i="15"/>
  <c r="V88" i="15"/>
  <c r="V72" i="15"/>
  <c r="V81" i="15"/>
  <c r="U91" i="15"/>
  <c r="U87" i="15"/>
  <c r="U83" i="15"/>
  <c r="U79" i="15"/>
  <c r="U75" i="15"/>
  <c r="U71" i="15"/>
  <c r="U67" i="15"/>
  <c r="U63" i="15"/>
  <c r="U59" i="15"/>
  <c r="U55" i="15"/>
  <c r="U51" i="15"/>
  <c r="U47" i="15"/>
  <c r="U43" i="15"/>
  <c r="U84" i="15"/>
  <c r="U90" i="15"/>
  <c r="U86" i="15"/>
  <c r="U82" i="15"/>
  <c r="U78" i="15"/>
  <c r="U74" i="15"/>
  <c r="U70" i="15"/>
  <c r="U66" i="15"/>
  <c r="U62" i="15"/>
  <c r="U58" i="15"/>
  <c r="U54" i="15"/>
  <c r="U50" i="15"/>
  <c r="U46" i="15"/>
  <c r="U42" i="15"/>
  <c r="U56" i="15"/>
  <c r="U72" i="15"/>
  <c r="U68" i="15"/>
  <c r="U64" i="15"/>
  <c r="U60" i="15"/>
  <c r="U89" i="15"/>
  <c r="U85" i="15"/>
  <c r="U81" i="15"/>
  <c r="U77" i="15"/>
  <c r="U73" i="15"/>
  <c r="U69" i="15"/>
  <c r="U65" i="15"/>
  <c r="U61" i="15"/>
  <c r="U57" i="15"/>
  <c r="U53" i="15"/>
  <c r="U49" i="15"/>
  <c r="U45" i="15"/>
  <c r="U88" i="15"/>
  <c r="U52" i="15"/>
  <c r="U80" i="15"/>
  <c r="U48" i="15"/>
  <c r="U44" i="15"/>
  <c r="U76" i="15"/>
  <c r="V84" i="15"/>
  <c r="V68" i="15"/>
  <c r="V52" i="15"/>
  <c r="V42" i="15"/>
  <c r="V73" i="15"/>
  <c r="V57" i="15"/>
  <c r="V91" i="15"/>
  <c r="V80" i="15"/>
  <c r="V64" i="15"/>
  <c r="V81" i="14"/>
  <c r="AE6" i="14"/>
  <c r="N57" i="3"/>
  <c r="AB1" i="14"/>
  <c r="K57" i="3"/>
  <c r="V71" i="14"/>
  <c r="V76" i="14"/>
  <c r="V78" i="14"/>
  <c r="V75" i="14"/>
  <c r="AR1" i="14"/>
  <c r="AR2" i="14"/>
  <c r="V74" i="14"/>
  <c r="V77" i="14"/>
  <c r="V80" i="14"/>
  <c r="U67" i="14"/>
  <c r="U71" i="14"/>
  <c r="U59" i="14"/>
  <c r="V63" i="14"/>
  <c r="V75" i="13"/>
  <c r="U84" i="14"/>
  <c r="U48" i="14"/>
  <c r="U69" i="14"/>
  <c r="U66" i="14"/>
  <c r="U63" i="14"/>
  <c r="V72" i="14"/>
  <c r="V73" i="14"/>
  <c r="V70" i="14"/>
  <c r="V67" i="14"/>
  <c r="U52" i="14"/>
  <c r="U73" i="14"/>
  <c r="U70" i="14"/>
  <c r="U77" i="14"/>
  <c r="U74" i="14"/>
  <c r="U72" i="14"/>
  <c r="U81" i="14"/>
  <c r="U78" i="14"/>
  <c r="U75" i="14"/>
  <c r="V84" i="14"/>
  <c r="V85" i="14"/>
  <c r="V82" i="14"/>
  <c r="V79" i="14"/>
  <c r="U76" i="14"/>
  <c r="U44" i="14"/>
  <c r="U85" i="14"/>
  <c r="U82" i="14"/>
  <c r="U79" i="14"/>
  <c r="V88" i="14"/>
  <c r="V89" i="14"/>
  <c r="V86" i="14"/>
  <c r="V83" i="14"/>
  <c r="S44" i="14"/>
  <c r="U89" i="14"/>
  <c r="U86" i="14"/>
  <c r="U83" i="14"/>
  <c r="V44" i="14"/>
  <c r="V45" i="14"/>
  <c r="V42" i="14"/>
  <c r="V90" i="14"/>
  <c r="V87" i="14"/>
  <c r="U64" i="14"/>
  <c r="U45" i="14"/>
  <c r="U42" i="14"/>
  <c r="U90" i="14"/>
  <c r="U87" i="14"/>
  <c r="V48" i="14"/>
  <c r="V49" i="14"/>
  <c r="V46" i="14"/>
  <c r="V43" i="14"/>
  <c r="V91" i="14"/>
  <c r="AB1" i="13"/>
  <c r="K56" i="3"/>
  <c r="U68" i="14"/>
  <c r="U49" i="14"/>
  <c r="U46" i="14"/>
  <c r="U43" i="14"/>
  <c r="U91" i="14"/>
  <c r="V52" i="14"/>
  <c r="V53" i="14"/>
  <c r="V50" i="14"/>
  <c r="V47" i="14"/>
  <c r="T91" i="14"/>
  <c r="T87" i="14"/>
  <c r="T83" i="14"/>
  <c r="T79" i="14"/>
  <c r="T75" i="14"/>
  <c r="T71" i="14"/>
  <c r="T67" i="14"/>
  <c r="T63" i="14"/>
  <c r="T59" i="14"/>
  <c r="T55" i="14"/>
  <c r="T51" i="14"/>
  <c r="T47" i="14"/>
  <c r="T43" i="14"/>
  <c r="T90" i="14"/>
  <c r="T86" i="14"/>
  <c r="T82" i="14"/>
  <c r="T78" i="14"/>
  <c r="T74" i="14"/>
  <c r="T70" i="14"/>
  <c r="T66" i="14"/>
  <c r="T62" i="14"/>
  <c r="T58" i="14"/>
  <c r="T54" i="14"/>
  <c r="T50" i="14"/>
  <c r="T46" i="14"/>
  <c r="T42" i="14"/>
  <c r="T89" i="14"/>
  <c r="T85" i="14"/>
  <c r="T81" i="14"/>
  <c r="T77" i="14"/>
  <c r="T73" i="14"/>
  <c r="T69" i="14"/>
  <c r="T65" i="14"/>
  <c r="T61" i="14"/>
  <c r="T57" i="14"/>
  <c r="T53" i="14"/>
  <c r="T49" i="14"/>
  <c r="T45" i="14"/>
  <c r="T84" i="14"/>
  <c r="T72" i="14"/>
  <c r="T64" i="14"/>
  <c r="T56" i="14"/>
  <c r="T48" i="14"/>
  <c r="T80" i="14"/>
  <c r="T76" i="14"/>
  <c r="T68" i="14"/>
  <c r="T60" i="14"/>
  <c r="T52" i="14"/>
  <c r="T44" i="14"/>
  <c r="T88" i="14"/>
  <c r="U53" i="14"/>
  <c r="U50" i="14"/>
  <c r="U47" i="14"/>
  <c r="V56" i="14"/>
  <c r="V57" i="14"/>
  <c r="V54" i="14"/>
  <c r="V51" i="14"/>
  <c r="U56" i="14"/>
  <c r="U57" i="14"/>
  <c r="U54" i="14"/>
  <c r="U51" i="14"/>
  <c r="V60" i="14"/>
  <c r="V61" i="14"/>
  <c r="V58" i="14"/>
  <c r="V55" i="14"/>
  <c r="U88" i="14"/>
  <c r="U60" i="14"/>
  <c r="U61" i="14"/>
  <c r="U58" i="14"/>
  <c r="U55" i="14"/>
  <c r="V64" i="14"/>
  <c r="V65" i="14"/>
  <c r="V62" i="14"/>
  <c r="V59" i="14"/>
  <c r="U80" i="14"/>
  <c r="U65" i="14"/>
  <c r="U62" i="14"/>
  <c r="V68" i="14"/>
  <c r="V69" i="14"/>
  <c r="V66" i="14"/>
  <c r="V87" i="13"/>
  <c r="AR1" i="12"/>
  <c r="V48" i="13"/>
  <c r="V49" i="13"/>
  <c r="V46" i="13"/>
  <c r="V43" i="13"/>
  <c r="V91" i="13"/>
  <c r="V52" i="13"/>
  <c r="V53" i="13"/>
  <c r="V50" i="13"/>
  <c r="V47" i="13"/>
  <c r="V56" i="13"/>
  <c r="V57" i="13"/>
  <c r="V54" i="13"/>
  <c r="V51" i="13"/>
  <c r="T91" i="13"/>
  <c r="T87" i="13"/>
  <c r="T83" i="13"/>
  <c r="T79" i="13"/>
  <c r="T75" i="13"/>
  <c r="T71" i="13"/>
  <c r="T67" i="13"/>
  <c r="T63" i="13"/>
  <c r="T59" i="13"/>
  <c r="T55" i="13"/>
  <c r="T51" i="13"/>
  <c r="T47" i="13"/>
  <c r="T43" i="13"/>
  <c r="T90" i="13"/>
  <c r="T86" i="13"/>
  <c r="T82" i="13"/>
  <c r="T78" i="13"/>
  <c r="T74" i="13"/>
  <c r="T70" i="13"/>
  <c r="T66" i="13"/>
  <c r="T62" i="13"/>
  <c r="T58" i="13"/>
  <c r="T54" i="13"/>
  <c r="T50" i="13"/>
  <c r="T46" i="13"/>
  <c r="T42" i="13"/>
  <c r="T89" i="13"/>
  <c r="T85" i="13"/>
  <c r="T81" i="13"/>
  <c r="T77" i="13"/>
  <c r="T73" i="13"/>
  <c r="T69" i="13"/>
  <c r="T65" i="13"/>
  <c r="T61" i="13"/>
  <c r="T57" i="13"/>
  <c r="T53" i="13"/>
  <c r="T49" i="13"/>
  <c r="T45" i="13"/>
  <c r="T88" i="13"/>
  <c r="T84" i="13"/>
  <c r="T80" i="13"/>
  <c r="T76" i="13"/>
  <c r="T72" i="13"/>
  <c r="T68" i="13"/>
  <c r="T64" i="13"/>
  <c r="T60" i="13"/>
  <c r="T56" i="13"/>
  <c r="T52" i="13"/>
  <c r="T48" i="13"/>
  <c r="T44" i="13"/>
  <c r="V60" i="13"/>
  <c r="V61" i="13"/>
  <c r="V58" i="13"/>
  <c r="V55" i="13"/>
  <c r="V64" i="13"/>
  <c r="V65" i="13"/>
  <c r="V62" i="13"/>
  <c r="V59" i="13"/>
  <c r="V68" i="13"/>
  <c r="V69" i="13"/>
  <c r="V66" i="13"/>
  <c r="V63" i="13"/>
  <c r="V72" i="13"/>
  <c r="V73" i="13"/>
  <c r="V70" i="13"/>
  <c r="V67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60" i="13"/>
  <c r="U48" i="13"/>
  <c r="U76" i="13"/>
  <c r="U72" i="13"/>
  <c r="U80" i="13"/>
  <c r="U84" i="13"/>
  <c r="U68" i="13"/>
  <c r="U56" i="13"/>
  <c r="U44" i="13"/>
  <c r="U88" i="13"/>
  <c r="U64" i="13"/>
  <c r="U52" i="13"/>
  <c r="V76" i="13"/>
  <c r="V77" i="13"/>
  <c r="V74" i="13"/>
  <c r="V71" i="13"/>
  <c r="V80" i="13"/>
  <c r="V81" i="13"/>
  <c r="V78" i="13"/>
  <c r="V84" i="13"/>
  <c r="V85" i="13"/>
  <c r="V82" i="13"/>
  <c r="V79" i="13"/>
  <c r="V88" i="13"/>
  <c r="V89" i="13"/>
  <c r="V86" i="13"/>
  <c r="V83" i="13"/>
  <c r="S44" i="13"/>
  <c r="AB1" i="12"/>
  <c r="K55" i="3"/>
  <c r="V44" i="13"/>
  <c r="V45" i="13"/>
  <c r="V42" i="13"/>
  <c r="V90" i="13"/>
  <c r="V43" i="12"/>
  <c r="V67" i="12"/>
  <c r="V57" i="12"/>
  <c r="V51" i="12"/>
  <c r="V47" i="12"/>
  <c r="AR2" i="12"/>
  <c r="V90" i="12"/>
  <c r="V66" i="12"/>
  <c r="V42" i="12"/>
  <c r="V77" i="12"/>
  <c r="V71" i="12"/>
  <c r="V88" i="12"/>
  <c r="V72" i="12"/>
  <c r="V56" i="12"/>
  <c r="V86" i="12"/>
  <c r="V62" i="12"/>
  <c r="V73" i="12"/>
  <c r="V53" i="12"/>
  <c r="U76" i="12"/>
  <c r="U72" i="12"/>
  <c r="U91" i="12"/>
  <c r="U87" i="12"/>
  <c r="U83" i="12"/>
  <c r="U79" i="12"/>
  <c r="U75" i="12"/>
  <c r="U71" i="12"/>
  <c r="U67" i="12"/>
  <c r="U63" i="12"/>
  <c r="U59" i="12"/>
  <c r="U55" i="12"/>
  <c r="U51" i="12"/>
  <c r="U47" i="12"/>
  <c r="U43" i="12"/>
  <c r="U90" i="12"/>
  <c r="U86" i="12"/>
  <c r="U82" i="12"/>
  <c r="U78" i="12"/>
  <c r="U74" i="12"/>
  <c r="U70" i="12"/>
  <c r="U66" i="12"/>
  <c r="U62" i="12"/>
  <c r="U58" i="12"/>
  <c r="U54" i="12"/>
  <c r="U50" i="12"/>
  <c r="U46" i="12"/>
  <c r="U42" i="12"/>
  <c r="U68" i="12"/>
  <c r="U56" i="12"/>
  <c r="U84" i="12"/>
  <c r="U88" i="12"/>
  <c r="U89" i="12"/>
  <c r="U85" i="12"/>
  <c r="U81" i="12"/>
  <c r="U77" i="12"/>
  <c r="U73" i="12"/>
  <c r="U69" i="12"/>
  <c r="U65" i="12"/>
  <c r="U61" i="12"/>
  <c r="U57" i="12"/>
  <c r="U53" i="12"/>
  <c r="U49" i="12"/>
  <c r="U45" i="12"/>
  <c r="U64" i="12"/>
  <c r="U60" i="12"/>
  <c r="U80" i="12"/>
  <c r="U52" i="12"/>
  <c r="U48" i="12"/>
  <c r="U44" i="12"/>
  <c r="V82" i="12"/>
  <c r="V58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V69" i="12"/>
  <c r="V84" i="12"/>
  <c r="V68" i="12"/>
  <c r="V52" i="12"/>
  <c r="V87" i="12"/>
  <c r="V63" i="12"/>
  <c r="V49" i="12"/>
  <c r="V78" i="12"/>
  <c r="V54" i="12"/>
  <c r="V89" i="12"/>
  <c r="V65" i="12"/>
  <c r="V83" i="12"/>
  <c r="V59" i="12"/>
  <c r="V80" i="12"/>
  <c r="V64" i="12"/>
  <c r="V48" i="12"/>
  <c r="V74" i="12"/>
  <c r="V50" i="12"/>
  <c r="V85" i="12"/>
  <c r="V61" i="12"/>
  <c r="V45" i="12"/>
  <c r="V79" i="12"/>
  <c r="V55" i="12"/>
  <c r="V70" i="12"/>
  <c r="V46" i="12"/>
  <c r="V81" i="12"/>
  <c r="V76" i="12"/>
  <c r="V60" i="12"/>
  <c r="V44" i="12"/>
  <c r="V91" i="12"/>
  <c r="V75" i="12"/>
  <c r="S44" i="12"/>
  <c r="AB1" i="11"/>
  <c r="K54" i="3"/>
  <c r="AE6" i="11"/>
  <c r="N54" i="3"/>
  <c r="AA6" i="6"/>
  <c r="V65" i="11"/>
  <c r="V89" i="11"/>
  <c r="V49" i="11"/>
  <c r="V42" i="11"/>
  <c r="V46" i="11"/>
  <c r="V58" i="11"/>
  <c r="V51" i="11"/>
  <c r="V90" i="11"/>
  <c r="V73" i="11"/>
  <c r="V52" i="11"/>
  <c r="V82" i="11"/>
  <c r="V66" i="11"/>
  <c r="AR8" i="11"/>
  <c r="B575" i="1" s="1"/>
  <c r="AR7" i="11"/>
  <c r="B574" i="1" s="1"/>
  <c r="AR6" i="11"/>
  <c r="B573" i="1" s="1"/>
  <c r="AR5" i="11"/>
  <c r="B572" i="1" s="1"/>
  <c r="AR15" i="11"/>
  <c r="B582" i="1" s="1"/>
  <c r="AR14" i="11"/>
  <c r="B581" i="1" s="1"/>
  <c r="AR13" i="11"/>
  <c r="B580" i="1" s="1"/>
  <c r="AR12" i="11"/>
  <c r="B579" i="1" s="1"/>
  <c r="AR11" i="11"/>
  <c r="B578" i="1" s="1"/>
  <c r="AR9" i="11"/>
  <c r="B576" i="1" s="1"/>
  <c r="AR10" i="11"/>
  <c r="B577" i="1" s="1"/>
  <c r="V71" i="11"/>
  <c r="V47" i="11"/>
  <c r="V67" i="11"/>
  <c r="V43" i="11"/>
  <c r="V80" i="11"/>
  <c r="V64" i="11"/>
  <c r="V48" i="11"/>
  <c r="V86" i="11"/>
  <c r="V62" i="11"/>
  <c r="T91" i="11"/>
  <c r="T87" i="11"/>
  <c r="T83" i="11"/>
  <c r="T79" i="11"/>
  <c r="T75" i="11"/>
  <c r="T71" i="11"/>
  <c r="T67" i="11"/>
  <c r="T63" i="11"/>
  <c r="T59" i="11"/>
  <c r="T55" i="11"/>
  <c r="T51" i="11"/>
  <c r="T47" i="11"/>
  <c r="T43" i="11"/>
  <c r="T90" i="11"/>
  <c r="T86" i="11"/>
  <c r="T82" i="11"/>
  <c r="T78" i="11"/>
  <c r="T74" i="11"/>
  <c r="T70" i="11"/>
  <c r="T66" i="11"/>
  <c r="T62" i="11"/>
  <c r="T58" i="11"/>
  <c r="T54" i="11"/>
  <c r="T50" i="11"/>
  <c r="T46" i="11"/>
  <c r="T42" i="11"/>
  <c r="T89" i="11"/>
  <c r="T85" i="11"/>
  <c r="T81" i="11"/>
  <c r="T77" i="11"/>
  <c r="T73" i="11"/>
  <c r="T69" i="11"/>
  <c r="T65" i="11"/>
  <c r="T61" i="11"/>
  <c r="T57" i="11"/>
  <c r="T53" i="11"/>
  <c r="T49" i="11"/>
  <c r="T45" i="11"/>
  <c r="T88" i="11"/>
  <c r="T84" i="11"/>
  <c r="T80" i="11"/>
  <c r="T76" i="11"/>
  <c r="T72" i="11"/>
  <c r="T68" i="11"/>
  <c r="T64" i="11"/>
  <c r="T60" i="11"/>
  <c r="T56" i="11"/>
  <c r="T52" i="11"/>
  <c r="T48" i="11"/>
  <c r="T44" i="11"/>
  <c r="V69" i="11"/>
  <c r="AA6" i="9"/>
  <c r="V87" i="11"/>
  <c r="V63" i="11"/>
  <c r="V45" i="11"/>
  <c r="V44" i="11"/>
  <c r="V91" i="11"/>
  <c r="V76" i="11"/>
  <c r="V60" i="11"/>
  <c r="V83" i="11"/>
  <c r="V59" i="11"/>
  <c r="V78" i="11"/>
  <c r="V54" i="11"/>
  <c r="V85" i="11"/>
  <c r="V61" i="11"/>
  <c r="U84" i="11"/>
  <c r="U91" i="11"/>
  <c r="U87" i="11"/>
  <c r="U83" i="11"/>
  <c r="U79" i="11"/>
  <c r="U75" i="11"/>
  <c r="U71" i="11"/>
  <c r="U67" i="11"/>
  <c r="U63" i="11"/>
  <c r="U59" i="11"/>
  <c r="U55" i="11"/>
  <c r="U51" i="11"/>
  <c r="U47" i="11"/>
  <c r="U43" i="11"/>
  <c r="U90" i="11"/>
  <c r="U86" i="11"/>
  <c r="U82" i="11"/>
  <c r="U78" i="11"/>
  <c r="U74" i="11"/>
  <c r="U70" i="11"/>
  <c r="U66" i="11"/>
  <c r="U62" i="11"/>
  <c r="U58" i="11"/>
  <c r="U54" i="11"/>
  <c r="U50" i="11"/>
  <c r="U46" i="11"/>
  <c r="U42" i="11"/>
  <c r="U64" i="11"/>
  <c r="U60" i="11"/>
  <c r="U56" i="11"/>
  <c r="U52" i="11"/>
  <c r="U89" i="11"/>
  <c r="U85" i="11"/>
  <c r="U81" i="11"/>
  <c r="U77" i="11"/>
  <c r="U73" i="11"/>
  <c r="U69" i="11"/>
  <c r="U65" i="11"/>
  <c r="U61" i="11"/>
  <c r="U57" i="11"/>
  <c r="U53" i="11"/>
  <c r="U49" i="11"/>
  <c r="U45" i="11"/>
  <c r="U68" i="11"/>
  <c r="U88" i="11"/>
  <c r="U80" i="11"/>
  <c r="U76" i="11"/>
  <c r="U72" i="11"/>
  <c r="U48" i="11"/>
  <c r="U44" i="11"/>
  <c r="S44" i="11"/>
  <c r="V79" i="11"/>
  <c r="V55" i="11"/>
  <c r="V88" i="11"/>
  <c r="V72" i="11"/>
  <c r="V56" i="11"/>
  <c r="V74" i="11"/>
  <c r="V50" i="11"/>
  <c r="V81" i="11"/>
  <c r="V57" i="11"/>
  <c r="V75" i="11"/>
  <c r="V70" i="11"/>
  <c r="V77" i="11"/>
  <c r="V53" i="11"/>
  <c r="V84" i="11"/>
  <c r="V68" i="11"/>
  <c r="AR2" i="10"/>
  <c r="AB1" i="6"/>
  <c r="K49" i="3"/>
  <c r="Q89" i="4"/>
  <c r="AA5" i="10"/>
  <c r="AE6" i="6"/>
  <c r="N49" i="3"/>
  <c r="AE6" i="8"/>
  <c r="N51" i="3"/>
  <c r="AB1" i="8"/>
  <c r="K51" i="3"/>
  <c r="AB1" i="9"/>
  <c r="K52" i="3"/>
  <c r="AA6" i="8"/>
  <c r="AB1" i="10"/>
  <c r="K53" i="3"/>
  <c r="AR5" i="5"/>
  <c r="AR6" i="5"/>
  <c r="AR7" i="5"/>
  <c r="AR8" i="5"/>
  <c r="AR9" i="5"/>
  <c r="AR10" i="5"/>
  <c r="AR11" i="5"/>
  <c r="AR12" i="5"/>
  <c r="AR13" i="5"/>
  <c r="AR14" i="5"/>
  <c r="AR15" i="5"/>
  <c r="AR14" i="10"/>
  <c r="B570" i="1" s="1"/>
  <c r="AR11" i="10"/>
  <c r="B567" i="1" s="1"/>
  <c r="AR8" i="10"/>
  <c r="B564" i="1" s="1"/>
  <c r="AR13" i="10"/>
  <c r="B569" i="1" s="1"/>
  <c r="AR12" i="10"/>
  <c r="B568" i="1" s="1"/>
  <c r="AR6" i="10"/>
  <c r="B562" i="1" s="1"/>
  <c r="AR7" i="10"/>
  <c r="B563" i="1" s="1"/>
  <c r="AR5" i="10"/>
  <c r="B561" i="1" s="1"/>
  <c r="AR9" i="10"/>
  <c r="B565" i="1" s="1"/>
  <c r="AR15" i="10"/>
  <c r="B571" i="1" s="1"/>
  <c r="AR10" i="10"/>
  <c r="B566" i="1" s="1"/>
  <c r="V55" i="10"/>
  <c r="U55" i="10"/>
  <c r="U88" i="10"/>
  <c r="T55" i="10"/>
  <c r="U43" i="10"/>
  <c r="U47" i="10"/>
  <c r="U54" i="10"/>
  <c r="U67" i="10"/>
  <c r="T83" i="10"/>
  <c r="T53" i="10"/>
  <c r="T79" i="10"/>
  <c r="V74" i="10"/>
  <c r="V56" i="10"/>
  <c r="T70" i="10"/>
  <c r="T81" i="10"/>
  <c r="U91" i="10"/>
  <c r="V73" i="10"/>
  <c r="T48" i="10"/>
  <c r="U77" i="10"/>
  <c r="T50" i="10"/>
  <c r="T63" i="10"/>
  <c r="T42" i="10"/>
  <c r="V80" i="10"/>
  <c r="T59" i="10"/>
  <c r="V50" i="10"/>
  <c r="T72" i="10"/>
  <c r="T57" i="10"/>
  <c r="T87" i="10"/>
  <c r="U53" i="10"/>
  <c r="V49" i="10"/>
  <c r="V75" i="10"/>
  <c r="V51" i="10"/>
  <c r="U51" i="10"/>
  <c r="U50" i="10"/>
  <c r="T73" i="10"/>
  <c r="T49" i="10"/>
  <c r="U84" i="10"/>
  <c r="V70" i="10"/>
  <c r="V46" i="10"/>
  <c r="U46" i="10"/>
  <c r="T90" i="10"/>
  <c r="T66" i="10"/>
  <c r="V69" i="10"/>
  <c r="V45" i="10"/>
  <c r="U73" i="10"/>
  <c r="U49" i="10"/>
  <c r="V76" i="10"/>
  <c r="V52" i="10"/>
  <c r="U80" i="10"/>
  <c r="T68" i="10"/>
  <c r="T44" i="10"/>
  <c r="V71" i="10"/>
  <c r="V47" i="10"/>
  <c r="U90" i="10"/>
  <c r="U42" i="10"/>
  <c r="V89" i="10"/>
  <c r="T69" i="10"/>
  <c r="T45" i="10"/>
  <c r="U76" i="10"/>
  <c r="U87" i="10"/>
  <c r="T75" i="10"/>
  <c r="T51" i="10"/>
  <c r="V90" i="10"/>
  <c r="V66" i="10"/>
  <c r="V42" i="10"/>
  <c r="U86" i="10"/>
  <c r="T86" i="10"/>
  <c r="T62" i="10"/>
  <c r="V65" i="10"/>
  <c r="U69" i="10"/>
  <c r="U45" i="10"/>
  <c r="V72" i="10"/>
  <c r="U72" i="10"/>
  <c r="T88" i="10"/>
  <c r="T64" i="10"/>
  <c r="V67" i="10"/>
  <c r="V43" i="10"/>
  <c r="U83" i="10"/>
  <c r="U82" i="10"/>
  <c r="T89" i="10"/>
  <c r="T65" i="10"/>
  <c r="V48" i="10"/>
  <c r="U68" i="10"/>
  <c r="U79" i="10"/>
  <c r="T71" i="10"/>
  <c r="T47" i="10"/>
  <c r="V86" i="10"/>
  <c r="V62" i="10"/>
  <c r="U78" i="10"/>
  <c r="T82" i="10"/>
  <c r="T58" i="10"/>
  <c r="V85" i="10"/>
  <c r="V61" i="10"/>
  <c r="U89" i="10"/>
  <c r="U65" i="10"/>
  <c r="V68" i="10"/>
  <c r="U64" i="10"/>
  <c r="T84" i="10"/>
  <c r="T60" i="10"/>
  <c r="V87" i="10"/>
  <c r="V63" i="10"/>
  <c r="U75" i="10"/>
  <c r="U74" i="10"/>
  <c r="T85" i="10"/>
  <c r="T61" i="10"/>
  <c r="U60" i="10"/>
  <c r="U71" i="10"/>
  <c r="T67" i="10"/>
  <c r="T43" i="10"/>
  <c r="V82" i="10"/>
  <c r="V58" i="10"/>
  <c r="U70" i="10"/>
  <c r="T78" i="10"/>
  <c r="T54" i="10"/>
  <c r="V81" i="10"/>
  <c r="V57" i="10"/>
  <c r="U85" i="10"/>
  <c r="U61" i="10"/>
  <c r="V88" i="10"/>
  <c r="V64" i="10"/>
  <c r="V44" i="10"/>
  <c r="U56" i="10"/>
  <c r="T80" i="10"/>
  <c r="T56" i="10"/>
  <c r="V83" i="10"/>
  <c r="V59" i="10"/>
  <c r="U66" i="10"/>
  <c r="U52" i="10"/>
  <c r="V91" i="10"/>
  <c r="U63" i="10"/>
  <c r="V78" i="10"/>
  <c r="V54" i="10"/>
  <c r="U62" i="10"/>
  <c r="T74" i="10"/>
  <c r="V77" i="10"/>
  <c r="V53" i="10"/>
  <c r="U81" i="10"/>
  <c r="U57" i="10"/>
  <c r="V84" i="10"/>
  <c r="V60" i="10"/>
  <c r="U48" i="10"/>
  <c r="T76" i="10"/>
  <c r="T52" i="10"/>
  <c r="T91" i="10"/>
  <c r="V79" i="10"/>
  <c r="U59" i="10"/>
  <c r="U58" i="10"/>
  <c r="T46" i="10"/>
  <c r="T77" i="10"/>
  <c r="U44" i="10"/>
  <c r="V86" i="9"/>
  <c r="V80" i="9"/>
  <c r="AR2" i="9"/>
  <c r="AR8" i="9"/>
  <c r="B553" i="1" s="1"/>
  <c r="AR7" i="9"/>
  <c r="B552" i="1" s="1"/>
  <c r="AR6" i="9"/>
  <c r="B551" i="1" s="1"/>
  <c r="AR5" i="9"/>
  <c r="B550" i="1" s="1"/>
  <c r="AR15" i="9"/>
  <c r="B560" i="1" s="1"/>
  <c r="AR14" i="9"/>
  <c r="B559" i="1" s="1"/>
  <c r="AR13" i="9"/>
  <c r="B558" i="1" s="1"/>
  <c r="AR10" i="9"/>
  <c r="B555" i="1" s="1"/>
  <c r="AR12" i="9"/>
  <c r="B557" i="1" s="1"/>
  <c r="AR11" i="9"/>
  <c r="B556" i="1" s="1"/>
  <c r="AR9" i="9"/>
  <c r="B554" i="1" s="1"/>
  <c r="V79" i="9"/>
  <c r="V55" i="9"/>
  <c r="T48" i="9"/>
  <c r="T84" i="9"/>
  <c r="T76" i="9"/>
  <c r="T60" i="9"/>
  <c r="T44" i="9"/>
  <c r="T91" i="9"/>
  <c r="T87" i="9"/>
  <c r="T83" i="9"/>
  <c r="T79" i="9"/>
  <c r="T75" i="9"/>
  <c r="T71" i="9"/>
  <c r="T67" i="9"/>
  <c r="T63" i="9"/>
  <c r="T59" i="9"/>
  <c r="T55" i="9"/>
  <c r="T51" i="9"/>
  <c r="T47" i="9"/>
  <c r="T43" i="9"/>
  <c r="T56" i="9"/>
  <c r="T52" i="9"/>
  <c r="T90" i="9"/>
  <c r="T86" i="9"/>
  <c r="T82" i="9"/>
  <c r="T78" i="9"/>
  <c r="T74" i="9"/>
  <c r="T70" i="9"/>
  <c r="T66" i="9"/>
  <c r="T62" i="9"/>
  <c r="T58" i="9"/>
  <c r="T54" i="9"/>
  <c r="T50" i="9"/>
  <c r="T46" i="9"/>
  <c r="T42" i="9"/>
  <c r="T88" i="9"/>
  <c r="T80" i="9"/>
  <c r="T72" i="9"/>
  <c r="T89" i="9"/>
  <c r="T85" i="9"/>
  <c r="T81" i="9"/>
  <c r="T77" i="9"/>
  <c r="T73" i="9"/>
  <c r="T69" i="9"/>
  <c r="T65" i="9"/>
  <c r="T61" i="9"/>
  <c r="T57" i="9"/>
  <c r="T53" i="9"/>
  <c r="T49" i="9"/>
  <c r="T45" i="9"/>
  <c r="T68" i="9"/>
  <c r="T64" i="9"/>
  <c r="V60" i="9"/>
  <c r="V44" i="9"/>
  <c r="V76" i="9"/>
  <c r="S44" i="9"/>
  <c r="V82" i="9"/>
  <c r="V75" i="9"/>
  <c r="V51" i="9"/>
  <c r="V77" i="9"/>
  <c r="V61" i="9"/>
  <c r="V45" i="9"/>
  <c r="V58" i="9"/>
  <c r="V78" i="9"/>
  <c r="V54" i="9"/>
  <c r="V72" i="9"/>
  <c r="V56" i="9"/>
  <c r="V71" i="9"/>
  <c r="V47" i="9"/>
  <c r="U91" i="9"/>
  <c r="U87" i="9"/>
  <c r="U83" i="9"/>
  <c r="U79" i="9"/>
  <c r="U75" i="9"/>
  <c r="U71" i="9"/>
  <c r="U67" i="9"/>
  <c r="U63" i="9"/>
  <c r="U59" i="9"/>
  <c r="U55" i="9"/>
  <c r="U51" i="9"/>
  <c r="U47" i="9"/>
  <c r="U43" i="9"/>
  <c r="U84" i="9"/>
  <c r="U90" i="9"/>
  <c r="U86" i="9"/>
  <c r="U82" i="9"/>
  <c r="U78" i="9"/>
  <c r="U74" i="9"/>
  <c r="U70" i="9"/>
  <c r="U66" i="9"/>
  <c r="U62" i="9"/>
  <c r="U58" i="9"/>
  <c r="U54" i="9"/>
  <c r="U50" i="9"/>
  <c r="U46" i="9"/>
  <c r="U42" i="9"/>
  <c r="U60" i="9"/>
  <c r="U56" i="9"/>
  <c r="U52" i="9"/>
  <c r="U48" i="9"/>
  <c r="U44" i="9"/>
  <c r="U89" i="9"/>
  <c r="U85" i="9"/>
  <c r="U81" i="9"/>
  <c r="U77" i="9"/>
  <c r="U73" i="9"/>
  <c r="U69" i="9"/>
  <c r="U65" i="9"/>
  <c r="U61" i="9"/>
  <c r="U57" i="9"/>
  <c r="U53" i="9"/>
  <c r="U49" i="9"/>
  <c r="U45" i="9"/>
  <c r="U76" i="9"/>
  <c r="U72" i="9"/>
  <c r="U68" i="9"/>
  <c r="U88" i="9"/>
  <c r="U64" i="9"/>
  <c r="U80" i="9"/>
  <c r="V74" i="9"/>
  <c r="V50" i="9"/>
  <c r="V73" i="9"/>
  <c r="V57" i="9"/>
  <c r="V67" i="9"/>
  <c r="V43" i="9"/>
  <c r="V89" i="9"/>
  <c r="V68" i="9"/>
  <c r="V52" i="9"/>
  <c r="V70" i="9"/>
  <c r="V46" i="9"/>
  <c r="V88" i="9"/>
  <c r="V87" i="9"/>
  <c r="V63" i="9"/>
  <c r="V85" i="9"/>
  <c r="V69" i="9"/>
  <c r="V53" i="9"/>
  <c r="V91" i="9"/>
  <c r="V64" i="8"/>
  <c r="V90" i="9"/>
  <c r="V66" i="9"/>
  <c r="V42" i="9"/>
  <c r="V84" i="9"/>
  <c r="V64" i="9"/>
  <c r="V48" i="9"/>
  <c r="V83" i="9"/>
  <c r="V59" i="9"/>
  <c r="V62" i="9"/>
  <c r="V81" i="9"/>
  <c r="V65" i="9"/>
  <c r="V49" i="9"/>
  <c r="V67" i="8"/>
  <c r="V43" i="8"/>
  <c r="V78" i="8"/>
  <c r="V75" i="8"/>
  <c r="V74" i="8"/>
  <c r="V48" i="8"/>
  <c r="V49" i="8"/>
  <c r="V80" i="8"/>
  <c r="V59" i="8"/>
  <c r="V54" i="8"/>
  <c r="V51" i="8"/>
  <c r="V50" i="8"/>
  <c r="V47" i="8"/>
  <c r="V46" i="8"/>
  <c r="AR2" i="8"/>
  <c r="AR8" i="8"/>
  <c r="B542" i="1" s="1"/>
  <c r="AR7" i="8"/>
  <c r="B541" i="1" s="1"/>
  <c r="AR6" i="8"/>
  <c r="B540" i="1" s="1"/>
  <c r="AR5" i="8"/>
  <c r="B539" i="1" s="1"/>
  <c r="AR15" i="8"/>
  <c r="B549" i="1" s="1"/>
  <c r="AR14" i="8"/>
  <c r="B548" i="1" s="1"/>
  <c r="AR13" i="8"/>
  <c r="B547" i="1" s="1"/>
  <c r="AR12" i="8"/>
  <c r="B546" i="1" s="1"/>
  <c r="AR11" i="8"/>
  <c r="B545" i="1" s="1"/>
  <c r="AR10" i="8"/>
  <c r="B544" i="1" s="1"/>
  <c r="AR9" i="8"/>
  <c r="B543" i="1" s="1"/>
  <c r="V86" i="8"/>
  <c r="V62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90" i="8"/>
  <c r="T86" i="8"/>
  <c r="T82" i="8"/>
  <c r="T78" i="8"/>
  <c r="T74" i="8"/>
  <c r="T70" i="8"/>
  <c r="T66" i="8"/>
  <c r="T62" i="8"/>
  <c r="T58" i="8"/>
  <c r="T54" i="8"/>
  <c r="T50" i="8"/>
  <c r="T46" i="8"/>
  <c r="T42" i="8"/>
  <c r="T89" i="8"/>
  <c r="T85" i="8"/>
  <c r="T81" i="8"/>
  <c r="T77" i="8"/>
  <c r="T73" i="8"/>
  <c r="T69" i="8"/>
  <c r="T65" i="8"/>
  <c r="T61" i="8"/>
  <c r="T57" i="8"/>
  <c r="T53" i="8"/>
  <c r="T49" i="8"/>
  <c r="T45" i="8"/>
  <c r="T88" i="8"/>
  <c r="T84" i="8"/>
  <c r="T80" i="8"/>
  <c r="T76" i="8"/>
  <c r="T72" i="8"/>
  <c r="T68" i="8"/>
  <c r="T64" i="8"/>
  <c r="T60" i="8"/>
  <c r="T56" i="8"/>
  <c r="T52" i="8"/>
  <c r="T48" i="8"/>
  <c r="T44" i="8"/>
  <c r="V88" i="8"/>
  <c r="V72" i="8"/>
  <c r="V56" i="8"/>
  <c r="V69" i="8"/>
  <c r="V45" i="8"/>
  <c r="U91" i="8"/>
  <c r="U87" i="8"/>
  <c r="U83" i="8"/>
  <c r="U79" i="8"/>
  <c r="U75" i="8"/>
  <c r="U71" i="8"/>
  <c r="U67" i="8"/>
  <c r="U63" i="8"/>
  <c r="U59" i="8"/>
  <c r="U55" i="8"/>
  <c r="U51" i="8"/>
  <c r="U47" i="8"/>
  <c r="U43" i="8"/>
  <c r="U90" i="8"/>
  <c r="U86" i="8"/>
  <c r="U82" i="8"/>
  <c r="U78" i="8"/>
  <c r="U74" i="8"/>
  <c r="U70" i="8"/>
  <c r="U66" i="8"/>
  <c r="U62" i="8"/>
  <c r="U58" i="8"/>
  <c r="U54" i="8"/>
  <c r="U50" i="8"/>
  <c r="U46" i="8"/>
  <c r="U42" i="8"/>
  <c r="U48" i="8"/>
  <c r="U44" i="8"/>
  <c r="U89" i="8"/>
  <c r="U85" i="8"/>
  <c r="U81" i="8"/>
  <c r="U77" i="8"/>
  <c r="U73" i="8"/>
  <c r="U69" i="8"/>
  <c r="U65" i="8"/>
  <c r="U61" i="8"/>
  <c r="U57" i="8"/>
  <c r="U53" i="8"/>
  <c r="U49" i="8"/>
  <c r="U45" i="8"/>
  <c r="U72" i="8"/>
  <c r="U68" i="8"/>
  <c r="U64" i="8"/>
  <c r="U60" i="8"/>
  <c r="U56" i="8"/>
  <c r="U88" i="8"/>
  <c r="U84" i="8"/>
  <c r="U80" i="8"/>
  <c r="U76" i="8"/>
  <c r="U52" i="8"/>
  <c r="V82" i="8"/>
  <c r="V58" i="8"/>
  <c r="V87" i="8"/>
  <c r="V63" i="8"/>
  <c r="V89" i="8"/>
  <c r="V65" i="8"/>
  <c r="V84" i="8"/>
  <c r="V68" i="8"/>
  <c r="V52" i="8"/>
  <c r="V83" i="8"/>
  <c r="V85" i="8"/>
  <c r="V61" i="8"/>
  <c r="V79" i="8"/>
  <c r="V55" i="8"/>
  <c r="V81" i="8"/>
  <c r="V57" i="8"/>
  <c r="V70" i="8"/>
  <c r="V77" i="8"/>
  <c r="V53" i="8"/>
  <c r="V76" i="8"/>
  <c r="V60" i="8"/>
  <c r="V44" i="8"/>
  <c r="V90" i="8"/>
  <c r="V66" i="8"/>
  <c r="V42" i="8"/>
  <c r="S44" i="8"/>
  <c r="V91" i="8"/>
  <c r="V71" i="8"/>
  <c r="V73" i="8"/>
  <c r="V75" i="7"/>
  <c r="V51" i="7"/>
  <c r="V56" i="7"/>
  <c r="V55" i="7"/>
  <c r="AR2" i="7"/>
  <c r="AR8" i="7"/>
  <c r="B531" i="1" s="1"/>
  <c r="AR7" i="7"/>
  <c r="B530" i="1" s="1"/>
  <c r="AR6" i="7"/>
  <c r="B529" i="1" s="1"/>
  <c r="AR5" i="7"/>
  <c r="B528" i="1" s="1"/>
  <c r="AR15" i="7"/>
  <c r="B538" i="1" s="1"/>
  <c r="AR14" i="7"/>
  <c r="B537" i="1" s="1"/>
  <c r="AR13" i="7"/>
  <c r="B536" i="1" s="1"/>
  <c r="AR12" i="7"/>
  <c r="B535" i="1" s="1"/>
  <c r="AR11" i="7"/>
  <c r="B534" i="1" s="1"/>
  <c r="AR10" i="7"/>
  <c r="B533" i="1" s="1"/>
  <c r="AR9" i="7"/>
  <c r="B532" i="1" s="1"/>
  <c r="V47" i="7"/>
  <c r="V53" i="7"/>
  <c r="V90" i="7"/>
  <c r="V66" i="7"/>
  <c r="V42" i="7"/>
  <c r="V73" i="7"/>
  <c r="V57" i="7"/>
  <c r="V88" i="7"/>
  <c r="V72" i="7"/>
  <c r="V86" i="7"/>
  <c r="V62" i="7"/>
  <c r="V89" i="7"/>
  <c r="U91" i="7"/>
  <c r="U87" i="7"/>
  <c r="U83" i="7"/>
  <c r="U79" i="7"/>
  <c r="U75" i="7"/>
  <c r="U71" i="7"/>
  <c r="U67" i="7"/>
  <c r="U63" i="7"/>
  <c r="U59" i="7"/>
  <c r="U55" i="7"/>
  <c r="U51" i="7"/>
  <c r="U47" i="7"/>
  <c r="U43" i="7"/>
  <c r="U60" i="7"/>
  <c r="U90" i="7"/>
  <c r="U86" i="7"/>
  <c r="U82" i="7"/>
  <c r="U78" i="7"/>
  <c r="U74" i="7"/>
  <c r="U70" i="7"/>
  <c r="U66" i="7"/>
  <c r="U62" i="7"/>
  <c r="U58" i="7"/>
  <c r="U54" i="7"/>
  <c r="U50" i="7"/>
  <c r="U46" i="7"/>
  <c r="U42" i="7"/>
  <c r="U56" i="7"/>
  <c r="U52" i="7"/>
  <c r="U89" i="7"/>
  <c r="U85" i="7"/>
  <c r="U81" i="7"/>
  <c r="U77" i="7"/>
  <c r="U73" i="7"/>
  <c r="U69" i="7"/>
  <c r="U65" i="7"/>
  <c r="U61" i="7"/>
  <c r="U57" i="7"/>
  <c r="U53" i="7"/>
  <c r="U49" i="7"/>
  <c r="U45" i="7"/>
  <c r="U68" i="7"/>
  <c r="U72" i="7"/>
  <c r="U48" i="7"/>
  <c r="U44" i="7"/>
  <c r="U88" i="7"/>
  <c r="U84" i="7"/>
  <c r="U80" i="7"/>
  <c r="U76" i="7"/>
  <c r="U64" i="7"/>
  <c r="V82" i="7"/>
  <c r="V58" i="7"/>
  <c r="V85" i="7"/>
  <c r="V84" i="7"/>
  <c r="V68" i="7"/>
  <c r="V52" i="7"/>
  <c r="V71" i="7"/>
  <c r="V67" i="7"/>
  <c r="V43" i="7"/>
  <c r="V69" i="7"/>
  <c r="V78" i="7"/>
  <c r="V54" i="7"/>
  <c r="V81" i="7"/>
  <c r="V65" i="7"/>
  <c r="V49" i="7"/>
  <c r="V87" i="7"/>
  <c r="V63" i="7"/>
  <c r="V80" i="7"/>
  <c r="V64" i="7"/>
  <c r="V48" i="7"/>
  <c r="V74" i="7"/>
  <c r="V50" i="7"/>
  <c r="V83" i="7"/>
  <c r="V59" i="7"/>
  <c r="V77" i="7"/>
  <c r="V61" i="7"/>
  <c r="V45" i="7"/>
  <c r="V70" i="7"/>
  <c r="V46" i="7"/>
  <c r="V76" i="7"/>
  <c r="V60" i="7"/>
  <c r="V44" i="7"/>
  <c r="V91" i="7"/>
  <c r="V79" i="7"/>
  <c r="T91" i="7"/>
  <c r="T87" i="7"/>
  <c r="T83" i="7"/>
  <c r="T79" i="7"/>
  <c r="T75" i="7"/>
  <c r="T71" i="7"/>
  <c r="T67" i="7"/>
  <c r="T63" i="7"/>
  <c r="T59" i="7"/>
  <c r="T55" i="7"/>
  <c r="T51" i="7"/>
  <c r="T47" i="7"/>
  <c r="T43" i="7"/>
  <c r="T90" i="7"/>
  <c r="T86" i="7"/>
  <c r="T82" i="7"/>
  <c r="T78" i="7"/>
  <c r="T74" i="7"/>
  <c r="T70" i="7"/>
  <c r="T66" i="7"/>
  <c r="T62" i="7"/>
  <c r="T58" i="7"/>
  <c r="T54" i="7"/>
  <c r="T50" i="7"/>
  <c r="T46" i="7"/>
  <c r="T42" i="7"/>
  <c r="T89" i="7"/>
  <c r="T85" i="7"/>
  <c r="T81" i="7"/>
  <c r="T77" i="7"/>
  <c r="T73" i="7"/>
  <c r="T69" i="7"/>
  <c r="T65" i="7"/>
  <c r="T61" i="7"/>
  <c r="T57" i="7"/>
  <c r="T53" i="7"/>
  <c r="T49" i="7"/>
  <c r="T45" i="7"/>
  <c r="T88" i="7"/>
  <c r="T84" i="7"/>
  <c r="T80" i="7"/>
  <c r="T76" i="7"/>
  <c r="T72" i="7"/>
  <c r="T68" i="7"/>
  <c r="T64" i="7"/>
  <c r="T60" i="7"/>
  <c r="T56" i="7"/>
  <c r="T52" i="7"/>
  <c r="T48" i="7"/>
  <c r="T44" i="7"/>
  <c r="S44" i="7"/>
  <c r="V88" i="6"/>
  <c r="V48" i="6"/>
  <c r="V52" i="6"/>
  <c r="AR2" i="6"/>
  <c r="AR8" i="6"/>
  <c r="B520" i="1" s="1"/>
  <c r="AR7" i="6"/>
  <c r="B519" i="1" s="1"/>
  <c r="AR6" i="6"/>
  <c r="B518" i="1" s="1"/>
  <c r="AR9" i="6"/>
  <c r="B521" i="1" s="1"/>
  <c r="AR5" i="6"/>
  <c r="B517" i="1" s="1"/>
  <c r="AR15" i="6"/>
  <c r="B527" i="1" s="1"/>
  <c r="AR14" i="6"/>
  <c r="B526" i="1" s="1"/>
  <c r="AR13" i="6"/>
  <c r="B525" i="1" s="1"/>
  <c r="AR12" i="6"/>
  <c r="B524" i="1" s="1"/>
  <c r="AR11" i="6"/>
  <c r="B523" i="1" s="1"/>
  <c r="AR10" i="6"/>
  <c r="B522" i="1" s="1"/>
  <c r="V87" i="6"/>
  <c r="V46" i="6"/>
  <c r="V89" i="6"/>
  <c r="V51" i="6"/>
  <c r="V77" i="6"/>
  <c r="V67" i="6"/>
  <c r="V43" i="6"/>
  <c r="V74" i="6"/>
  <c r="V50" i="6"/>
  <c r="V69" i="6"/>
  <c r="V45" i="6"/>
  <c r="V80" i="6"/>
  <c r="V83" i="6"/>
  <c r="V59" i="6"/>
  <c r="V90" i="6"/>
  <c r="V66" i="6"/>
  <c r="V42" i="6"/>
  <c r="V85" i="6"/>
  <c r="V61" i="6"/>
  <c r="V64" i="6"/>
  <c r="V76" i="6"/>
  <c r="V60" i="6"/>
  <c r="V44" i="6"/>
  <c r="V79" i="6"/>
  <c r="V55" i="6"/>
  <c r="V86" i="6"/>
  <c r="V62" i="6"/>
  <c r="T68" i="6"/>
  <c r="T48" i="6"/>
  <c r="T44" i="6"/>
  <c r="T91" i="6"/>
  <c r="T87" i="6"/>
  <c r="T83" i="6"/>
  <c r="T79" i="6"/>
  <c r="T75" i="6"/>
  <c r="T71" i="6"/>
  <c r="T67" i="6"/>
  <c r="T63" i="6"/>
  <c r="T59" i="6"/>
  <c r="T55" i="6"/>
  <c r="T51" i="6"/>
  <c r="T47" i="6"/>
  <c r="T43" i="6"/>
  <c r="T56" i="6"/>
  <c r="T52" i="6"/>
  <c r="T72" i="6"/>
  <c r="T90" i="6"/>
  <c r="T86" i="6"/>
  <c r="T82" i="6"/>
  <c r="T78" i="6"/>
  <c r="T74" i="6"/>
  <c r="T70" i="6"/>
  <c r="T66" i="6"/>
  <c r="T62" i="6"/>
  <c r="T58" i="6"/>
  <c r="T54" i="6"/>
  <c r="T50" i="6"/>
  <c r="T46" i="6"/>
  <c r="T42" i="6"/>
  <c r="T84" i="6"/>
  <c r="T64" i="6"/>
  <c r="T60" i="6"/>
  <c r="T89" i="6"/>
  <c r="T85" i="6"/>
  <c r="T81" i="6"/>
  <c r="T77" i="6"/>
  <c r="T73" i="6"/>
  <c r="T69" i="6"/>
  <c r="T65" i="6"/>
  <c r="T61" i="6"/>
  <c r="T57" i="6"/>
  <c r="T53" i="6"/>
  <c r="T49" i="6"/>
  <c r="T45" i="6"/>
  <c r="T88" i="6"/>
  <c r="T76" i="6"/>
  <c r="T80" i="6"/>
  <c r="V81" i="6"/>
  <c r="V57" i="6"/>
  <c r="S44" i="6"/>
  <c r="V70" i="6"/>
  <c r="V65" i="6"/>
  <c r="S44" i="5"/>
  <c r="V56" i="6"/>
  <c r="U91" i="6"/>
  <c r="U87" i="6"/>
  <c r="U83" i="6"/>
  <c r="U79" i="6"/>
  <c r="U75" i="6"/>
  <c r="U71" i="6"/>
  <c r="U67" i="6"/>
  <c r="U63" i="6"/>
  <c r="U59" i="6"/>
  <c r="U55" i="6"/>
  <c r="U51" i="6"/>
  <c r="U47" i="6"/>
  <c r="U43" i="6"/>
  <c r="U90" i="6"/>
  <c r="U86" i="6"/>
  <c r="U82" i="6"/>
  <c r="U78" i="6"/>
  <c r="U74" i="6"/>
  <c r="U70" i="6"/>
  <c r="U66" i="6"/>
  <c r="U62" i="6"/>
  <c r="U58" i="6"/>
  <c r="U54" i="6"/>
  <c r="U50" i="6"/>
  <c r="U46" i="6"/>
  <c r="U42" i="6"/>
  <c r="U89" i="6"/>
  <c r="U85" i="6"/>
  <c r="U81" i="6"/>
  <c r="U77" i="6"/>
  <c r="U73" i="6"/>
  <c r="U69" i="6"/>
  <c r="U65" i="6"/>
  <c r="U61" i="6"/>
  <c r="U57" i="6"/>
  <c r="U53" i="6"/>
  <c r="U49" i="6"/>
  <c r="U45" i="6"/>
  <c r="U88" i="6"/>
  <c r="U84" i="6"/>
  <c r="U80" i="6"/>
  <c r="U76" i="6"/>
  <c r="U72" i="6"/>
  <c r="U68" i="6"/>
  <c r="U64" i="6"/>
  <c r="U60" i="6"/>
  <c r="U56" i="6"/>
  <c r="U52" i="6"/>
  <c r="U48" i="6"/>
  <c r="U44" i="6"/>
  <c r="V63" i="6"/>
  <c r="V75" i="6"/>
  <c r="V82" i="6"/>
  <c r="V72" i="6"/>
  <c r="V71" i="6"/>
  <c r="V47" i="6"/>
  <c r="V78" i="6"/>
  <c r="V54" i="6"/>
  <c r="V73" i="6"/>
  <c r="V49" i="6"/>
  <c r="V91" i="6"/>
  <c r="V58" i="6"/>
  <c r="V53" i="6"/>
  <c r="V84" i="6"/>
  <c r="V68" i="6"/>
  <c r="AR2" i="5"/>
  <c r="V86" i="5"/>
  <c r="V61" i="5"/>
  <c r="V73" i="5"/>
  <c r="V43" i="5"/>
  <c r="V82" i="5"/>
  <c r="V76" i="5"/>
  <c r="V70" i="5"/>
  <c r="V83" i="5"/>
  <c r="V57" i="5"/>
  <c r="T64" i="5"/>
  <c r="V58" i="5"/>
  <c r="V63" i="5"/>
  <c r="V84" i="5"/>
  <c r="V60" i="5"/>
  <c r="V78" i="5"/>
  <c r="V42" i="5"/>
  <c r="V50" i="5"/>
  <c r="V87" i="5"/>
  <c r="V75" i="5"/>
  <c r="V53" i="5"/>
  <c r="V51" i="5"/>
  <c r="V45" i="5"/>
  <c r="V79" i="5"/>
  <c r="V56" i="5"/>
  <c r="V47" i="5"/>
  <c r="V69" i="5"/>
  <c r="V88" i="5"/>
  <c r="V90" i="5"/>
  <c r="V68" i="5"/>
  <c r="V55" i="5"/>
  <c r="V54" i="5"/>
  <c r="V67" i="5"/>
  <c r="U51" i="5"/>
  <c r="V81" i="5"/>
  <c r="V77" i="5"/>
  <c r="V44" i="5"/>
  <c r="V49" i="5"/>
  <c r="U80" i="5"/>
  <c r="U85" i="5"/>
  <c r="U71" i="5"/>
  <c r="V64" i="5"/>
  <c r="U74" i="5"/>
  <c r="U55" i="5"/>
  <c r="U54" i="5"/>
  <c r="U62" i="5"/>
  <c r="U89" i="5"/>
  <c r="T72" i="5"/>
  <c r="V66" i="5"/>
  <c r="U65" i="5"/>
  <c r="U81" i="5"/>
  <c r="U87" i="5"/>
  <c r="U78" i="5"/>
  <c r="U59" i="5"/>
  <c r="U58" i="5"/>
  <c r="U69" i="5"/>
  <c r="U61" i="5"/>
  <c r="U73" i="5"/>
  <c r="U47" i="5"/>
  <c r="U43" i="5"/>
  <c r="U46" i="5"/>
  <c r="T63" i="5"/>
  <c r="T69" i="5"/>
  <c r="U60" i="5"/>
  <c r="U76" i="5"/>
  <c r="U66" i="5"/>
  <c r="U79" i="5"/>
  <c r="V52" i="5"/>
  <c r="V91" i="5"/>
  <c r="V74" i="5"/>
  <c r="V65" i="5"/>
  <c r="U67" i="5"/>
  <c r="T70" i="5"/>
  <c r="U63" i="5"/>
  <c r="V62" i="5"/>
  <c r="V72" i="5"/>
  <c r="V48" i="5"/>
  <c r="V85" i="5"/>
  <c r="U75" i="5"/>
  <c r="V59" i="5"/>
  <c r="V46" i="5"/>
  <c r="U49" i="5"/>
  <c r="U68" i="5"/>
  <c r="T82" i="5"/>
  <c r="V71" i="5"/>
  <c r="T67" i="5"/>
  <c r="U70" i="5"/>
  <c r="T74" i="5"/>
  <c r="T73" i="5"/>
  <c r="V80" i="5"/>
  <c r="U72" i="5"/>
  <c r="T68" i="5"/>
  <c r="U56" i="5"/>
  <c r="T59" i="5"/>
  <c r="T66" i="5"/>
  <c r="T65" i="5"/>
  <c r="U64" i="5"/>
  <c r="T60" i="5"/>
  <c r="T56" i="5"/>
  <c r="T51" i="5"/>
  <c r="T58" i="5"/>
  <c r="U57" i="5"/>
  <c r="T57" i="5"/>
  <c r="U52" i="5"/>
  <c r="T52" i="5"/>
  <c r="T47" i="5"/>
  <c r="U50" i="5"/>
  <c r="T50" i="5"/>
  <c r="U53" i="5"/>
  <c r="T53" i="5"/>
  <c r="U48" i="5"/>
  <c r="T48" i="5"/>
  <c r="T54" i="5"/>
  <c r="T49" i="5"/>
  <c r="U44" i="5"/>
  <c r="T44" i="5"/>
  <c r="T79" i="5"/>
  <c r="T91" i="5"/>
  <c r="U90" i="5"/>
  <c r="U42" i="5"/>
  <c r="T42" i="5"/>
  <c r="U45" i="5"/>
  <c r="T45" i="5"/>
  <c r="T88" i="5"/>
  <c r="T55" i="5"/>
  <c r="T62" i="5"/>
  <c r="T61" i="5"/>
  <c r="T46" i="5"/>
  <c r="T87" i="5"/>
  <c r="U86" i="5"/>
  <c r="T90" i="5"/>
  <c r="V89" i="5"/>
  <c r="T89" i="5"/>
  <c r="U88" i="5"/>
  <c r="T84" i="5"/>
  <c r="U83" i="5"/>
  <c r="T83" i="5"/>
  <c r="U82" i="5"/>
  <c r="T86" i="5"/>
  <c r="T85" i="5"/>
  <c r="U84" i="5"/>
  <c r="T80" i="5"/>
  <c r="T43" i="5"/>
  <c r="U91" i="5"/>
  <c r="T75" i="5"/>
  <c r="T81" i="5"/>
  <c r="T76" i="5"/>
  <c r="T71" i="5"/>
  <c r="T78" i="5"/>
  <c r="U77" i="5"/>
  <c r="T77" i="5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6" i="3"/>
  <c r="AS5" i="17" a="1"/>
  <c r="AS11" i="17" a="1"/>
  <c r="AS8" i="8" a="1"/>
  <c r="AS13" i="7" a="1"/>
  <c r="AU7" i="5" a="1"/>
  <c r="AS11" i="5" a="1"/>
  <c r="AT13" i="5" a="1"/>
  <c r="AS12" i="7" a="1"/>
  <c r="AS12" i="10" a="1"/>
  <c r="AU7" i="7" a="1"/>
  <c r="AU7" i="11" a="1"/>
  <c r="AS9" i="11" a="1"/>
  <c r="AT5" i="11" a="1"/>
  <c r="AU10" i="11" a="1"/>
  <c r="AS11" i="8" a="1"/>
  <c r="AU14" i="5" a="1"/>
  <c r="AT7" i="8" a="1"/>
  <c r="AT7" i="6" a="1"/>
  <c r="AS6" i="6" a="1"/>
  <c r="AS10" i="7" a="1"/>
  <c r="AU6" i="5" a="1"/>
  <c r="AT11" i="6" a="1"/>
  <c r="AT8" i="9" a="1"/>
  <c r="AT9" i="5" a="1"/>
  <c r="AU6" i="6" a="1"/>
  <c r="AT15" i="10" a="1"/>
  <c r="AU12" i="17" a="1"/>
  <c r="AR5" i="15" a="1"/>
  <c r="AR16" i="17" a="1"/>
  <c r="AT15" i="17" a="1"/>
  <c r="AU11" i="17" a="1"/>
  <c r="AS6" i="8" a="1"/>
  <c r="AT9" i="8" a="1"/>
  <c r="AR16" i="15" a="1"/>
  <c r="AT7" i="7" a="1"/>
  <c r="AT10" i="9" a="1"/>
  <c r="AS11" i="9" a="1"/>
  <c r="AU11" i="9" a="1"/>
  <c r="AS12" i="5" a="1"/>
  <c r="AT11" i="8" a="1"/>
  <c r="AU14" i="7" a="1"/>
  <c r="AU8" i="11" a="1"/>
  <c r="AU10" i="7" a="1"/>
  <c r="AS7" i="8" a="1"/>
  <c r="AS14" i="8" a="1"/>
  <c r="AU13" i="10" a="1"/>
  <c r="AT5" i="9" a="1"/>
  <c r="AU9" i="9" a="1"/>
  <c r="AS8" i="10" a="1"/>
  <c r="AT15" i="5" a="1"/>
  <c r="AT15" i="6" a="1"/>
  <c r="AS7" i="11" a="1"/>
  <c r="AU14" i="11" a="1"/>
  <c r="AU12" i="10" a="1"/>
  <c r="AU14" i="10" a="1"/>
  <c r="AS14" i="10" a="1"/>
  <c r="AT8" i="8" a="1"/>
  <c r="AU9" i="8" a="1"/>
  <c r="AS10" i="11" a="1"/>
  <c r="AT15" i="11" a="1"/>
  <c r="AS13" i="8" a="1"/>
  <c r="AU11" i="10" a="1"/>
  <c r="AU7" i="9" a="1"/>
  <c r="AS7" i="6" a="1"/>
  <c r="AS10" i="6" a="1"/>
  <c r="AR16" i="16" a="1"/>
  <c r="AT8" i="7" a="1"/>
  <c r="AR5" i="14" a="1"/>
  <c r="AS7" i="7" a="1"/>
  <c r="AR16" i="6" a="1"/>
  <c r="AU6" i="11" a="1"/>
  <c r="AT13" i="7" a="1"/>
  <c r="AU6" i="17" a="1"/>
  <c r="AT8" i="6" a="1"/>
  <c r="AS14" i="11" a="1"/>
  <c r="AS14" i="6" a="1"/>
  <c r="AT8" i="17" a="1"/>
  <c r="AT14" i="17" a="1"/>
  <c r="AT9" i="17" a="1"/>
  <c r="AU6" i="8" a="1"/>
  <c r="AU11" i="8" a="1"/>
  <c r="AT10" i="7" a="1"/>
  <c r="AS6" i="7" a="1"/>
  <c r="AT12" i="7" a="1"/>
  <c r="AU9" i="6" a="1"/>
  <c r="AT6" i="10" a="1"/>
  <c r="AS5" i="8" a="1"/>
  <c r="AS6" i="11" a="1"/>
  <c r="AT7" i="10" a="1"/>
  <c r="AS8" i="17" a="1"/>
  <c r="AS14" i="17" a="1"/>
  <c r="AS9" i="17" a="1"/>
  <c r="AU14" i="6" a="1"/>
  <c r="AU10" i="6" a="1"/>
  <c r="AS10" i="5" a="1"/>
  <c r="AS10" i="9" a="1"/>
  <c r="AT8" i="11" a="1"/>
  <c r="AT14" i="8" a="1"/>
  <c r="AU6" i="9" a="1"/>
  <c r="AT9" i="7" a="1"/>
  <c r="AS9" i="8" a="1"/>
  <c r="AU13" i="11" a="1"/>
  <c r="AT11" i="7" a="1"/>
  <c r="AS10" i="8" a="1"/>
  <c r="AT11" i="9" a="1"/>
  <c r="AU11" i="11" a="1"/>
  <c r="AS5" i="5" a="1"/>
  <c r="AU9" i="11" a="1"/>
  <c r="AS10" i="10" a="1"/>
  <c r="AU9" i="7" a="1"/>
  <c r="AU8" i="17" a="1"/>
  <c r="AU14" i="17" a="1"/>
  <c r="AU9" i="17" a="1"/>
  <c r="AS8" i="5" a="1"/>
  <c r="AS14" i="9" a="1"/>
  <c r="AS5" i="7" a="1"/>
  <c r="AS7" i="10" a="1"/>
  <c r="AS6" i="10" a="1"/>
  <c r="AT10" i="11" a="1"/>
  <c r="AU11" i="5" a="1"/>
  <c r="AT15" i="7" a="1"/>
  <c r="AT7" i="5" a="1"/>
  <c r="AT6" i="8" a="1"/>
  <c r="AT8" i="5" a="1"/>
  <c r="AU10" i="8" a="1"/>
  <c r="AS8" i="9" a="1"/>
  <c r="AU12" i="7" a="1"/>
  <c r="AT12" i="8" a="1"/>
  <c r="AT6" i="6" a="1"/>
  <c r="AT9" i="10" a="1"/>
  <c r="AS9" i="7" a="1"/>
  <c r="AR16" i="7" a="1"/>
  <c r="AU7" i="8" a="1"/>
  <c r="AS8" i="7" a="1"/>
  <c r="AT7" i="17" a="1"/>
  <c r="AT13" i="17" a="1"/>
  <c r="AT10" i="17" a="1"/>
  <c r="AS12" i="11" a="1"/>
  <c r="AT14" i="11" a="1"/>
  <c r="AS14" i="7" a="1"/>
  <c r="AU8" i="9" a="1"/>
  <c r="AT5" i="5" a="1"/>
  <c r="AU10" i="5" a="1"/>
  <c r="AS9" i="9" a="1"/>
  <c r="AU13" i="8" a="1"/>
  <c r="AR16" i="9" a="1"/>
  <c r="AT14" i="7" a="1"/>
  <c r="AT12" i="5" a="1"/>
  <c r="AS7" i="5" a="1"/>
  <c r="AT10" i="6" a="1"/>
  <c r="AU10" i="9" a="1"/>
  <c r="AU9" i="5" a="1"/>
  <c r="AU12" i="6" a="1"/>
  <c r="AU7" i="17" a="1"/>
  <c r="AU13" i="17" a="1"/>
  <c r="AU10" i="17" a="1"/>
  <c r="AT14" i="9" a="1"/>
  <c r="AR16" i="12" a="1"/>
  <c r="AT14" i="6" a="1"/>
  <c r="AU13" i="6" a="1"/>
  <c r="AT12" i="6" a="1"/>
  <c r="AT6" i="11" a="1"/>
  <c r="AR16" i="8" a="1"/>
  <c r="AT6" i="7" a="1"/>
  <c r="AT6" i="9" a="1"/>
  <c r="AT13" i="9" a="1"/>
  <c r="AU11" i="6" a="1"/>
  <c r="AU13" i="9" a="1"/>
  <c r="AS7" i="17" a="1"/>
  <c r="AS13" i="17" a="1"/>
  <c r="AS10" i="17" a="1"/>
  <c r="AU13" i="7" a="1"/>
  <c r="AT13" i="6" a="1"/>
  <c r="AS13" i="5" a="1"/>
  <c r="AS6" i="5" a="1"/>
  <c r="AS13" i="6" a="1"/>
  <c r="AS11" i="6" a="1"/>
  <c r="AS8" i="11" a="1"/>
  <c r="AS11" i="10" a="1"/>
  <c r="AT6" i="5" a="1"/>
  <c r="AS14" i="5" a="1"/>
  <c r="AS9" i="5" a="1"/>
  <c r="AT14" i="10" a="1"/>
  <c r="AU14" i="9" a="1"/>
  <c r="AU12" i="11" a="1"/>
  <c r="AT10" i="5" a="1"/>
  <c r="AT15" i="8" a="1"/>
  <c r="AR16" i="5" a="1"/>
  <c r="AT10" i="10" a="1"/>
  <c r="AS5" i="10" a="1"/>
  <c r="AT11" i="11" a="1"/>
  <c r="AS5" i="9" a="1"/>
  <c r="AU14" i="8" a="1"/>
  <c r="AS13" i="10" a="1"/>
  <c r="AS12" i="8" a="1"/>
  <c r="AT12" i="9" a="1"/>
  <c r="AU10" i="10" a="1"/>
  <c r="AU9" i="10" a="1"/>
  <c r="AS11" i="11" a="1"/>
  <c r="AT6" i="17" a="1"/>
  <c r="AT12" i="17" a="1"/>
  <c r="AR5" i="13" a="1"/>
  <c r="AT9" i="6" a="1"/>
  <c r="AR16" i="13" a="1"/>
  <c r="AR16" i="10" a="1"/>
  <c r="AS12" i="6" a="1"/>
  <c r="AU7" i="6" a="1"/>
  <c r="AU6" i="10" a="1"/>
  <c r="AS6" i="9" a="1"/>
  <c r="AS9" i="6" a="1"/>
  <c r="AT5" i="8" a="1"/>
  <c r="AT5" i="7" a="1"/>
  <c r="AU12" i="5" a="1"/>
  <c r="AT10" i="8" a="1"/>
  <c r="AU12" i="8" a="1"/>
  <c r="AU8" i="6" a="1"/>
  <c r="AS5" i="11" a="1"/>
  <c r="AS8" i="6" a="1"/>
  <c r="AT7" i="9" a="1"/>
  <c r="AT14" i="5" a="1"/>
  <c r="AS7" i="9" a="1"/>
  <c r="AS6" i="17" a="1"/>
  <c r="AS12" i="17" a="1"/>
  <c r="AU7" i="10" a="1"/>
  <c r="AT8" i="10" a="1"/>
  <c r="AU12" i="9" a="1"/>
  <c r="AU8" i="8" a="1"/>
  <c r="AS5" i="6" a="1"/>
  <c r="AR16" i="14" a="1"/>
  <c r="AR5" i="16" a="1"/>
  <c r="AU6" i="7" a="1"/>
  <c r="AR5" i="12" a="1"/>
  <c r="AT13" i="8" a="1"/>
  <c r="AU8" i="5" a="1"/>
  <c r="AT13" i="10" a="1"/>
  <c r="AS9" i="10" a="1"/>
  <c r="AT5" i="17" a="1"/>
  <c r="AT11" i="17" a="1"/>
  <c r="AT7" i="11" a="1"/>
  <c r="AS13" i="11" a="1"/>
  <c r="AT13" i="11" a="1"/>
  <c r="AT5" i="6" a="1"/>
  <c r="AT9" i="9" a="1"/>
  <c r="AT15" i="9" a="1"/>
  <c r="AU11" i="7" a="1"/>
  <c r="AT12" i="11" a="1"/>
  <c r="AT11" i="10" a="1"/>
  <c r="AS12" i="9" a="1"/>
  <c r="AS13" i="9" a="1"/>
  <c r="AT12" i="10" a="1"/>
  <c r="AU13" i="5" a="1"/>
  <c r="AT11" i="5" a="1"/>
  <c r="AS11" i="7" a="1"/>
  <c r="AR16" i="11" a="1"/>
  <c r="AU8" i="10" a="1"/>
  <c r="AT5" i="10" a="1"/>
  <c r="AU8" i="7" a="1"/>
  <c r="AT9" i="11" a="1"/>
  <c r="AS10" i="17" l="1"/>
  <c r="C643" i="1" s="1"/>
  <c r="AU10" i="17"/>
  <c r="E643" i="1" s="1"/>
  <c r="AT10" i="17"/>
  <c r="D643" i="1" s="1"/>
  <c r="AU9" i="17"/>
  <c r="E642" i="1" s="1"/>
  <c r="AS9" i="17"/>
  <c r="C642" i="1" s="1"/>
  <c r="AT9" i="17"/>
  <c r="D642" i="1" s="1"/>
  <c r="AU11" i="17"/>
  <c r="E644" i="1" s="1"/>
  <c r="AS11" i="17"/>
  <c r="C644" i="1" s="1"/>
  <c r="AT11" i="17"/>
  <c r="D644" i="1" s="1"/>
  <c r="AU12" i="17"/>
  <c r="E645" i="1" s="1"/>
  <c r="AS12" i="17"/>
  <c r="C645" i="1" s="1"/>
  <c r="AT12" i="17"/>
  <c r="D645" i="1" s="1"/>
  <c r="AS13" i="17"/>
  <c r="C646" i="1" s="1"/>
  <c r="AU13" i="17"/>
  <c r="E646" i="1" s="1"/>
  <c r="AT13" i="17"/>
  <c r="D646" i="1" s="1"/>
  <c r="AU14" i="17"/>
  <c r="E647" i="1" s="1"/>
  <c r="AS14" i="17"/>
  <c r="C647" i="1" s="1"/>
  <c r="AT14" i="17"/>
  <c r="D647" i="1" s="1"/>
  <c r="AT15" i="17"/>
  <c r="D648" i="1" s="1"/>
  <c r="AS5" i="17"/>
  <c r="C638" i="1" s="1"/>
  <c r="AT5" i="17"/>
  <c r="D638" i="1" s="1"/>
  <c r="AU6" i="17"/>
  <c r="E639" i="1" s="1"/>
  <c r="AS6" i="17"/>
  <c r="C639" i="1" s="1"/>
  <c r="AT6" i="17"/>
  <c r="D639" i="1" s="1"/>
  <c r="AS7" i="17"/>
  <c r="C640" i="1" s="1"/>
  <c r="AU7" i="17"/>
  <c r="E640" i="1" s="1"/>
  <c r="AT7" i="17"/>
  <c r="D640" i="1" s="1"/>
  <c r="AU8" i="17"/>
  <c r="E641" i="1" s="1"/>
  <c r="AS8" i="17"/>
  <c r="C641" i="1" s="1"/>
  <c r="AT8" i="17"/>
  <c r="D641" i="1" s="1"/>
  <c r="AR22" i="17"/>
  <c r="AR21" i="17"/>
  <c r="AR20" i="17"/>
  <c r="AR19" i="17"/>
  <c r="AR18" i="17"/>
  <c r="AR17" i="17"/>
  <c r="AR24" i="17"/>
  <c r="AR16" i="17"/>
  <c r="AR26" i="17"/>
  <c r="AR25" i="17"/>
  <c r="AR23" i="17"/>
  <c r="AR21" i="13"/>
  <c r="AR19" i="13"/>
  <c r="AR18" i="13"/>
  <c r="AR17" i="13"/>
  <c r="AR16" i="13"/>
  <c r="AR25" i="13"/>
  <c r="AR26" i="13"/>
  <c r="AR24" i="13"/>
  <c r="AR20" i="13"/>
  <c r="AR23" i="13"/>
  <c r="AR22" i="13"/>
  <c r="AR8" i="13"/>
  <c r="AR6" i="13"/>
  <c r="AR5" i="13"/>
  <c r="AR15" i="13"/>
  <c r="AR14" i="13"/>
  <c r="AR12" i="13"/>
  <c r="AR7" i="13"/>
  <c r="AR13" i="13"/>
  <c r="AR10" i="13"/>
  <c r="AR11" i="13"/>
  <c r="AR9" i="13"/>
  <c r="AR18" i="16"/>
  <c r="AR17" i="16"/>
  <c r="AR16" i="16"/>
  <c r="AR26" i="16"/>
  <c r="AR23" i="16"/>
  <c r="AR25" i="16"/>
  <c r="AR24" i="16"/>
  <c r="AR22" i="16"/>
  <c r="AR21" i="16"/>
  <c r="AR20" i="16"/>
  <c r="AR19" i="16"/>
  <c r="AR6" i="16"/>
  <c r="AR5" i="16"/>
  <c r="AR15" i="16"/>
  <c r="AR14" i="16"/>
  <c r="AR13" i="16"/>
  <c r="AR10" i="16"/>
  <c r="AR12" i="16"/>
  <c r="AR11" i="16"/>
  <c r="AR9" i="16"/>
  <c r="AR8" i="16"/>
  <c r="AR7" i="16"/>
  <c r="J59" i="3"/>
  <c r="AA6" i="16"/>
  <c r="J58" i="3"/>
  <c r="AA6" i="15"/>
  <c r="AR19" i="15"/>
  <c r="AR18" i="15"/>
  <c r="AR17" i="15"/>
  <c r="AR16" i="15"/>
  <c r="AR26" i="15"/>
  <c r="AR25" i="15"/>
  <c r="AR23" i="15"/>
  <c r="AR22" i="15"/>
  <c r="AR24" i="15"/>
  <c r="AR21" i="15"/>
  <c r="AR20" i="15"/>
  <c r="AR6" i="15"/>
  <c r="B617" i="1" s="1"/>
  <c r="AR7" i="15"/>
  <c r="B618" i="1" s="1"/>
  <c r="AR5" i="15"/>
  <c r="B616" i="1" s="1"/>
  <c r="AR11" i="15"/>
  <c r="B622" i="1" s="1"/>
  <c r="AR15" i="15"/>
  <c r="B626" i="1" s="1"/>
  <c r="AR14" i="15"/>
  <c r="B625" i="1" s="1"/>
  <c r="AR13" i="15"/>
  <c r="B624" i="1" s="1"/>
  <c r="AR12" i="15"/>
  <c r="B623" i="1" s="1"/>
  <c r="AR10" i="15"/>
  <c r="B621" i="1" s="1"/>
  <c r="AR9" i="15"/>
  <c r="B620" i="1" s="1"/>
  <c r="AR8" i="15"/>
  <c r="B619" i="1" s="1"/>
  <c r="AR18" i="14"/>
  <c r="AR17" i="14"/>
  <c r="AR16" i="14"/>
  <c r="AR22" i="14"/>
  <c r="AR26" i="14"/>
  <c r="AR25" i="14"/>
  <c r="AR24" i="14"/>
  <c r="AR23" i="14"/>
  <c r="AR20" i="14"/>
  <c r="AR21" i="14"/>
  <c r="AR19" i="14"/>
  <c r="AR6" i="14"/>
  <c r="B606" i="1" s="1"/>
  <c r="AR5" i="14"/>
  <c r="B605" i="1" s="1"/>
  <c r="AR15" i="14"/>
  <c r="B615" i="1" s="1"/>
  <c r="AR8" i="14"/>
  <c r="B608" i="1" s="1"/>
  <c r="AR14" i="14"/>
  <c r="B614" i="1" s="1"/>
  <c r="AR13" i="14"/>
  <c r="B613" i="1" s="1"/>
  <c r="AR11" i="14"/>
  <c r="B611" i="1" s="1"/>
  <c r="AR10" i="14"/>
  <c r="B610" i="1" s="1"/>
  <c r="AR12" i="14"/>
  <c r="B612" i="1" s="1"/>
  <c r="AR9" i="14"/>
  <c r="B609" i="1" s="1"/>
  <c r="AR7" i="14"/>
  <c r="B607" i="1" s="1"/>
  <c r="AR9" i="12"/>
  <c r="AR8" i="12"/>
  <c r="AR7" i="12"/>
  <c r="AR6" i="12"/>
  <c r="AR5" i="12"/>
  <c r="AR15" i="12"/>
  <c r="AR14" i="12"/>
  <c r="AR11" i="12"/>
  <c r="AR13" i="12"/>
  <c r="AR10" i="12"/>
  <c r="AR12" i="12"/>
  <c r="AR22" i="12"/>
  <c r="AR21" i="12"/>
  <c r="AR20" i="12"/>
  <c r="AR19" i="12"/>
  <c r="AR18" i="12"/>
  <c r="AR17" i="12"/>
  <c r="AR16" i="12"/>
  <c r="AR24" i="12"/>
  <c r="AR26" i="12"/>
  <c r="AR25" i="12"/>
  <c r="AR23" i="12"/>
  <c r="AS10" i="11"/>
  <c r="C577" i="1" s="1"/>
  <c r="AU10" i="11"/>
  <c r="E577" i="1" s="1"/>
  <c r="AT10" i="11"/>
  <c r="D577" i="1" s="1"/>
  <c r="AU9" i="11"/>
  <c r="E576" i="1" s="1"/>
  <c r="AS9" i="11"/>
  <c r="C576" i="1" s="1"/>
  <c r="AT9" i="11"/>
  <c r="D576" i="1" s="1"/>
  <c r="AU11" i="11"/>
  <c r="E578" i="1" s="1"/>
  <c r="AS11" i="11"/>
  <c r="C578" i="1" s="1"/>
  <c r="AT11" i="11"/>
  <c r="D578" i="1" s="1"/>
  <c r="AU12" i="11"/>
  <c r="E579" i="1" s="1"/>
  <c r="AS12" i="11"/>
  <c r="C579" i="1" s="1"/>
  <c r="AT12" i="11"/>
  <c r="D579" i="1" s="1"/>
  <c r="AS13" i="11"/>
  <c r="C580" i="1" s="1"/>
  <c r="AU13" i="11"/>
  <c r="E580" i="1" s="1"/>
  <c r="AT13" i="11"/>
  <c r="D580" i="1" s="1"/>
  <c r="AU14" i="11"/>
  <c r="E581" i="1" s="1"/>
  <c r="AS14" i="11"/>
  <c r="C581" i="1" s="1"/>
  <c r="AT14" i="11"/>
  <c r="D581" i="1" s="1"/>
  <c r="AT15" i="11"/>
  <c r="D582" i="1" s="1"/>
  <c r="AS5" i="11"/>
  <c r="C572" i="1" s="1"/>
  <c r="AT5" i="11"/>
  <c r="D572" i="1" s="1"/>
  <c r="AU6" i="11"/>
  <c r="E573" i="1" s="1"/>
  <c r="AS6" i="11"/>
  <c r="C573" i="1" s="1"/>
  <c r="AT6" i="11"/>
  <c r="D573" i="1" s="1"/>
  <c r="AS7" i="11"/>
  <c r="C574" i="1" s="1"/>
  <c r="AU7" i="11"/>
  <c r="E574" i="1" s="1"/>
  <c r="AT7" i="11"/>
  <c r="D574" i="1" s="1"/>
  <c r="AU8" i="11"/>
  <c r="E575" i="1" s="1"/>
  <c r="AS8" i="11"/>
  <c r="C575" i="1" s="1"/>
  <c r="AT8" i="11"/>
  <c r="D575" i="1" s="1"/>
  <c r="AR22" i="11"/>
  <c r="AR21" i="11"/>
  <c r="AR20" i="11"/>
  <c r="AR19" i="11"/>
  <c r="AR18" i="11"/>
  <c r="AR17" i="11"/>
  <c r="AR16" i="11"/>
  <c r="AR26" i="11"/>
  <c r="AR25" i="11"/>
  <c r="AR23" i="11"/>
  <c r="AR24" i="11"/>
  <c r="AR16" i="10"/>
  <c r="AR18" i="10"/>
  <c r="AR19" i="10"/>
  <c r="AR22" i="10"/>
  <c r="AR21" i="10"/>
  <c r="AR23" i="10"/>
  <c r="AR24" i="10"/>
  <c r="AR20" i="10"/>
  <c r="AR26" i="10"/>
  <c r="AR17" i="10"/>
  <c r="AR25" i="10"/>
  <c r="AA6" i="10"/>
  <c r="J53" i="3"/>
  <c r="AU11" i="10"/>
  <c r="E567" i="1" s="1"/>
  <c r="AT11" i="10"/>
  <c r="D567" i="1" s="1"/>
  <c r="AS11" i="10"/>
  <c r="C567" i="1" s="1"/>
  <c r="AU14" i="10"/>
  <c r="E570" i="1" s="1"/>
  <c r="AT14" i="10"/>
  <c r="D570" i="1" s="1"/>
  <c r="AS14" i="10"/>
  <c r="C570" i="1" s="1"/>
  <c r="AT15" i="5"/>
  <c r="AS14" i="5"/>
  <c r="AU14" i="5"/>
  <c r="AT14" i="5"/>
  <c r="AU10" i="10"/>
  <c r="E566" i="1" s="1"/>
  <c r="AT10" i="10"/>
  <c r="D566" i="1" s="1"/>
  <c r="AS10" i="10"/>
  <c r="C566" i="1" s="1"/>
  <c r="AU13" i="5"/>
  <c r="AS13" i="5"/>
  <c r="AT13" i="5"/>
  <c r="AT15" i="10"/>
  <c r="D571" i="1" s="1"/>
  <c r="AU12" i="5"/>
  <c r="AS12" i="5"/>
  <c r="AT12" i="5"/>
  <c r="AU9" i="10"/>
  <c r="E565" i="1" s="1"/>
  <c r="AT9" i="10"/>
  <c r="D565" i="1" s="1"/>
  <c r="AS9" i="10"/>
  <c r="C565" i="1" s="1"/>
  <c r="AU11" i="5"/>
  <c r="AS11" i="5"/>
  <c r="AT11" i="5"/>
  <c r="AT5" i="10"/>
  <c r="D561" i="1" s="1"/>
  <c r="AS5" i="10"/>
  <c r="C561" i="1" s="1"/>
  <c r="AU10" i="5"/>
  <c r="AS10" i="5"/>
  <c r="AT10" i="5"/>
  <c r="AU7" i="10"/>
  <c r="E563" i="1" s="1"/>
  <c r="AT7" i="10"/>
  <c r="D563" i="1" s="1"/>
  <c r="AS7" i="10"/>
  <c r="C563" i="1" s="1"/>
  <c r="AS9" i="5"/>
  <c r="AU9" i="5"/>
  <c r="AT9" i="5"/>
  <c r="AS6" i="10"/>
  <c r="C562" i="1" s="1"/>
  <c r="AU6" i="10"/>
  <c r="E562" i="1" s="1"/>
  <c r="AT6" i="10"/>
  <c r="D562" i="1" s="1"/>
  <c r="AS8" i="5"/>
  <c r="AU8" i="5"/>
  <c r="AT8" i="5"/>
  <c r="AU12" i="10"/>
  <c r="E568" i="1" s="1"/>
  <c r="AT12" i="10"/>
  <c r="D568" i="1" s="1"/>
  <c r="AS12" i="10"/>
  <c r="C568" i="1" s="1"/>
  <c r="AU7" i="5"/>
  <c r="AS7" i="5"/>
  <c r="AT7" i="5"/>
  <c r="AT13" i="10"/>
  <c r="D569" i="1" s="1"/>
  <c r="AS13" i="10"/>
  <c r="C569" i="1" s="1"/>
  <c r="AU13" i="10"/>
  <c r="E569" i="1" s="1"/>
  <c r="AU6" i="5"/>
  <c r="AS6" i="5"/>
  <c r="AT6" i="5"/>
  <c r="AU8" i="10"/>
  <c r="E564" i="1" s="1"/>
  <c r="AT8" i="10"/>
  <c r="D564" i="1" s="1"/>
  <c r="AS8" i="10"/>
  <c r="C564" i="1" s="1"/>
  <c r="AS5" i="5"/>
  <c r="AT5" i="5"/>
  <c r="AS9" i="9"/>
  <c r="C554" i="1" s="1"/>
  <c r="AU9" i="9"/>
  <c r="E554" i="1" s="1"/>
  <c r="AT9" i="9"/>
  <c r="D554" i="1" s="1"/>
  <c r="AU11" i="9"/>
  <c r="E556" i="1" s="1"/>
  <c r="AS11" i="9"/>
  <c r="C556" i="1" s="1"/>
  <c r="AT11" i="9"/>
  <c r="D556" i="1" s="1"/>
  <c r="AS12" i="9"/>
  <c r="C557" i="1" s="1"/>
  <c r="AU12" i="9"/>
  <c r="E557" i="1" s="1"/>
  <c r="AT12" i="9"/>
  <c r="D557" i="1" s="1"/>
  <c r="AS10" i="9"/>
  <c r="C555" i="1" s="1"/>
  <c r="AU10" i="9"/>
  <c r="E555" i="1" s="1"/>
  <c r="AT10" i="9"/>
  <c r="D555" i="1" s="1"/>
  <c r="AS13" i="9"/>
  <c r="C558" i="1" s="1"/>
  <c r="AU13" i="9"/>
  <c r="E558" i="1" s="1"/>
  <c r="AT13" i="9"/>
  <c r="D558" i="1" s="1"/>
  <c r="AU14" i="9"/>
  <c r="E559" i="1" s="1"/>
  <c r="AS14" i="9"/>
  <c r="C559" i="1" s="1"/>
  <c r="AT14" i="9"/>
  <c r="D559" i="1" s="1"/>
  <c r="AT15" i="9"/>
  <c r="D560" i="1" s="1"/>
  <c r="AS5" i="9"/>
  <c r="C550" i="1" s="1"/>
  <c r="AT5" i="9"/>
  <c r="D550" i="1" s="1"/>
  <c r="AS6" i="9"/>
  <c r="C551" i="1" s="1"/>
  <c r="AU6" i="9"/>
  <c r="E551" i="1" s="1"/>
  <c r="AT6" i="9"/>
  <c r="D551" i="1" s="1"/>
  <c r="AU7" i="9"/>
  <c r="E552" i="1" s="1"/>
  <c r="AS7" i="9"/>
  <c r="C552" i="1" s="1"/>
  <c r="AT7" i="9"/>
  <c r="D552" i="1" s="1"/>
  <c r="AU8" i="9"/>
  <c r="E553" i="1" s="1"/>
  <c r="AS8" i="9"/>
  <c r="C553" i="1" s="1"/>
  <c r="AT8" i="9"/>
  <c r="D553" i="1" s="1"/>
  <c r="AR22" i="9"/>
  <c r="AR23" i="9"/>
  <c r="AR21" i="9"/>
  <c r="AR20" i="9"/>
  <c r="AR19" i="9"/>
  <c r="AR18" i="9"/>
  <c r="AR17" i="9"/>
  <c r="AR24" i="9"/>
  <c r="AR16" i="9"/>
  <c r="AR26" i="9"/>
  <c r="AR25" i="9"/>
  <c r="AS10" i="8"/>
  <c r="C544" i="1" s="1"/>
  <c r="AU10" i="8"/>
  <c r="E544" i="1" s="1"/>
  <c r="AT10" i="8"/>
  <c r="D544" i="1" s="1"/>
  <c r="AU11" i="8"/>
  <c r="E545" i="1" s="1"/>
  <c r="AS11" i="8"/>
  <c r="C545" i="1" s="1"/>
  <c r="AT11" i="8"/>
  <c r="D545" i="1" s="1"/>
  <c r="AU9" i="8"/>
  <c r="E543" i="1" s="1"/>
  <c r="AS9" i="8"/>
  <c r="C543" i="1" s="1"/>
  <c r="AT9" i="8"/>
  <c r="D543" i="1" s="1"/>
  <c r="AU12" i="8"/>
  <c r="E546" i="1" s="1"/>
  <c r="AS12" i="8"/>
  <c r="C546" i="1" s="1"/>
  <c r="AT12" i="8"/>
  <c r="D546" i="1" s="1"/>
  <c r="AS13" i="8"/>
  <c r="C547" i="1" s="1"/>
  <c r="AU13" i="8"/>
  <c r="E547" i="1" s="1"/>
  <c r="AT13" i="8"/>
  <c r="D547" i="1" s="1"/>
  <c r="AU14" i="8"/>
  <c r="E548" i="1" s="1"/>
  <c r="AS14" i="8"/>
  <c r="C548" i="1" s="1"/>
  <c r="AT14" i="8"/>
  <c r="D548" i="1" s="1"/>
  <c r="AT15" i="8"/>
  <c r="D549" i="1" s="1"/>
  <c r="AS5" i="8"/>
  <c r="C539" i="1" s="1"/>
  <c r="AT5" i="8"/>
  <c r="D539" i="1" s="1"/>
  <c r="AU6" i="8"/>
  <c r="E540" i="1" s="1"/>
  <c r="AS6" i="8"/>
  <c r="C540" i="1" s="1"/>
  <c r="AT6" i="8"/>
  <c r="D540" i="1" s="1"/>
  <c r="AS7" i="8"/>
  <c r="C541" i="1" s="1"/>
  <c r="AU7" i="8"/>
  <c r="E541" i="1" s="1"/>
  <c r="AT7" i="8"/>
  <c r="D541" i="1" s="1"/>
  <c r="AU8" i="8"/>
  <c r="E542" i="1" s="1"/>
  <c r="AS8" i="8"/>
  <c r="C542" i="1" s="1"/>
  <c r="AT8" i="8"/>
  <c r="D542" i="1" s="1"/>
  <c r="AR22" i="8"/>
  <c r="AR21" i="8"/>
  <c r="AR20" i="8"/>
  <c r="AR19" i="8"/>
  <c r="AR24" i="8"/>
  <c r="AR18" i="8"/>
  <c r="AR17" i="8"/>
  <c r="AR16" i="8"/>
  <c r="AR26" i="8"/>
  <c r="AR25" i="8"/>
  <c r="AR23" i="8"/>
  <c r="AU9" i="7"/>
  <c r="E532" i="1" s="1"/>
  <c r="AS9" i="7"/>
  <c r="C532" i="1" s="1"/>
  <c r="AT9" i="7"/>
  <c r="D532" i="1" s="1"/>
  <c r="AS10" i="7"/>
  <c r="C533" i="1" s="1"/>
  <c r="AU10" i="7"/>
  <c r="E533" i="1" s="1"/>
  <c r="AT10" i="7"/>
  <c r="D533" i="1" s="1"/>
  <c r="AU11" i="7"/>
  <c r="E534" i="1" s="1"/>
  <c r="AS11" i="7"/>
  <c r="C534" i="1" s="1"/>
  <c r="AT11" i="7"/>
  <c r="D534" i="1" s="1"/>
  <c r="AU12" i="7"/>
  <c r="E535" i="1" s="1"/>
  <c r="AS12" i="7"/>
  <c r="C535" i="1" s="1"/>
  <c r="AT12" i="7"/>
  <c r="D535" i="1" s="1"/>
  <c r="AS13" i="7"/>
  <c r="C536" i="1" s="1"/>
  <c r="AU13" i="7"/>
  <c r="E536" i="1" s="1"/>
  <c r="AT13" i="7"/>
  <c r="D536" i="1" s="1"/>
  <c r="AU14" i="7"/>
  <c r="E537" i="1" s="1"/>
  <c r="AS14" i="7"/>
  <c r="C537" i="1" s="1"/>
  <c r="AT14" i="7"/>
  <c r="D537" i="1" s="1"/>
  <c r="AT15" i="7"/>
  <c r="D538" i="1" s="1"/>
  <c r="AS5" i="7"/>
  <c r="C528" i="1" s="1"/>
  <c r="AT5" i="7"/>
  <c r="D528" i="1" s="1"/>
  <c r="AU6" i="7"/>
  <c r="E529" i="1" s="1"/>
  <c r="AS6" i="7"/>
  <c r="C529" i="1" s="1"/>
  <c r="AT6" i="7"/>
  <c r="D529" i="1" s="1"/>
  <c r="AS7" i="7"/>
  <c r="C530" i="1" s="1"/>
  <c r="AU7" i="7"/>
  <c r="E530" i="1" s="1"/>
  <c r="AT7" i="7"/>
  <c r="D530" i="1" s="1"/>
  <c r="AU8" i="7"/>
  <c r="E531" i="1" s="1"/>
  <c r="AS8" i="7"/>
  <c r="C531" i="1" s="1"/>
  <c r="AT8" i="7"/>
  <c r="D531" i="1" s="1"/>
  <c r="AR22" i="7"/>
  <c r="AR21" i="7"/>
  <c r="AR24" i="7"/>
  <c r="AR20" i="7"/>
  <c r="AR19" i="7"/>
  <c r="AR18" i="7"/>
  <c r="AR17" i="7"/>
  <c r="AR16" i="7"/>
  <c r="AR26" i="7"/>
  <c r="AR25" i="7"/>
  <c r="AR23" i="7"/>
  <c r="AU11" i="6"/>
  <c r="E523" i="1" s="1"/>
  <c r="AS11" i="6"/>
  <c r="C523" i="1" s="1"/>
  <c r="AT11" i="6"/>
  <c r="D523" i="1" s="1"/>
  <c r="AU10" i="6"/>
  <c r="E522" i="1" s="1"/>
  <c r="AS10" i="6"/>
  <c r="C522" i="1" s="1"/>
  <c r="AT10" i="6"/>
  <c r="D522" i="1" s="1"/>
  <c r="AS12" i="6"/>
  <c r="C524" i="1" s="1"/>
  <c r="AU12" i="6"/>
  <c r="E524" i="1" s="1"/>
  <c r="AT12" i="6"/>
  <c r="D524" i="1" s="1"/>
  <c r="AS13" i="6"/>
  <c r="C525" i="1" s="1"/>
  <c r="AU13" i="6"/>
  <c r="E525" i="1" s="1"/>
  <c r="AT13" i="6"/>
  <c r="D525" i="1" s="1"/>
  <c r="AU14" i="6"/>
  <c r="E526" i="1" s="1"/>
  <c r="AS14" i="6"/>
  <c r="C526" i="1" s="1"/>
  <c r="AT14" i="6"/>
  <c r="D526" i="1" s="1"/>
  <c r="AT15" i="6"/>
  <c r="D527" i="1" s="1"/>
  <c r="AS5" i="6"/>
  <c r="C517" i="1" s="1"/>
  <c r="AT5" i="6"/>
  <c r="D517" i="1" s="1"/>
  <c r="AU9" i="6"/>
  <c r="E521" i="1" s="1"/>
  <c r="AS9" i="6"/>
  <c r="C521" i="1" s="1"/>
  <c r="AT9" i="6"/>
  <c r="D521" i="1" s="1"/>
  <c r="AS6" i="6"/>
  <c r="C518" i="1" s="1"/>
  <c r="AU6" i="6"/>
  <c r="E518" i="1" s="1"/>
  <c r="AT6" i="6"/>
  <c r="D518" i="1" s="1"/>
  <c r="AS7" i="6"/>
  <c r="C519" i="1" s="1"/>
  <c r="AU7" i="6"/>
  <c r="E519" i="1" s="1"/>
  <c r="AT7" i="6"/>
  <c r="D519" i="1" s="1"/>
  <c r="AU8" i="6"/>
  <c r="E520" i="1" s="1"/>
  <c r="AS8" i="6"/>
  <c r="C520" i="1" s="1"/>
  <c r="AT8" i="6"/>
  <c r="D520" i="1" s="1"/>
  <c r="AR22" i="6"/>
  <c r="AR21" i="6"/>
  <c r="AR20" i="6"/>
  <c r="AR19" i="6"/>
  <c r="AR23" i="6"/>
  <c r="AR18" i="6"/>
  <c r="AR17" i="6"/>
  <c r="AR16" i="6"/>
  <c r="AR26" i="6"/>
  <c r="AR25" i="6"/>
  <c r="AR24" i="6"/>
  <c r="AR21" i="5"/>
  <c r="AR24" i="5"/>
  <c r="AR25" i="5"/>
  <c r="AR26" i="5"/>
  <c r="AR16" i="5"/>
  <c r="AR17" i="5"/>
  <c r="AR23" i="5"/>
  <c r="AR19" i="5"/>
  <c r="AR18" i="5"/>
  <c r="AR20" i="5"/>
  <c r="AR22" i="5"/>
  <c r="AT24" i="17" a="1"/>
  <c r="AT23" i="17" a="1"/>
  <c r="AT19" i="17" a="1"/>
  <c r="AU8" i="16" a="1"/>
  <c r="AT14" i="14" a="1"/>
  <c r="AU22" i="6" a="1"/>
  <c r="AU24" i="9" a="1"/>
  <c r="AS20" i="13" a="1"/>
  <c r="AS13" i="13" a="1"/>
  <c r="AU6" i="14" a="1"/>
  <c r="AT21" i="8" a="1"/>
  <c r="AU23" i="6" a="1"/>
  <c r="AU22" i="15" a="1"/>
  <c r="AT12" i="13" a="1"/>
  <c r="AT16" i="7" a="1"/>
  <c r="AS20" i="5" a="1"/>
  <c r="AU21" i="6" a="1"/>
  <c r="AU23" i="8" a="1"/>
  <c r="AT7" i="12" a="1"/>
  <c r="AT17" i="16" a="1"/>
  <c r="AT25" i="6" a="1"/>
  <c r="AT12" i="12" a="1"/>
  <c r="AS12" i="16" a="1"/>
  <c r="AT19" i="6" a="1"/>
  <c r="AS20" i="6" a="1"/>
  <c r="AU19" i="12" a="1"/>
  <c r="AS10" i="13" a="1"/>
  <c r="AU17" i="5" a="1"/>
  <c r="AU12" i="12" a="1"/>
  <c r="AU21" i="15" a="1"/>
  <c r="AT6" i="12" a="1"/>
  <c r="AT19" i="9" a="1"/>
  <c r="AS12" i="15" a="1"/>
  <c r="AU10" i="14" a="1"/>
  <c r="AT18" i="14" a="1"/>
  <c r="AU11" i="16" a="1"/>
  <c r="AT26" i="9" a="1"/>
  <c r="AU19" i="7" a="1"/>
  <c r="AS16" i="15" a="1"/>
  <c r="AU24" i="17" a="1"/>
  <c r="AS23" i="17" a="1"/>
  <c r="AU19" i="17" a="1"/>
  <c r="AS5" i="16" a="1"/>
  <c r="AU9" i="16" a="1"/>
  <c r="AU21" i="14" a="1"/>
  <c r="AS22" i="11" a="1"/>
  <c r="AU24" i="10" a="1"/>
  <c r="AU25" i="7" a="1"/>
  <c r="AS24" i="17" a="1"/>
  <c r="AU23" i="17" a="1"/>
  <c r="AS19" i="17" a="1"/>
  <c r="AT7" i="16" a="1"/>
  <c r="AT20" i="15" a="1"/>
  <c r="AT19" i="11" a="1"/>
  <c r="AU17" i="11" a="1"/>
  <c r="AT24" i="15" a="1"/>
  <c r="AU20" i="13" a="1"/>
  <c r="AU8" i="14" a="1"/>
  <c r="AS20" i="10" a="1"/>
  <c r="AU22" i="7" a="1"/>
  <c r="AT24" i="11" a="1"/>
  <c r="AU13" i="13" a="1"/>
  <c r="AU13" i="12" a="1"/>
  <c r="AU22" i="8" a="1"/>
  <c r="AT26" i="5" a="1"/>
  <c r="AU19" i="9" a="1"/>
  <c r="AS24" i="12" a="1"/>
  <c r="AU18" i="11" a="1"/>
  <c r="AT23" i="12" a="1"/>
  <c r="AU24" i="11" a="1"/>
  <c r="AU22" i="16" a="1"/>
  <c r="AU24" i="6" a="1"/>
  <c r="AS24" i="7" a="1"/>
  <c r="AU21" i="11" a="1"/>
  <c r="AS17" i="16" a="1"/>
  <c r="AT20" i="5" a="1"/>
  <c r="AS19" i="11" a="1"/>
  <c r="AU18" i="7" a="1"/>
  <c r="AU6" i="12" a="1"/>
  <c r="AS16" i="6" a="1"/>
  <c r="AU14" i="16" a="1"/>
  <c r="AT26" i="11" a="1"/>
  <c r="AU12" i="14" a="1"/>
  <c r="AS6" i="16" a="1"/>
  <c r="AU25" i="11" a="1"/>
  <c r="AS18" i="15" a="1"/>
  <c r="AS23" i="9" a="1"/>
  <c r="AS21" i="8" a="1"/>
  <c r="AT18" i="11" a="1"/>
  <c r="AS9" i="12" a="1"/>
  <c r="AT26" i="8" a="1"/>
  <c r="AS19" i="13" a="1"/>
  <c r="AS18" i="9" a="1"/>
  <c r="AS22" i="15" a="1"/>
  <c r="AT12" i="16" a="1"/>
  <c r="AU22" i="13" a="1"/>
  <c r="AS18" i="5" a="1"/>
  <c r="AT25" i="8" a="1"/>
  <c r="AU21" i="8" a="1"/>
  <c r="AU19" i="5" a="1"/>
  <c r="AS8" i="14" a="1"/>
  <c r="AS17" i="10" a="1"/>
  <c r="AT17" i="13" a="1"/>
  <c r="AS25" i="13" a="1"/>
  <c r="AS17" i="9" a="1"/>
  <c r="AS17" i="12" a="1"/>
  <c r="AS24" i="16" a="1"/>
  <c r="AU25" i="6" a="1"/>
  <c r="AT15" i="12" a="1"/>
  <c r="AT22" i="15" a="1"/>
  <c r="AT17" i="17" a="1"/>
  <c r="AT22" i="17" a="1"/>
  <c r="AT18" i="17" a="1"/>
  <c r="AT23" i="13" a="1"/>
  <c r="AS21" i="11" a="1"/>
  <c r="AT18" i="15" a="1"/>
  <c r="AT8" i="14" a="1"/>
  <c r="AU21" i="12" a="1"/>
  <c r="AU8" i="13" a="1"/>
  <c r="AU22" i="10" a="1"/>
  <c r="AT23" i="14" a="1"/>
  <c r="AT21" i="12" a="1"/>
  <c r="AS24" i="5" a="1"/>
  <c r="AT24" i="13" a="1"/>
  <c r="AT17" i="8" a="1"/>
  <c r="AS13" i="14" a="1"/>
  <c r="AT11" i="13" a="1"/>
  <c r="AS16" i="5" a="1"/>
  <c r="AT6" i="13" a="1"/>
  <c r="AT11" i="12" a="1"/>
  <c r="AU20" i="14" a="1"/>
  <c r="AU18" i="5" a="1"/>
  <c r="AS21" i="16" a="1"/>
  <c r="AU10" i="12" a="1"/>
  <c r="AT16" i="16" a="1"/>
  <c r="AS23" i="7" a="1"/>
  <c r="AT22" i="14" a="1"/>
  <c r="AS9" i="15" a="1"/>
  <c r="AS17" i="14" a="1"/>
  <c r="AT8" i="12" a="1"/>
  <c r="AT23" i="9" a="1"/>
  <c r="AT26" i="6" a="1"/>
  <c r="AT18" i="13" a="1"/>
  <c r="AT19" i="15" a="1"/>
  <c r="AU21" i="10" a="1"/>
  <c r="AU20" i="16" a="1"/>
  <c r="AT7" i="15" a="1"/>
  <c r="AU24" i="12" a="1"/>
  <c r="AU14" i="15" a="1"/>
  <c r="AT25" i="7" a="1"/>
  <c r="AS23" i="6" a="1"/>
  <c r="AT21" i="15" a="1"/>
  <c r="AT9" i="15" a="1"/>
  <c r="AS23" i="16" a="1"/>
  <c r="AU7" i="15" a="1"/>
  <c r="AT23" i="11" a="1"/>
  <c r="AS23" i="11" a="1"/>
  <c r="AU14" i="12" a="1"/>
  <c r="AS25" i="15" a="1"/>
  <c r="AS17" i="7" a="1"/>
  <c r="AS8" i="13" a="1"/>
  <c r="AS24" i="10" a="1"/>
  <c r="AT9" i="14" a="1"/>
  <c r="AT16" i="14" a="1"/>
  <c r="AU14" i="14" a="1"/>
  <c r="AT10" i="16" a="1"/>
  <c r="AU11" i="15" a="1"/>
  <c r="AU17" i="16" a="1"/>
  <c r="AU24" i="8" a="1"/>
  <c r="AS16" i="16" a="1"/>
  <c r="AU7" i="12" a="1"/>
  <c r="AS16" i="7" a="1"/>
  <c r="AT7" i="14" a="1"/>
  <c r="AU21" i="7" a="1"/>
  <c r="AS19" i="7" a="1"/>
  <c r="AT21" i="6" a="1"/>
  <c r="AS25" i="10" a="1"/>
  <c r="AT26" i="14" a="1"/>
  <c r="AT15" i="13" a="1"/>
  <c r="AS19" i="5" a="1"/>
  <c r="AT16" i="13" a="1"/>
  <c r="AU25" i="5" a="1"/>
  <c r="AS19" i="15" a="1"/>
  <c r="AU20" i="10" a="1"/>
  <c r="AT11" i="16" a="1"/>
  <c r="AT15" i="14" a="1"/>
  <c r="AU8" i="12" a="1"/>
  <c r="AT11" i="14" a="1"/>
  <c r="AS7" i="12" a="1"/>
  <c r="AS7" i="15" a="1"/>
  <c r="AT18" i="16" a="1"/>
  <c r="AS16" i="12" a="1"/>
  <c r="AS8" i="15" a="1"/>
  <c r="AT22" i="5" a="1"/>
  <c r="AU20" i="9" a="1"/>
  <c r="AT22" i="13" a="1"/>
  <c r="AT23" i="5" a="1"/>
  <c r="AS9" i="13" a="1"/>
  <c r="AT21" i="9" a="1"/>
  <c r="AS16" i="14" a="1"/>
  <c r="AU12" i="13" a="1"/>
  <c r="AT13" i="15" a="1"/>
  <c r="AS20" i="7" a="1"/>
  <c r="AU8" i="15" a="1"/>
  <c r="AS22" i="6" a="1"/>
  <c r="AT22" i="8" a="1"/>
  <c r="AT16" i="6" a="1"/>
  <c r="AT22" i="7" a="1"/>
  <c r="AU18" i="13" a="1"/>
  <c r="AS17" i="17" a="1"/>
  <c r="AU22" i="17" a="1"/>
  <c r="AU18" i="17" a="1"/>
  <c r="AT5" i="15" a="1"/>
  <c r="AS17" i="8" a="1"/>
  <c r="AT20" i="14" a="1"/>
  <c r="AU21" i="13" a="1"/>
  <c r="AU19" i="14" a="1"/>
  <c r="AT15" i="15" a="1"/>
  <c r="AS22" i="7" a="1"/>
  <c r="AT10" i="15" a="1"/>
  <c r="AU6" i="16" a="1"/>
  <c r="AT24" i="6" a="1"/>
  <c r="AT20" i="13" a="1"/>
  <c r="AS24" i="14" a="1"/>
  <c r="AU25" i="10" a="1"/>
  <c r="AT19" i="10" a="1"/>
  <c r="AS9" i="16" a="1"/>
  <c r="AS13" i="16" a="1"/>
  <c r="AS12" i="14" a="1"/>
  <c r="AU19" i="6" a="1"/>
  <c r="AT21" i="10" a="1"/>
  <c r="AT10" i="13" a="1"/>
  <c r="AT18" i="7" a="1"/>
  <c r="AT17" i="10" a="1"/>
  <c r="AU22" i="14" a="1"/>
  <c r="AT23" i="10" a="1"/>
  <c r="AS18" i="6" a="1"/>
  <c r="AT18" i="10" a="1"/>
  <c r="AU17" i="9" a="1"/>
  <c r="AT20" i="10" a="1"/>
  <c r="AU20" i="5" a="1"/>
  <c r="AU18" i="16" a="1"/>
  <c r="AS25" i="14" a="1"/>
  <c r="AS22" i="9" a="1"/>
  <c r="AU19" i="16" a="1"/>
  <c r="AT14" i="12" a="1"/>
  <c r="AS17" i="5" a="1"/>
  <c r="AS19" i="8" a="1"/>
  <c r="AU19" i="13" a="1"/>
  <c r="AT19" i="8" a="1"/>
  <c r="AU14" i="13" a="1"/>
  <c r="AS24" i="6" a="1"/>
  <c r="AS16" i="11" a="1"/>
  <c r="AU24" i="14" a="1"/>
  <c r="AU22" i="12" a="1"/>
  <c r="AS5" i="12" a="1"/>
  <c r="AT24" i="7" a="1"/>
  <c r="AT9" i="16" a="1"/>
  <c r="AS19" i="9" a="1"/>
  <c r="AT12" i="15" a="1"/>
  <c r="AT14" i="16" a="1"/>
  <c r="AS18" i="8" a="1"/>
  <c r="AT8" i="16" a="1"/>
  <c r="AT23" i="16" a="1"/>
  <c r="AU22" i="9" a="1"/>
  <c r="AU19" i="11" a="1"/>
  <c r="AS14" i="16" a="1"/>
  <c r="AT24" i="9" a="1"/>
  <c r="AU17" i="17" a="1"/>
  <c r="AS22" i="17" a="1"/>
  <c r="AS18" i="17" a="1"/>
  <c r="AS19" i="12" a="1"/>
  <c r="AT19" i="7" a="1"/>
  <c r="AS6" i="12" a="1"/>
  <c r="AS5" i="13" a="1"/>
  <c r="AS5" i="14" a="1"/>
  <c r="AU11" i="12" a="1"/>
  <c r="AT18" i="12" a="1"/>
  <c r="AT26" i="12" a="1"/>
  <c r="AT19" i="5" a="1"/>
  <c r="AT26" i="17" a="1"/>
  <c r="AU25" i="15" a="1"/>
  <c r="AT19" i="14" a="1"/>
  <c r="AU23" i="9" a="1"/>
  <c r="AS22" i="8" a="1"/>
  <c r="AT16" i="17" a="1"/>
  <c r="AT21" i="17" a="1"/>
  <c r="AS21" i="13" a="1"/>
  <c r="AT14" i="15" a="1"/>
  <c r="AT12" i="14" a="1"/>
  <c r="AU22" i="5" a="1"/>
  <c r="AU23" i="16" a="1"/>
  <c r="AS6" i="13" a="1"/>
  <c r="AT10" i="14" a="1"/>
  <c r="AT24" i="14" a="1"/>
  <c r="AT23" i="8" a="1"/>
  <c r="AS13" i="12" a="1"/>
  <c r="AU23" i="10" a="1"/>
  <c r="AS14" i="15" a="1"/>
  <c r="AS21" i="7" a="1"/>
  <c r="AT11" i="15" a="1"/>
  <c r="AT16" i="5" a="1"/>
  <c r="AS22" i="12" a="1"/>
  <c r="AT25" i="16" a="1"/>
  <c r="AT17" i="11" a="1"/>
  <c r="AS18" i="12" a="1"/>
  <c r="AT23" i="7" a="1"/>
  <c r="AS19" i="14" a="1"/>
  <c r="AU6" i="15" a="1"/>
  <c r="AU9" i="14" a="1"/>
  <c r="AU13" i="16" a="1"/>
  <c r="AS21" i="9" a="1"/>
  <c r="AS21" i="5" a="1"/>
  <c r="AU13" i="15" a="1"/>
  <c r="AS21" i="14" a="1"/>
  <c r="AT25" i="10" a="1"/>
  <c r="AU20" i="8" a="1"/>
  <c r="AS23" i="14" a="1"/>
  <c r="AS20" i="8" a="1"/>
  <c r="AT24" i="5" a="1"/>
  <c r="AU23" i="7" a="1"/>
  <c r="AS24" i="11" a="1"/>
  <c r="AS14" i="14" a="1"/>
  <c r="AS23" i="12" a="1"/>
  <c r="AT5" i="16" a="1"/>
  <c r="AS16" i="17" a="1"/>
  <c r="AU21" i="17" a="1"/>
  <c r="AT19" i="13" a="1"/>
  <c r="AS25" i="5" a="1"/>
  <c r="AS16" i="10" a="1"/>
  <c r="AU21" i="9" a="1"/>
  <c r="AT14" i="13" a="1"/>
  <c r="AT5" i="13" a="1"/>
  <c r="AT20" i="7" a="1"/>
  <c r="AU17" i="10" a="1"/>
  <c r="AT17" i="5" a="1"/>
  <c r="AS25" i="12" a="1"/>
  <c r="AU18" i="6" a="1"/>
  <c r="AU22" i="11" a="1"/>
  <c r="AS21" i="17" a="1"/>
  <c r="AS9" i="14" a="1"/>
  <c r="AT25" i="17" a="1"/>
  <c r="AT20" i="17" a="1"/>
  <c r="AS14" i="13" a="1"/>
  <c r="AT25" i="12" a="1"/>
  <c r="AT10" i="12" a="1"/>
  <c r="AU19" i="10" a="1"/>
  <c r="AU7" i="13" a="1"/>
  <c r="AU25" i="16" a="1"/>
  <c r="AT25" i="11" a="1"/>
  <c r="AT24" i="12" a="1"/>
  <c r="AT18" i="5" a="1"/>
  <c r="AU17" i="6" a="1"/>
  <c r="AT26" i="16" a="1"/>
  <c r="AS17" i="15" a="1"/>
  <c r="AU24" i="7" a="1"/>
  <c r="AU11" i="14" a="1"/>
  <c r="AU23" i="11" a="1"/>
  <c r="AU18" i="8" a="1"/>
  <c r="AT13" i="13" a="1"/>
  <c r="AS8" i="12" a="1"/>
  <c r="AT16" i="12" a="1"/>
  <c r="AU19" i="8" a="1"/>
  <c r="AT22" i="10" a="1"/>
  <c r="AS18" i="11" a="1"/>
  <c r="AS25" i="6" a="1"/>
  <c r="AU24" i="16" a="1"/>
  <c r="AT17" i="9" a="1"/>
  <c r="AS25" i="9" a="1"/>
  <c r="AU18" i="9" a="1"/>
  <c r="AT17" i="14" a="1"/>
  <c r="AS23" i="8" a="1"/>
  <c r="AS20" i="9" a="1"/>
  <c r="AT20" i="16" a="1"/>
  <c r="AT24" i="8" a="1"/>
  <c r="AS18" i="13" a="1"/>
  <c r="AU18" i="14" a="1"/>
  <c r="AT18" i="6" a="1"/>
  <c r="AT17" i="15" a="1"/>
  <c r="AS17" i="13" a="1"/>
  <c r="AS25" i="11" a="1"/>
  <c r="AS8" i="16" a="1"/>
  <c r="AT5" i="14" a="1"/>
  <c r="AU17" i="12" a="1"/>
  <c r="AS7" i="16" a="1"/>
  <c r="AU9" i="15" a="1"/>
  <c r="AS20" i="17" a="1"/>
  <c r="AS16" i="13" a="1"/>
  <c r="AU20" i="7" a="1"/>
  <c r="AU23" i="5" a="1"/>
  <c r="AT16" i="15" a="1"/>
  <c r="AS22" i="14" a="1"/>
  <c r="AT20" i="9" a="1"/>
  <c r="AU10" i="13" a="1"/>
  <c r="AS14" i="12" a="1"/>
  <c r="AU24" i="5" a="1"/>
  <c r="AT13" i="14" a="1"/>
  <c r="AT26" i="10" a="1"/>
  <c r="AU18" i="10" a="1"/>
  <c r="AT19" i="16" a="1"/>
  <c r="AS19" i="16" a="1"/>
  <c r="AS20" i="14" a="1"/>
  <c r="AU7" i="14" a="1"/>
  <c r="AT22" i="12" a="1"/>
  <c r="AT9" i="13" a="1"/>
  <c r="AS20" i="11" a="1"/>
  <c r="AS17" i="11" a="1"/>
  <c r="AS23" i="13" a="1"/>
  <c r="AT16" i="8" a="1"/>
  <c r="AT20" i="8" a="1"/>
  <c r="AS21" i="10" a="1"/>
  <c r="AU7" i="16" a="1"/>
  <c r="AU17" i="15" a="1"/>
  <c r="AT5" i="12" a="1"/>
  <c r="AT22" i="9" a="1"/>
  <c r="AS24" i="13" a="1"/>
  <c r="AT17" i="6" a="1"/>
  <c r="AT21" i="7" a="1"/>
  <c r="AT26" i="15" a="1"/>
  <c r="AS21" i="12" a="1"/>
  <c r="AU17" i="14" a="1"/>
  <c r="AT24" i="16" a="1"/>
  <c r="AS11" i="13" a="1"/>
  <c r="AT25" i="9" a="1"/>
  <c r="AS18" i="7" a="1"/>
  <c r="AT19" i="12" a="1"/>
  <c r="AS11" i="12" a="1"/>
  <c r="AT18" i="9" a="1"/>
  <c r="AT21" i="13" a="1"/>
  <c r="AS10" i="16" a="1"/>
  <c r="AU20" i="11" a="1"/>
  <c r="AT21" i="16" a="1"/>
  <c r="AU25" i="17" a="1"/>
  <c r="AT23" i="6" a="1"/>
  <c r="AT17" i="7" a="1"/>
  <c r="AS25" i="7" a="1"/>
  <c r="AT26" i="13" a="1"/>
  <c r="AS12" i="13" a="1"/>
  <c r="AS21" i="6" a="1"/>
  <c r="AU10" i="16" a="1"/>
  <c r="AU20" i="15" a="1"/>
  <c r="AS10" i="15" a="1"/>
  <c r="AT21" i="14" a="1"/>
  <c r="AT20" i="6" a="1"/>
  <c r="AU23" i="14" a="1"/>
  <c r="AT13" i="16" a="1"/>
  <c r="AU13" i="14" a="1"/>
  <c r="AT22" i="16" a="1"/>
  <c r="AT25" i="15" a="1"/>
  <c r="AS16" i="8" a="1"/>
  <c r="AU17" i="13" a="1"/>
  <c r="AS6" i="14" a="1"/>
  <c r="AT6" i="16" a="1"/>
  <c r="AS11" i="15" a="1"/>
  <c r="AS17" i="6" a="1"/>
  <c r="AS11" i="16" a="1"/>
  <c r="AS20" i="16" a="1"/>
  <c r="AU23" i="13" a="1"/>
  <c r="AU20" i="12" a="1"/>
  <c r="AS6" i="15" a="1"/>
  <c r="AT7" i="13" a="1"/>
  <c r="AU24" i="15" a="1"/>
  <c r="AS18" i="14" a="1"/>
  <c r="AU25" i="9" a="1"/>
  <c r="AS13" i="15" a="1"/>
  <c r="AT13" i="12" a="1"/>
  <c r="AS20" i="12" a="1"/>
  <c r="AU10" i="15" a="1"/>
  <c r="AT20" i="11" a="1"/>
  <c r="AS21" i="15" a="1"/>
  <c r="AS22" i="13" a="1"/>
  <c r="AU23" i="15" a="1"/>
  <c r="AS10" i="14" a="1"/>
  <c r="AU6" i="13" a="1"/>
  <c r="AT6" i="15" a="1"/>
  <c r="AU9" i="12" a="1"/>
  <c r="AT22" i="11" a="1"/>
  <c r="AS25" i="17" a="1"/>
  <c r="AU20" i="17" a="1"/>
  <c r="AU25" i="13" a="1"/>
  <c r="AT26" i="7" a="1"/>
  <c r="AT25" i="5" a="1"/>
  <c r="AT20" i="12" a="1"/>
  <c r="AU24" i="13" a="1"/>
  <c r="AS7" i="13" a="1"/>
  <c r="AU21" i="5" a="1"/>
  <c r="AS24" i="15" a="1"/>
  <c r="AT9" i="12" a="1"/>
  <c r="AT18" i="8" a="1"/>
  <c r="AS25" i="16" a="1"/>
  <c r="AT21" i="11" a="1"/>
  <c r="AU23" i="12" a="1"/>
  <c r="AS24" i="9" a="1"/>
  <c r="AT16" i="9" a="1"/>
  <c r="AU25" i="14" a="1"/>
  <c r="AU11" i="13" a="1"/>
  <c r="AT25" i="14" a="1"/>
  <c r="AS23" i="5" a="1"/>
  <c r="AS18" i="16" a="1"/>
  <c r="AT6" i="14" a="1"/>
  <c r="AU12" i="15" a="1"/>
  <c r="AS5" i="15" a="1"/>
  <c r="AU21" i="16" a="1"/>
  <c r="AU25" i="12" a="1"/>
  <c r="AT16" i="10" a="1"/>
  <c r="AS22" i="5" a="1"/>
  <c r="AU17" i="7" a="1"/>
  <c r="AS20" i="15" a="1"/>
  <c r="AS16" i="9" a="1"/>
  <c r="AT15" i="16" a="1"/>
  <c r="AU9" i="13" a="1"/>
  <c r="AS24" i="8" a="1"/>
  <c r="AS19" i="6" a="1"/>
  <c r="AT17" i="12" a="1"/>
  <c r="AU19" i="15" a="1"/>
  <c r="AS18" i="10" a="1"/>
  <c r="AT22" i="6" a="1"/>
  <c r="AU25" i="8" a="1"/>
  <c r="AT24" i="10" a="1"/>
  <c r="AT8" i="13" a="1"/>
  <c r="AU20" i="6" a="1"/>
  <c r="AS7" i="14" a="1"/>
  <c r="AS19" i="10" a="1"/>
  <c r="AT8" i="15" a="1"/>
  <c r="AU18" i="15" a="1"/>
  <c r="AS23" i="10" a="1"/>
  <c r="AT21" i="5" a="1"/>
  <c r="AT23" i="15" a="1"/>
  <c r="AT16" i="11" a="1"/>
  <c r="AU17" i="8" a="1"/>
  <c r="AS23" i="15" a="1"/>
  <c r="AU18" i="12" a="1"/>
  <c r="AS11" i="14" a="1"/>
  <c r="AS22" i="16" a="1"/>
  <c r="AS10" i="12" a="1"/>
  <c r="AU12" i="16" a="1"/>
  <c r="AS12" i="12" a="1"/>
  <c r="AT25" i="13" a="1"/>
  <c r="AS25" i="8" a="1"/>
  <c r="AS22" i="10" a="1"/>
  <c r="AS18" i="17" l="1"/>
  <c r="AU18" i="17"/>
  <c r="AT18" i="17"/>
  <c r="AS19" i="17"/>
  <c r="AU19" i="17"/>
  <c r="AT19" i="17"/>
  <c r="AU20" i="17"/>
  <c r="AS20" i="17"/>
  <c r="AT20" i="17"/>
  <c r="AS21" i="17"/>
  <c r="AU21" i="17"/>
  <c r="AT21" i="17"/>
  <c r="AS22" i="17"/>
  <c r="AU22" i="17"/>
  <c r="AT22" i="17"/>
  <c r="AU23" i="17"/>
  <c r="AS23" i="17"/>
  <c r="AT23" i="17"/>
  <c r="AS25" i="17"/>
  <c r="AU25" i="17"/>
  <c r="AT25" i="17"/>
  <c r="AT26" i="17"/>
  <c r="AS16" i="17"/>
  <c r="AT16" i="17"/>
  <c r="AU17" i="17"/>
  <c r="AS17" i="17"/>
  <c r="AT17" i="17"/>
  <c r="AS24" i="17"/>
  <c r="AU24" i="17"/>
  <c r="AT24" i="17"/>
  <c r="AS22" i="13"/>
  <c r="AT22" i="13"/>
  <c r="AU22" i="13"/>
  <c r="AT15" i="16"/>
  <c r="D637" i="1" s="1"/>
  <c r="AS17" i="16"/>
  <c r="AU17" i="16"/>
  <c r="AT17" i="16"/>
  <c r="AS8" i="13"/>
  <c r="C597" i="1" s="1"/>
  <c r="AU8" i="13"/>
  <c r="E597" i="1" s="1"/>
  <c r="AT8" i="13"/>
  <c r="D597" i="1" s="1"/>
  <c r="AT23" i="13"/>
  <c r="AS23" i="13"/>
  <c r="AU23" i="13"/>
  <c r="AT19" i="16"/>
  <c r="AU19" i="16"/>
  <c r="AS19" i="16"/>
  <c r="AS11" i="13"/>
  <c r="C600" i="1" s="1"/>
  <c r="AT11" i="13"/>
  <c r="D600" i="1" s="1"/>
  <c r="AU11" i="13"/>
  <c r="E600" i="1" s="1"/>
  <c r="AT20" i="13"/>
  <c r="AU20" i="13"/>
  <c r="AS20" i="13"/>
  <c r="AT7" i="16"/>
  <c r="D629" i="1" s="1"/>
  <c r="AS7" i="16"/>
  <c r="C629" i="1" s="1"/>
  <c r="AU7" i="16"/>
  <c r="E629" i="1" s="1"/>
  <c r="AS20" i="16"/>
  <c r="AU20" i="16"/>
  <c r="AT20" i="16"/>
  <c r="AS10" i="13"/>
  <c r="C599" i="1" s="1"/>
  <c r="AT10" i="13"/>
  <c r="D599" i="1" s="1"/>
  <c r="AU10" i="13"/>
  <c r="E599" i="1" s="1"/>
  <c r="AT24" i="13"/>
  <c r="AS24" i="13"/>
  <c r="AU24" i="13"/>
  <c r="AS5" i="16"/>
  <c r="C627" i="1" s="1"/>
  <c r="AT5" i="16"/>
  <c r="D627" i="1" s="1"/>
  <c r="AT6" i="16"/>
  <c r="D628" i="1" s="1"/>
  <c r="AU6" i="16"/>
  <c r="E628" i="1" s="1"/>
  <c r="AS6" i="16"/>
  <c r="C628" i="1" s="1"/>
  <c r="AT21" i="16"/>
  <c r="AU21" i="16"/>
  <c r="AS21" i="16"/>
  <c r="AT13" i="13"/>
  <c r="D602" i="1" s="1"/>
  <c r="AU13" i="13"/>
  <c r="E602" i="1" s="1"/>
  <c r="AS13" i="13"/>
  <c r="C602" i="1" s="1"/>
  <c r="AT26" i="13"/>
  <c r="AU8" i="16"/>
  <c r="E630" i="1" s="1"/>
  <c r="AT8" i="16"/>
  <c r="D630" i="1" s="1"/>
  <c r="AS8" i="16"/>
  <c r="C630" i="1" s="1"/>
  <c r="AS9" i="16"/>
  <c r="C631" i="1" s="1"/>
  <c r="AU9" i="16"/>
  <c r="E631" i="1" s="1"/>
  <c r="AT9" i="16"/>
  <c r="D631" i="1" s="1"/>
  <c r="AT22" i="16"/>
  <c r="AU22" i="16"/>
  <c r="AS22" i="16"/>
  <c r="AT7" i="13"/>
  <c r="D596" i="1" s="1"/>
  <c r="AS7" i="13"/>
  <c r="C596" i="1" s="1"/>
  <c r="AU7" i="13"/>
  <c r="E596" i="1" s="1"/>
  <c r="AU25" i="13"/>
  <c r="AS25" i="13"/>
  <c r="AT25" i="13"/>
  <c r="AS11" i="16"/>
  <c r="C633" i="1" s="1"/>
  <c r="AU11" i="16"/>
  <c r="E633" i="1" s="1"/>
  <c r="AT11" i="16"/>
  <c r="D633" i="1" s="1"/>
  <c r="AU24" i="16"/>
  <c r="AT24" i="16"/>
  <c r="AS24" i="16"/>
  <c r="AT12" i="13"/>
  <c r="D601" i="1" s="1"/>
  <c r="AS12" i="13"/>
  <c r="C601" i="1" s="1"/>
  <c r="AU12" i="13"/>
  <c r="E601" i="1" s="1"/>
  <c r="AS16" i="13"/>
  <c r="AT16" i="13"/>
  <c r="AS9" i="13"/>
  <c r="C598" i="1" s="1"/>
  <c r="AT9" i="13"/>
  <c r="D598" i="1" s="1"/>
  <c r="AU9" i="13"/>
  <c r="E598" i="1" s="1"/>
  <c r="AT12" i="16"/>
  <c r="D634" i="1" s="1"/>
  <c r="AU12" i="16"/>
  <c r="E634" i="1" s="1"/>
  <c r="AS12" i="16"/>
  <c r="C634" i="1" s="1"/>
  <c r="AT25" i="16"/>
  <c r="AS25" i="16"/>
  <c r="AU25" i="16"/>
  <c r="AT14" i="13"/>
  <c r="D603" i="1" s="1"/>
  <c r="AS14" i="13"/>
  <c r="C603" i="1" s="1"/>
  <c r="AU14" i="13"/>
  <c r="E603" i="1" s="1"/>
  <c r="AT17" i="13"/>
  <c r="AS17" i="13"/>
  <c r="AU17" i="13"/>
  <c r="AU18" i="16"/>
  <c r="AT18" i="16"/>
  <c r="AS18" i="16"/>
  <c r="AT10" i="16"/>
  <c r="D632" i="1" s="1"/>
  <c r="AU10" i="16"/>
  <c r="E632" i="1" s="1"/>
  <c r="AS10" i="16"/>
  <c r="C632" i="1" s="1"/>
  <c r="AU23" i="16"/>
  <c r="AT23" i="16"/>
  <c r="AS23" i="16"/>
  <c r="AT15" i="13"/>
  <c r="D604" i="1" s="1"/>
  <c r="AU18" i="13"/>
  <c r="AS18" i="13"/>
  <c r="AT18" i="13"/>
  <c r="AU13" i="16"/>
  <c r="E635" i="1" s="1"/>
  <c r="AT13" i="16"/>
  <c r="D635" i="1" s="1"/>
  <c r="AS13" i="16"/>
  <c r="C635" i="1" s="1"/>
  <c r="AT26" i="16"/>
  <c r="AT5" i="13"/>
  <c r="D594" i="1" s="1"/>
  <c r="AS5" i="13"/>
  <c r="C594" i="1" s="1"/>
  <c r="AT19" i="13"/>
  <c r="AS19" i="13"/>
  <c r="AU19" i="13"/>
  <c r="AT14" i="16"/>
  <c r="D636" i="1" s="1"/>
  <c r="AS14" i="16"/>
  <c r="C636" i="1" s="1"/>
  <c r="AU14" i="16"/>
  <c r="E636" i="1" s="1"/>
  <c r="AS16" i="16"/>
  <c r="AT16" i="16"/>
  <c r="AT6" i="13"/>
  <c r="D595" i="1" s="1"/>
  <c r="AU6" i="13"/>
  <c r="E595" i="1" s="1"/>
  <c r="AS6" i="13"/>
  <c r="C595" i="1" s="1"/>
  <c r="AU21" i="13"/>
  <c r="AS21" i="13"/>
  <c r="AT21" i="13"/>
  <c r="B637" i="1"/>
  <c r="B597" i="1"/>
  <c r="B600" i="1"/>
  <c r="B629" i="1"/>
  <c r="B599" i="1"/>
  <c r="B627" i="1"/>
  <c r="B628" i="1"/>
  <c r="B602" i="1"/>
  <c r="B630" i="1"/>
  <c r="B631" i="1"/>
  <c r="B596" i="1"/>
  <c r="B633" i="1"/>
  <c r="B601" i="1"/>
  <c r="B598" i="1"/>
  <c r="B634" i="1"/>
  <c r="B603" i="1"/>
  <c r="B632" i="1"/>
  <c r="B604" i="1"/>
  <c r="B635" i="1"/>
  <c r="B594" i="1"/>
  <c r="B636" i="1"/>
  <c r="B595" i="1"/>
  <c r="AT6" i="15"/>
  <c r="D617" i="1" s="1"/>
  <c r="AU6" i="15"/>
  <c r="E617" i="1" s="1"/>
  <c r="AS6" i="15"/>
  <c r="C617" i="1" s="1"/>
  <c r="AT22" i="15"/>
  <c r="AU22" i="15"/>
  <c r="AS22" i="15"/>
  <c r="AT20" i="15"/>
  <c r="AS20" i="15"/>
  <c r="AU20" i="15"/>
  <c r="AT14" i="15"/>
  <c r="D625" i="1" s="1"/>
  <c r="AS14" i="15"/>
  <c r="C625" i="1" s="1"/>
  <c r="AU14" i="15"/>
  <c r="E625" i="1" s="1"/>
  <c r="AT26" i="15"/>
  <c r="AT8" i="15"/>
  <c r="D619" i="1" s="1"/>
  <c r="AS8" i="15"/>
  <c r="C619" i="1" s="1"/>
  <c r="AU8" i="15"/>
  <c r="E619" i="1" s="1"/>
  <c r="AT9" i="15"/>
  <c r="D620" i="1" s="1"/>
  <c r="AS9" i="15"/>
  <c r="C620" i="1" s="1"/>
  <c r="AU9" i="15"/>
  <c r="E620" i="1" s="1"/>
  <c r="AT23" i="15"/>
  <c r="AS23" i="15"/>
  <c r="AU23" i="15"/>
  <c r="AT15" i="15"/>
  <c r="D626" i="1" s="1"/>
  <c r="AT16" i="15"/>
  <c r="AS16" i="15"/>
  <c r="AT11" i="15"/>
  <c r="D622" i="1" s="1"/>
  <c r="AS11" i="15"/>
  <c r="C622" i="1" s="1"/>
  <c r="AU11" i="15"/>
  <c r="E622" i="1" s="1"/>
  <c r="AT17" i="15"/>
  <c r="AS17" i="15"/>
  <c r="AU17" i="15"/>
  <c r="AU21" i="15"/>
  <c r="AS21" i="15"/>
  <c r="AT21" i="15"/>
  <c r="AT24" i="15"/>
  <c r="AU24" i="15"/>
  <c r="AS24" i="15"/>
  <c r="AT10" i="15"/>
  <c r="D621" i="1" s="1"/>
  <c r="AU10" i="15"/>
  <c r="E621" i="1" s="1"/>
  <c r="AS10" i="15"/>
  <c r="C621" i="1" s="1"/>
  <c r="AT12" i="15"/>
  <c r="D623" i="1" s="1"/>
  <c r="AS12" i="15"/>
  <c r="C623" i="1" s="1"/>
  <c r="AU12" i="15"/>
  <c r="E623" i="1" s="1"/>
  <c r="AT25" i="15"/>
  <c r="AU25" i="15"/>
  <c r="AS25" i="15"/>
  <c r="AT5" i="15"/>
  <c r="D616" i="1" s="1"/>
  <c r="AS5" i="15"/>
  <c r="C616" i="1" s="1"/>
  <c r="AT18" i="15"/>
  <c r="AU18" i="15"/>
  <c r="AS18" i="15"/>
  <c r="AT13" i="15"/>
  <c r="D624" i="1" s="1"/>
  <c r="AU13" i="15"/>
  <c r="E624" i="1" s="1"/>
  <c r="AS13" i="15"/>
  <c r="C624" i="1" s="1"/>
  <c r="AT7" i="15"/>
  <c r="D618" i="1" s="1"/>
  <c r="AS7" i="15"/>
  <c r="C618" i="1" s="1"/>
  <c r="AU7" i="15"/>
  <c r="E618" i="1" s="1"/>
  <c r="AT19" i="15"/>
  <c r="AU19" i="15"/>
  <c r="AS19" i="15"/>
  <c r="AT9" i="14"/>
  <c r="D609" i="1" s="1"/>
  <c r="AS9" i="14"/>
  <c r="C609" i="1" s="1"/>
  <c r="AU9" i="14"/>
  <c r="E609" i="1" s="1"/>
  <c r="AS20" i="14"/>
  <c r="AU20" i="14"/>
  <c r="AT20" i="14"/>
  <c r="AT6" i="14"/>
  <c r="D606" i="1" s="1"/>
  <c r="AU6" i="14"/>
  <c r="E606" i="1" s="1"/>
  <c r="AS6" i="14"/>
  <c r="C606" i="1" s="1"/>
  <c r="AU21" i="14"/>
  <c r="AS21" i="14"/>
  <c r="AT21" i="14"/>
  <c r="AT23" i="14"/>
  <c r="AS23" i="14"/>
  <c r="AU23" i="14"/>
  <c r="AT11" i="14"/>
  <c r="D611" i="1" s="1"/>
  <c r="AS11" i="14"/>
  <c r="C611" i="1" s="1"/>
  <c r="AU11" i="14"/>
  <c r="E611" i="1" s="1"/>
  <c r="AT25" i="14"/>
  <c r="AU25" i="14"/>
  <c r="AS25" i="14"/>
  <c r="AT10" i="14"/>
  <c r="D610" i="1" s="1"/>
  <c r="AU10" i="14"/>
  <c r="E610" i="1" s="1"/>
  <c r="AS10" i="14"/>
  <c r="C610" i="1" s="1"/>
  <c r="AT13" i="14"/>
  <c r="D613" i="1" s="1"/>
  <c r="AU13" i="14"/>
  <c r="E613" i="1" s="1"/>
  <c r="AS13" i="14"/>
  <c r="C613" i="1" s="1"/>
  <c r="AT26" i="14"/>
  <c r="AT24" i="14"/>
  <c r="AU24" i="14"/>
  <c r="AS24" i="14"/>
  <c r="AT14" i="14"/>
  <c r="D614" i="1" s="1"/>
  <c r="AS14" i="14"/>
  <c r="C614" i="1" s="1"/>
  <c r="AU14" i="14"/>
  <c r="E614" i="1" s="1"/>
  <c r="AT22" i="14"/>
  <c r="AU22" i="14"/>
  <c r="AS22" i="14"/>
  <c r="AT7" i="14"/>
  <c r="D607" i="1" s="1"/>
  <c r="AS7" i="14"/>
  <c r="C607" i="1" s="1"/>
  <c r="AU7" i="14"/>
  <c r="E607" i="1" s="1"/>
  <c r="AT8" i="14"/>
  <c r="D608" i="1" s="1"/>
  <c r="AS8" i="14"/>
  <c r="C608" i="1" s="1"/>
  <c r="AU8" i="14"/>
  <c r="E608" i="1" s="1"/>
  <c r="AS16" i="14"/>
  <c r="AT16" i="14"/>
  <c r="AU19" i="14"/>
  <c r="AS19" i="14"/>
  <c r="AT19" i="14"/>
  <c r="AT15" i="14"/>
  <c r="D615" i="1" s="1"/>
  <c r="AS17" i="14"/>
  <c r="AU17" i="14"/>
  <c r="AT17" i="14"/>
  <c r="AT12" i="14"/>
  <c r="D612" i="1" s="1"/>
  <c r="AS12" i="14"/>
  <c r="C612" i="1" s="1"/>
  <c r="AU12" i="14"/>
  <c r="E612" i="1" s="1"/>
  <c r="AT5" i="14"/>
  <c r="D605" i="1" s="1"/>
  <c r="AS5" i="14"/>
  <c r="C605" i="1" s="1"/>
  <c r="AU18" i="14"/>
  <c r="AS18" i="14"/>
  <c r="AT18" i="14"/>
  <c r="AT14" i="12"/>
  <c r="D592" i="1" s="1"/>
  <c r="AS14" i="12"/>
  <c r="C592" i="1" s="1"/>
  <c r="AU14" i="12"/>
  <c r="E592" i="1" s="1"/>
  <c r="AT15" i="12"/>
  <c r="D593" i="1" s="1"/>
  <c r="AT5" i="12"/>
  <c r="D583" i="1" s="1"/>
  <c r="AS5" i="12"/>
  <c r="C583" i="1" s="1"/>
  <c r="AT6" i="12"/>
  <c r="D584" i="1" s="1"/>
  <c r="AS6" i="12"/>
  <c r="C584" i="1" s="1"/>
  <c r="AU6" i="12"/>
  <c r="E584" i="1" s="1"/>
  <c r="AT7" i="12"/>
  <c r="D585" i="1" s="1"/>
  <c r="AU7" i="12"/>
  <c r="E585" i="1" s="1"/>
  <c r="AS7" i="12"/>
  <c r="C585" i="1" s="1"/>
  <c r="AT8" i="12"/>
  <c r="D586" i="1" s="1"/>
  <c r="AS8" i="12"/>
  <c r="C586" i="1" s="1"/>
  <c r="AU8" i="12"/>
  <c r="E586" i="1" s="1"/>
  <c r="AT9" i="12"/>
  <c r="D587" i="1" s="1"/>
  <c r="AS9" i="12"/>
  <c r="C587" i="1" s="1"/>
  <c r="AU9" i="12"/>
  <c r="E587" i="1" s="1"/>
  <c r="AT12" i="12"/>
  <c r="D590" i="1" s="1"/>
  <c r="AS12" i="12"/>
  <c r="C590" i="1" s="1"/>
  <c r="AU12" i="12"/>
  <c r="E590" i="1" s="1"/>
  <c r="AT10" i="12"/>
  <c r="D588" i="1" s="1"/>
  <c r="AU10" i="12"/>
  <c r="E588" i="1" s="1"/>
  <c r="AS10" i="12"/>
  <c r="C588" i="1" s="1"/>
  <c r="AT13" i="12"/>
  <c r="D591" i="1" s="1"/>
  <c r="AU13" i="12"/>
  <c r="E591" i="1" s="1"/>
  <c r="AS13" i="12"/>
  <c r="C591" i="1" s="1"/>
  <c r="AT11" i="12"/>
  <c r="D589" i="1" s="1"/>
  <c r="AS11" i="12"/>
  <c r="C589" i="1" s="1"/>
  <c r="AU11" i="12"/>
  <c r="E589" i="1" s="1"/>
  <c r="B592" i="1"/>
  <c r="B593" i="1"/>
  <c r="B583" i="1"/>
  <c r="B584" i="1"/>
  <c r="B585" i="1"/>
  <c r="B586" i="1"/>
  <c r="B587" i="1"/>
  <c r="B590" i="1"/>
  <c r="B588" i="1"/>
  <c r="B591" i="1"/>
  <c r="B589" i="1"/>
  <c r="AU17" i="12"/>
  <c r="AS17" i="12"/>
  <c r="AT17" i="12"/>
  <c r="AS18" i="12"/>
  <c r="AU18" i="12"/>
  <c r="AT18" i="12"/>
  <c r="AU20" i="12"/>
  <c r="AS20" i="12"/>
  <c r="AT20" i="12"/>
  <c r="AS21" i="12"/>
  <c r="AU21" i="12"/>
  <c r="AT21" i="12"/>
  <c r="AS22" i="12"/>
  <c r="AU22" i="12"/>
  <c r="AT22" i="12"/>
  <c r="AU23" i="12"/>
  <c r="AS23" i="12"/>
  <c r="AT23" i="12"/>
  <c r="AS25" i="12"/>
  <c r="AU25" i="12"/>
  <c r="AT25" i="12"/>
  <c r="AT26" i="12"/>
  <c r="AS19" i="12"/>
  <c r="AU19" i="12"/>
  <c r="AT19" i="12"/>
  <c r="AS24" i="12"/>
  <c r="AU24" i="12"/>
  <c r="AT24" i="12"/>
  <c r="AS16" i="12"/>
  <c r="AT16" i="12"/>
  <c r="AU17" i="11"/>
  <c r="AS17" i="11"/>
  <c r="AT17" i="11"/>
  <c r="AS18" i="11"/>
  <c r="AU18" i="11"/>
  <c r="AT18" i="11"/>
  <c r="AS19" i="11"/>
  <c r="AU19" i="11"/>
  <c r="AT19" i="11"/>
  <c r="AU20" i="11"/>
  <c r="AS20" i="11"/>
  <c r="AT20" i="11"/>
  <c r="AS21" i="11"/>
  <c r="AU21" i="11"/>
  <c r="AT21" i="11"/>
  <c r="AS22" i="11"/>
  <c r="AU22" i="11"/>
  <c r="AT22" i="11"/>
  <c r="AS24" i="11"/>
  <c r="AU24" i="11"/>
  <c r="AT24" i="11"/>
  <c r="AU23" i="11"/>
  <c r="AS23" i="11"/>
  <c r="AT23" i="11"/>
  <c r="AS25" i="11"/>
  <c r="AU25" i="11"/>
  <c r="AT25" i="11"/>
  <c r="AT26" i="11"/>
  <c r="AS16" i="11"/>
  <c r="AT16" i="11"/>
  <c r="AS25" i="10"/>
  <c r="AT25" i="10"/>
  <c r="AU25" i="10"/>
  <c r="AS17" i="10"/>
  <c r="AU17" i="10"/>
  <c r="AT17" i="10"/>
  <c r="AS24" i="10"/>
  <c r="AT24" i="10"/>
  <c r="AU24" i="10"/>
  <c r="AS23" i="10"/>
  <c r="AT23" i="10"/>
  <c r="AU23" i="10"/>
  <c r="AT20" i="10"/>
  <c r="AU20" i="10"/>
  <c r="AS20" i="10"/>
  <c r="AS21" i="10"/>
  <c r="AU21" i="10"/>
  <c r="AT21" i="10"/>
  <c r="AU22" i="10"/>
  <c r="AS22" i="10"/>
  <c r="AT22" i="10"/>
  <c r="AT26" i="10"/>
  <c r="AT19" i="10"/>
  <c r="AU19" i="10"/>
  <c r="AS19" i="10"/>
  <c r="AT18" i="10"/>
  <c r="AS18" i="10"/>
  <c r="AU18" i="10"/>
  <c r="AS16" i="10"/>
  <c r="AT16" i="10"/>
  <c r="AS18" i="9"/>
  <c r="AU18" i="9"/>
  <c r="AT18" i="9"/>
  <c r="AS19" i="9"/>
  <c r="AU19" i="9"/>
  <c r="AT19" i="9"/>
  <c r="AU20" i="9"/>
  <c r="AS20" i="9"/>
  <c r="AT20" i="9"/>
  <c r="AS21" i="9"/>
  <c r="AU21" i="9"/>
  <c r="AT21" i="9"/>
  <c r="AU23" i="9"/>
  <c r="AS23" i="9"/>
  <c r="AT23" i="9"/>
  <c r="AS22" i="9"/>
  <c r="AU22" i="9"/>
  <c r="AT22" i="9"/>
  <c r="AS25" i="9"/>
  <c r="AU25" i="9"/>
  <c r="AT25" i="9"/>
  <c r="AT26" i="9"/>
  <c r="AS16" i="9"/>
  <c r="AT16" i="9"/>
  <c r="AS24" i="9"/>
  <c r="AU24" i="9"/>
  <c r="AT24" i="9"/>
  <c r="AU17" i="9"/>
  <c r="AS17" i="9"/>
  <c r="AT17" i="9"/>
  <c r="AS18" i="8"/>
  <c r="AU18" i="8"/>
  <c r="AT18" i="8"/>
  <c r="AS19" i="8"/>
  <c r="AU19" i="8"/>
  <c r="AT19" i="8"/>
  <c r="AS24" i="8"/>
  <c r="AU24" i="8"/>
  <c r="AT24" i="8"/>
  <c r="AU20" i="8"/>
  <c r="AS20" i="8"/>
  <c r="AT20" i="8"/>
  <c r="AS21" i="8"/>
  <c r="AU21" i="8"/>
  <c r="AT21" i="8"/>
  <c r="AS22" i="8"/>
  <c r="AU22" i="8"/>
  <c r="AT22" i="8"/>
  <c r="AU23" i="8"/>
  <c r="AS23" i="8"/>
  <c r="AT23" i="8"/>
  <c r="AS25" i="8"/>
  <c r="AU25" i="8"/>
  <c r="AT25" i="8"/>
  <c r="AT26" i="8"/>
  <c r="AS16" i="8"/>
  <c r="AT16" i="8"/>
  <c r="AU17" i="8"/>
  <c r="AS17" i="8"/>
  <c r="AT17" i="8"/>
  <c r="AS21" i="7"/>
  <c r="AU21" i="7"/>
  <c r="AT21" i="7"/>
  <c r="AS18" i="7"/>
  <c r="AU18" i="7"/>
  <c r="AT18" i="7"/>
  <c r="AU20" i="7"/>
  <c r="AS20" i="7"/>
  <c r="AT20" i="7"/>
  <c r="AS24" i="7"/>
  <c r="AU24" i="7"/>
  <c r="AT24" i="7"/>
  <c r="AS19" i="7"/>
  <c r="AU19" i="7"/>
  <c r="AT19" i="7"/>
  <c r="AS22" i="7"/>
  <c r="AU22" i="7"/>
  <c r="AT22" i="7"/>
  <c r="AU23" i="7"/>
  <c r="AS23" i="7"/>
  <c r="AT23" i="7"/>
  <c r="AS25" i="7"/>
  <c r="AU25" i="7"/>
  <c r="AT25" i="7"/>
  <c r="AT26" i="7"/>
  <c r="AS16" i="7"/>
  <c r="AT16" i="7"/>
  <c r="AU17" i="7"/>
  <c r="AS17" i="7"/>
  <c r="AT17" i="7"/>
  <c r="AS18" i="6"/>
  <c r="AU18" i="6"/>
  <c r="AT18" i="6"/>
  <c r="AU23" i="6"/>
  <c r="AS23" i="6"/>
  <c r="AT23" i="6"/>
  <c r="AS19" i="6"/>
  <c r="AU19" i="6"/>
  <c r="AT19" i="6"/>
  <c r="AU20" i="6"/>
  <c r="AS20" i="6"/>
  <c r="AT20" i="6"/>
  <c r="AS21" i="6"/>
  <c r="AU21" i="6"/>
  <c r="AT21" i="6"/>
  <c r="AS22" i="6"/>
  <c r="AU22" i="6"/>
  <c r="AT22" i="6"/>
  <c r="AS25" i="6"/>
  <c r="AU25" i="6"/>
  <c r="AT25" i="6"/>
  <c r="AS24" i="6"/>
  <c r="AU24" i="6"/>
  <c r="AT24" i="6"/>
  <c r="AT26" i="6"/>
  <c r="AS16" i="6"/>
  <c r="AT16" i="6"/>
  <c r="AU17" i="6"/>
  <c r="AS17" i="6"/>
  <c r="AT17" i="6"/>
  <c r="AT22" i="5"/>
  <c r="AU22" i="5"/>
  <c r="AS22" i="5"/>
  <c r="AT20" i="5"/>
  <c r="AU20" i="5"/>
  <c r="AS20" i="5"/>
  <c r="AT18" i="5"/>
  <c r="AU18" i="5"/>
  <c r="AS18" i="5"/>
  <c r="AT19" i="5"/>
  <c r="AU19" i="5"/>
  <c r="AS19" i="5"/>
  <c r="AT23" i="5"/>
  <c r="AU23" i="5"/>
  <c r="AS23" i="5"/>
  <c r="AT17" i="5"/>
  <c r="AU17" i="5"/>
  <c r="AS17" i="5"/>
  <c r="AT16" i="5"/>
  <c r="AS16" i="5"/>
  <c r="AT26" i="5"/>
  <c r="AT25" i="5"/>
  <c r="AU25" i="5"/>
  <c r="AS25" i="5"/>
  <c r="AT24" i="5"/>
  <c r="AU24" i="5"/>
  <c r="AS24" i="5"/>
  <c r="AT21" i="5"/>
  <c r="AU21" i="5"/>
  <c r="AS2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<sst xmlns="http://schemas.openxmlformats.org/spreadsheetml/2006/main" count="2148" uniqueCount="519">
  <si>
    <t>ID</t>
  </si>
  <si>
    <t>Производитель</t>
  </si>
  <si>
    <t>Модель</t>
  </si>
  <si>
    <t>Ступеней_макс</t>
  </si>
  <si>
    <t>Номинал</t>
  </si>
  <si>
    <t>Частота</t>
  </si>
  <si>
    <t>Дебит</t>
  </si>
  <si>
    <t>Напор</t>
  </si>
  <si>
    <t>Мощность</t>
  </si>
  <si>
    <t>КПД</t>
  </si>
  <si>
    <t>Generic</t>
  </si>
  <si>
    <t>ЭЦН4-30</t>
  </si>
  <si>
    <t>ЭЦН5-125</t>
  </si>
  <si>
    <t>ЭЦН5-15</t>
  </si>
  <si>
    <t>ЭЦН5-25</t>
  </si>
  <si>
    <t>ЭЦН5-30</t>
  </si>
  <si>
    <t>ЭЦН5-44</t>
  </si>
  <si>
    <t>ЭЦН5-500</t>
  </si>
  <si>
    <t>ЭЦН5-59</t>
  </si>
  <si>
    <t>ЭЦН5-79</t>
  </si>
  <si>
    <t>ЭЦН5А-100</t>
  </si>
  <si>
    <t>ЭЦН5А-124</t>
  </si>
  <si>
    <t>ЭЦН5А-159</t>
  </si>
  <si>
    <t>ЭЦН5А-199</t>
  </si>
  <si>
    <t>ЭЦН5А-240</t>
  </si>
  <si>
    <t>ЭЦН5А-280</t>
  </si>
  <si>
    <t>ЭЦН5А-35</t>
  </si>
  <si>
    <t>ЭЦН5А-50</t>
  </si>
  <si>
    <t>ЭЦН5А-500</t>
  </si>
  <si>
    <t>ЭЦН5А-700</t>
  </si>
  <si>
    <t>ЭЦН6-1000</t>
  </si>
  <si>
    <t>ЭЦН6А-130</t>
  </si>
  <si>
    <t>ЭЦН6А-250</t>
  </si>
  <si>
    <t>ЭЦН7-2000</t>
  </si>
  <si>
    <t>ЭЦН8-1000</t>
  </si>
  <si>
    <t>ЭЦН8-2000</t>
  </si>
  <si>
    <t>ЭЦН8-2500</t>
  </si>
  <si>
    <t>ЭЦН6-1250</t>
  </si>
  <si>
    <t>ЭЦН3-90</t>
  </si>
  <si>
    <t>ЭЦН8-500</t>
  </si>
  <si>
    <t>ЭЦН4-200</t>
  </si>
  <si>
    <t>ЭЦН8-3000</t>
  </si>
  <si>
    <t>ЭЦН4-20</t>
  </si>
  <si>
    <t>ЭЦН5-20</t>
  </si>
  <si>
    <t>ЭЦН5-35</t>
  </si>
  <si>
    <t>ЭЦН5-50</t>
  </si>
  <si>
    <t>ЭЦН5-80</t>
  </si>
  <si>
    <t>ЭЦН5-100</t>
  </si>
  <si>
    <t>ЭЦН5А-25</t>
  </si>
  <si>
    <t>ЭЦН5А-34</t>
  </si>
  <si>
    <t>ЭЦН2А-30Э</t>
  </si>
  <si>
    <t>ЭЦН2А-50Э</t>
  </si>
  <si>
    <t>ЭЦН5А-100Э</t>
  </si>
  <si>
    <t>Габарит</t>
  </si>
  <si>
    <t>5A</t>
  </si>
  <si>
    <t>База данных ЭЦН - расходные характеристики насосов.</t>
  </si>
  <si>
    <t>Область для фильтра характеристик по номеру</t>
  </si>
  <si>
    <t>Добавьте нужные данные тут по примеру уже имеющихся</t>
  </si>
  <si>
    <t>База данных ЭЦН - параметры насосов</t>
  </si>
  <si>
    <t>Левая граница</t>
  </si>
  <si>
    <t>Правая граница</t>
  </si>
  <si>
    <t>Обороты номинальные</t>
  </si>
  <si>
    <t>Макс КПД</t>
  </si>
  <si>
    <t>Высота ступени мм</t>
  </si>
  <si>
    <t>Диаметр корпуса внеш мм</t>
  </si>
  <si>
    <t>Мин Диаметр обадной колонны мм</t>
  </si>
  <si>
    <t>Диаметр вала мм</t>
  </si>
  <si>
    <t>Площадь вала мм2</t>
  </si>
  <si>
    <t>Стандартный кВт</t>
  </si>
  <si>
    <t>Повышенной прочности кВт</t>
  </si>
  <si>
    <t>Высокопрочный кВт</t>
  </si>
  <si>
    <t>Предельное давление на корпус</t>
  </si>
  <si>
    <t>manufacturer</t>
  </si>
  <si>
    <t>name</t>
  </si>
  <si>
    <t>stages_max</t>
  </si>
  <si>
    <t>rate_nom_sm3day</t>
  </si>
  <si>
    <t>rate_opt_min_sm3day</t>
  </si>
  <si>
    <t>rate_opt_max_sm3day</t>
  </si>
  <si>
    <t>slip_nom_rpm</t>
  </si>
  <si>
    <t>freq_Hz</t>
  </si>
  <si>
    <t>eff_max</t>
  </si>
  <si>
    <t>d_shaft_mm</t>
  </si>
  <si>
    <t>area_shaft_mm2</t>
  </si>
  <si>
    <t>power_limit_shaft_kW</t>
  </si>
  <si>
    <t>pressure_limit_housing_atma</t>
  </si>
  <si>
    <t>power_limit_shaft_high_kW</t>
  </si>
  <si>
    <t>power_limit_shaft_max_kW</t>
  </si>
  <si>
    <t>Источник данных</t>
  </si>
  <si>
    <t>source</t>
  </si>
  <si>
    <t>legacy</t>
  </si>
  <si>
    <t>Макс дебит</t>
  </si>
  <si>
    <t>rate_max_sm3day</t>
  </si>
  <si>
    <t>height_stage_m</t>
  </si>
  <si>
    <t>d_od_mm</t>
  </si>
  <si>
    <t>d_cas_min_mm</t>
  </si>
  <si>
    <t>Series</t>
  </si>
  <si>
    <t>6А</t>
  </si>
  <si>
    <t>2А</t>
  </si>
  <si>
    <t>не надо добавлять значения в строку 5</t>
  </si>
  <si>
    <t>d_motor_od_mm</t>
  </si>
  <si>
    <t>Диаметр двигателя</t>
  </si>
  <si>
    <t xml:space="preserve">found pump ID = 736. read curve done. 27 params. 14 points in curve. </t>
  </si>
  <si>
    <t xml:space="preserve">found pump ID = 737. read curve done. 27 params. 14 points in curve. </t>
  </si>
  <si>
    <t xml:space="preserve">found pump ID = 738. read curve done. 27 params. 7 points in curve. </t>
  </si>
  <si>
    <t xml:space="preserve">found pump ID = 739. read curve done. 27 params. 13 points in curve. </t>
  </si>
  <si>
    <t xml:space="preserve">found pump ID = 740. read curve done. 27 params. 7 points in curve. </t>
  </si>
  <si>
    <t xml:space="preserve">found pump ID = 741. read curve done. 27 params. 7 points in curve. </t>
  </si>
  <si>
    <t xml:space="preserve">found pump ID = 742. read curve done. 27 params. 10 points in curve. </t>
  </si>
  <si>
    <t xml:space="preserve">found pump ID = 743. read curve done. 27 params. 15 points in curve. </t>
  </si>
  <si>
    <t xml:space="preserve">found pump ID = 744. read curve done. 27 params. 21 points in curve. </t>
  </si>
  <si>
    <t xml:space="preserve">found pump ID = 745. read curve done. 27 params. 11 points in curve. </t>
  </si>
  <si>
    <t xml:space="preserve">found pump ID = 746. read curve done. 27 params. 15 points in curve. </t>
  </si>
  <si>
    <t xml:space="preserve">found pump ID = 747. read curve done. 27 params. 15 points in curve. </t>
  </si>
  <si>
    <t xml:space="preserve">found pump ID = 748. read curve done. 27 params. 14 points in curve. </t>
  </si>
  <si>
    <t xml:space="preserve">found pump ID = 749. read curve done. 27 params. 12 points in curve. </t>
  </si>
  <si>
    <t xml:space="preserve">found pump ID = 750. read curve done. 27 params. 16 points in curve. </t>
  </si>
  <si>
    <t xml:space="preserve">found pump ID = 751. read curve done. 27 params. 11 points in curve. </t>
  </si>
  <si>
    <t xml:space="preserve">found pump ID = 752. read curve done. 27 params. 12 points in curve. </t>
  </si>
  <si>
    <t xml:space="preserve">found pump ID = 753. read curve done. 27 params. 17 points in curve. </t>
  </si>
  <si>
    <t xml:space="preserve">found pump ID = 754. read curve done. 27 params. 14 points in curve. </t>
  </si>
  <si>
    <t xml:space="preserve">found pump ID = 755. read curve done. 27 params. 17 points in curve. </t>
  </si>
  <si>
    <t xml:space="preserve">found pump ID = 756. read curve done. 27 params. 16 points in curve. </t>
  </si>
  <si>
    <t xml:space="preserve">found pump ID = 757. read curve done. 27 params. 11 points in curve. </t>
  </si>
  <si>
    <t xml:space="preserve">found pump ID = 758. read curve done. 27 params. 10 points in curve. </t>
  </si>
  <si>
    <t xml:space="preserve">found pump ID = 759. read curve done. 27 params. 8 points in curve. </t>
  </si>
  <si>
    <t xml:space="preserve">found pump ID = 760. read curve done. 27 params. 17 points in curve. </t>
  </si>
  <si>
    <t xml:space="preserve">found pump ID = 761. read curve done. 27 params. 13 points in curve. </t>
  </si>
  <si>
    <t xml:space="preserve">found pump ID = 767. read curve done. 27 params. 20 points in curve. </t>
  </si>
  <si>
    <t xml:space="preserve">found pump ID = 799. read curve done. 27 params. 30 points in curve. </t>
  </si>
  <si>
    <t xml:space="preserve">found pump ID = 871. read curve done. 27 params. 9 points in curve. </t>
  </si>
  <si>
    <t xml:space="preserve">found pump ID = 877. read curve done. 27 params. 20 points in curve. </t>
  </si>
  <si>
    <t xml:space="preserve">found pump ID = 878. read curve done. 27 params. 8 points in curve. </t>
  </si>
  <si>
    <t xml:space="preserve">found pump ID = 879. read curve done. 27 params. 6 points in curve. </t>
  </si>
  <si>
    <t xml:space="preserve">found pump ID = 1002. read curve done. 27 params. 7 points in curve. </t>
  </si>
  <si>
    <t xml:space="preserve">found pump ID = 1003. read curve done. 27 params. 7 points in curve. </t>
  </si>
  <si>
    <t xml:space="preserve">found pump ID = 1004. read curve done. 27 params. 7 points in curve. </t>
  </si>
  <si>
    <t xml:space="preserve">found pump ID = 1005. read curve done. 27 params. 8 points in curve. </t>
  </si>
  <si>
    <t xml:space="preserve">found pump ID = 1006. read curve done. 27 params. 7 points in curve. </t>
  </si>
  <si>
    <t xml:space="preserve">found pump ID = 1007. read curve done. 27 params. 7 points in curve. </t>
  </si>
  <si>
    <t xml:space="preserve">found pump ID = 1008. read curve done. 27 params. 7 points in curve. </t>
  </si>
  <si>
    <t xml:space="preserve">found pump ID = 1009. read curve done. 27 params. 9 points in curve. </t>
  </si>
  <si>
    <t xml:space="preserve">found pump ID = 1012. read curve done. 27 params. 7 points in curve. </t>
  </si>
  <si>
    <t xml:space="preserve">found pump ID = 1016. read curve done. 27 params. 8 points in curve. </t>
  </si>
  <si>
    <t xml:space="preserve">found pump ID = 1025. read curve done. 27 params. 7 points in curve. </t>
  </si>
  <si>
    <t>Имя</t>
  </si>
  <si>
    <t>Номинальная частота Гц</t>
  </si>
  <si>
    <t>Базовое количество ступеней</t>
  </si>
  <si>
    <t>Характеристика</t>
  </si>
  <si>
    <t>Серии</t>
  </si>
  <si>
    <t>Номинальный дебит пласт м3/сут</t>
  </si>
  <si>
    <t>Допустимый Мин. расход пласт м3/сут</t>
  </si>
  <si>
    <t>Допустимый Макс. расход пласт м3/сут</t>
  </si>
  <si>
    <t>Рекомендуемый Мин. расход пласт м3/сут</t>
  </si>
  <si>
    <t>Рекомендуемый Макс. расход пласт м3/сут</t>
  </si>
  <si>
    <t>Диаметр м</t>
  </si>
  <si>
    <t>номер символа частоты</t>
  </si>
  <si>
    <t>частота хар-ки об/мин</t>
  </si>
  <si>
    <t>частота тока об/мин</t>
  </si>
  <si>
    <t>скольжение</t>
  </si>
  <si>
    <t>Novomet NFV(310-630)H @ 5820 RPM</t>
  </si>
  <si>
    <t>Полином</t>
  </si>
  <si>
    <t>Novomet N217(310-900)H @ 5820 RPM</t>
  </si>
  <si>
    <t>Novomet N217(310-900)H @ 8500 RPM</t>
  </si>
  <si>
    <t>Novomet N217(310-900)H @ 2910 RPM</t>
  </si>
  <si>
    <t>Novomet NAV(440-630)H @ 5760 RPM</t>
  </si>
  <si>
    <t>Novomet NAV(130-250)H @ 2910 RPM</t>
  </si>
  <si>
    <t>Novomet NAV(130-250)H @ 3640 RPM</t>
  </si>
  <si>
    <t>Novomet NAV(190-380)H @ 2570 RPM</t>
  </si>
  <si>
    <t>Novomet NAV(130-250)H @ 4365 RPM</t>
  </si>
  <si>
    <t>Novomet NAV(130-250)H @ 5090 RPM</t>
  </si>
  <si>
    <t>Novomet NAV(130-250)H @ 5820 RPM</t>
  </si>
  <si>
    <t>Novomet NAV(190-380)H @ 3855 RPM</t>
  </si>
  <si>
    <t>Novomet NAV(440-630)H @ 2880 RPM</t>
  </si>
  <si>
    <t>Novomet NAV(190-380)H @ 4280 RPM</t>
  </si>
  <si>
    <t>Novomet NAV(190-380)H @ 5140 RPM</t>
  </si>
  <si>
    <t>Novomet NAV(440-630)H @ 3460 RPM</t>
  </si>
  <si>
    <t>Novomet NAV(190-380)H @ 5565 RPM</t>
  </si>
  <si>
    <t>Novomet NAV(440-630)H @ 4035 RPM</t>
  </si>
  <si>
    <t>Novomet NAV(440-630)H @ 4610 RPM</t>
  </si>
  <si>
    <t>Novomet NBV(160-250)H @ 2700 RPM</t>
  </si>
  <si>
    <t>Novomet NBV(160-250)H @ 3240 RPM</t>
  </si>
  <si>
    <t>Novomet NBV(160-250)H @ 3780 RPM</t>
  </si>
  <si>
    <t>Novomet NBV(250-500)H @ 2850 RPM</t>
  </si>
  <si>
    <t>Novomet NBV(160-250)H @ 4320 RPM</t>
  </si>
  <si>
    <t>Novomet NBV(250-500)H @ 3200 RPM</t>
  </si>
  <si>
    <t>Novomet NBV(250-500)H @ 3550 RPM</t>
  </si>
  <si>
    <t>Novomet NBV(250-500)H @ 3920 RPM</t>
  </si>
  <si>
    <t>Novomet NBV(250-500)H @ 4280 RPM</t>
  </si>
  <si>
    <t>Novomet NBV(250-500)H @ 5000 RPM</t>
  </si>
  <si>
    <t>Novomet NBV(250-500)H @ 5700 RPM</t>
  </si>
  <si>
    <t>Novomet NDV150</t>
  </si>
  <si>
    <t>Novomet NDV1500 @ 2910 RPM</t>
  </si>
  <si>
    <t>Novomet NDV1500 @ 3000 RPM</t>
  </si>
  <si>
    <t>Novomet NDV230</t>
  </si>
  <si>
    <t>Novomet NFV760</t>
  </si>
  <si>
    <t>Novomet NFV760Nr</t>
  </si>
  <si>
    <t>Novomet NFV940</t>
  </si>
  <si>
    <t>Novomet NFV940Nr</t>
  </si>
  <si>
    <t>Novomet NFV110</t>
  </si>
  <si>
    <t>Novomet NFV110М1</t>
  </si>
  <si>
    <t>Novomet NFV150</t>
  </si>
  <si>
    <t>Novomet NFV(130-250)H @ 2910 RPM</t>
  </si>
  <si>
    <t>Novomet NFV190</t>
  </si>
  <si>
    <t>Novomet NFV190М2</t>
  </si>
  <si>
    <t>Novomet NFV(130-250)H @ 3640 RPM</t>
  </si>
  <si>
    <t>Novomet NFV230</t>
  </si>
  <si>
    <t>Novomet NFV230Nr</t>
  </si>
  <si>
    <t>Novomet NFV(130-250)H @ 4370 RPM</t>
  </si>
  <si>
    <t>Novomet NFV260</t>
  </si>
  <si>
    <t>Novomet NFV(130-250)H @ 5100 RPM</t>
  </si>
  <si>
    <t>Novomet NFV330</t>
  </si>
  <si>
    <t>Novomet NFV330Nr</t>
  </si>
  <si>
    <t>Novomet NFV340</t>
  </si>
  <si>
    <t>Novomet NFV380</t>
  </si>
  <si>
    <t>Novomet NFV3800 @ 2910 RPM</t>
  </si>
  <si>
    <t>Novomet NFV380Nr</t>
  </si>
  <si>
    <t>Novomet NFV(310-630)H @ 2910 RPM</t>
  </si>
  <si>
    <t>Novomet NFV3800 @ 3000 RPM</t>
  </si>
  <si>
    <t>Novomet NFV450</t>
  </si>
  <si>
    <t>Novomet NFV450Nr</t>
  </si>
  <si>
    <t>Novomet NFV455</t>
  </si>
  <si>
    <t>Novomet NFV455Nr</t>
  </si>
  <si>
    <t>Novomet NFV(310-630)H @ 3490 RPM</t>
  </si>
  <si>
    <t>Novomet NFV760 (1)</t>
  </si>
  <si>
    <t>Novomet NFV600Nr</t>
  </si>
  <si>
    <t>Novomet NFV600</t>
  </si>
  <si>
    <t>Novomet NFV(310-630)H @ 4660 RPM</t>
  </si>
  <si>
    <t>Novomet NHV760</t>
  </si>
  <si>
    <t>5А</t>
  </si>
  <si>
    <t>Novomet NHV(790-1000)H @ 2910 RPM</t>
  </si>
  <si>
    <t>Novomet NHV(790-1000)H @ 2910 RPM (pack)</t>
  </si>
  <si>
    <t>Novomet NHV940</t>
  </si>
  <si>
    <t>Novomet NHV(790-1000)H @ 3640 RPM</t>
  </si>
  <si>
    <t>Novomet NHV(790-1000)H @ 3640 RPM (pack)</t>
  </si>
  <si>
    <t>Novomet NHV(790-1000)H @ 4075 RPM</t>
  </si>
  <si>
    <t>Novomet NHV(790-1000)H @ 4075 RPM (pack)</t>
  </si>
  <si>
    <t>Novomet NHV1200</t>
  </si>
  <si>
    <t>Novomet NHV(790-1000)H @ 4660 RPM</t>
  </si>
  <si>
    <t>Novomet NHV(790-1000)H @ 4660 RPM (pack)</t>
  </si>
  <si>
    <t>Novomet NHV1490</t>
  </si>
  <si>
    <t>Novomet NHV1800</t>
  </si>
  <si>
    <t>Novomet NHV200</t>
  </si>
  <si>
    <t>Novomet NHV2100</t>
  </si>
  <si>
    <t>Novomet NHV250</t>
  </si>
  <si>
    <t>Novomet NHV3000M</t>
  </si>
  <si>
    <t>Novomet NHV380</t>
  </si>
  <si>
    <t>Novomet NHV3800</t>
  </si>
  <si>
    <t>Novomet NHV450</t>
  </si>
  <si>
    <t>Novomet NHV5300</t>
  </si>
  <si>
    <t>Novomet NHV600</t>
  </si>
  <si>
    <t>Novomet NHV600M</t>
  </si>
  <si>
    <t>Novomet NJV7600</t>
  </si>
  <si>
    <t>Novomet NJV6000</t>
  </si>
  <si>
    <t>Novomet NLV1000</t>
  </si>
  <si>
    <t>Novomet NLV1900</t>
  </si>
  <si>
    <t>Novomet NPV(1900-2500)H1 @ 2910 RPM</t>
  </si>
  <si>
    <t>7А</t>
  </si>
  <si>
    <t>Novomet NPV(1900-2500)H1 @ 3110 RPM</t>
  </si>
  <si>
    <t>Novomet NPV(1900-2500)H1 @ 3500 RPM</t>
  </si>
  <si>
    <t>Novomet NPV(1900-2500)H1 @ 3880 RPM</t>
  </si>
  <si>
    <t>Novomet NRV7600</t>
  </si>
  <si>
    <t>Novomet NRV8300</t>
  </si>
  <si>
    <t>Novomet NRV15000</t>
  </si>
  <si>
    <t>Novomet NRV19000</t>
  </si>
  <si>
    <t>Novomet NRV22500</t>
  </si>
  <si>
    <t>Novomet NRV3800</t>
  </si>
  <si>
    <t>Novomet NRV4200</t>
  </si>
  <si>
    <t>Novomet NFV-ER3800</t>
  </si>
  <si>
    <t>Novomet NHV-ER(790-1000)H @ 2910 RPM (compr.)</t>
  </si>
  <si>
    <t>Novomet NHV-ER(790-1000)H @ 2910 RPM (pack)</t>
  </si>
  <si>
    <t>NHV940M</t>
  </si>
  <si>
    <t>Novomet NHV-ER5300</t>
  </si>
  <si>
    <t>NPV-ER(1900-2500)H1</t>
  </si>
  <si>
    <t>Novomet NFV-ER455</t>
  </si>
  <si>
    <t>Novomet NV75500</t>
  </si>
  <si>
    <t>Novomet NV60500</t>
  </si>
  <si>
    <t>N1500 19000 @ 2910 RPM</t>
  </si>
  <si>
    <t>N1500 31500 @ 2910 RPM</t>
  </si>
  <si>
    <t>Novomet N217(110-330)H</t>
  </si>
  <si>
    <t>Novomet N217(150-450)H @ 2910 RPM</t>
  </si>
  <si>
    <t>Novomet N217(175-500)H @ 2910 RPM</t>
  </si>
  <si>
    <t>Novomet N217(63-283)H @ 2910 RPM</t>
  </si>
  <si>
    <t>Novomet N217(150-450)H @ 5820 RPM</t>
  </si>
  <si>
    <t>Novomet N217(175-500)H @ 5820 RPM</t>
  </si>
  <si>
    <t>Novomet NA(630-1300)H @ 2910 RPM (compr.)</t>
  </si>
  <si>
    <t>Novomet NA(630-1300)H @ 2830 RPM (pack)</t>
  </si>
  <si>
    <t>Novomet NA(630-1300)H @ 3640 RPM (compr.)</t>
  </si>
  <si>
    <t>Novomet NA(630-1300)H @ 3640 RPM (pack)</t>
  </si>
  <si>
    <t>Novomet NA(630-1300)H @ 4660 RPM (compr.)</t>
  </si>
  <si>
    <t>Novomet NA(630-1300)H @ 4660 RPM (pack)</t>
  </si>
  <si>
    <t>Novomet NA(630-1300)H @ 5240 RPM (compr.)</t>
  </si>
  <si>
    <t>Novomet NA(630-1300)H @ 5240 RPM (pack)</t>
  </si>
  <si>
    <t>Novomet NA(630-1300)H @ 5820 RPM (compr.)</t>
  </si>
  <si>
    <t>Novomet NA(630-1300)H @ 5820 RPM (pack)</t>
  </si>
  <si>
    <t>Novomet NB(630-1000)H @ 3230 RPM (compr.)</t>
  </si>
  <si>
    <t>Novomet NB(630-1000)H @ 3230 RPM (pack)</t>
  </si>
  <si>
    <t>Novomet NB(630-1000)H @ 4040 RPM (compr.)</t>
  </si>
  <si>
    <t>Novomet NB(630-1000)H @ 4040 RPM (pack)</t>
  </si>
  <si>
    <t>Novomet NB(1100-1800)H @ 2910 RPM</t>
  </si>
  <si>
    <t>Novomet NB(630-1000)H @ 4530 RPM (compr.)</t>
  </si>
  <si>
    <t>Novomet NB(630-1000)H @ 4530 RPM (pack)</t>
  </si>
  <si>
    <t>Novomet NB(630-1000)H @ 5180 RPM (pack)</t>
  </si>
  <si>
    <t>Novomet NB(630-1000)H @ 5180 RPM (compr.)</t>
  </si>
  <si>
    <t>Novomet NB(1100-1800)H @ 3740 RPM</t>
  </si>
  <si>
    <t>Novomet NB(1500-2500)H @ 2910 RPM</t>
  </si>
  <si>
    <t>Novomet NB(1100-1800)H @ 4160 RPM</t>
  </si>
  <si>
    <t>Novomet NB(1100-1800)H @ 5200 RPM</t>
  </si>
  <si>
    <t>Novomet NB(1100-1800)H @ 5820 RPM</t>
  </si>
  <si>
    <t>Novomet NB(1500-2500)H @ 4365 RPM</t>
  </si>
  <si>
    <t>Novomet NB(1500-2500)H @ 4660 RPM</t>
  </si>
  <si>
    <t>Novomet NB(2000-3100)H @ 3105 RPM</t>
  </si>
  <si>
    <t>Novomet NB(1500-2500)H @ 5095 RPM</t>
  </si>
  <si>
    <t>Novomet NB(2000-3100)H @ 4370 RPM</t>
  </si>
  <si>
    <t>Novomet NB(2000-3100)H @ 4855 RPM</t>
  </si>
  <si>
    <t>Novomet NB(630-1000)H @ 2590 RPM (compr.)</t>
  </si>
  <si>
    <t>Novomet NB(630-1000)H @ 2590 RPM (pack)</t>
  </si>
  <si>
    <t>Novomet ND760</t>
  </si>
  <si>
    <t>Novomet ND530</t>
  </si>
  <si>
    <t>Novomet ND600</t>
  </si>
  <si>
    <t>Novomet NF(900-1380)H @ 2910 RPM</t>
  </si>
  <si>
    <t>Novomet NF(900-1380)H @ 3330 RPM</t>
  </si>
  <si>
    <t>Novomet NF(900-1380)H @ 3740 RPM</t>
  </si>
  <si>
    <t>Novomet NF1500</t>
  </si>
  <si>
    <t>Novomet NF(900-1380)H @ 4160 RPM</t>
  </si>
  <si>
    <t>Novomet NF(1300-2000)H @ 2910 RPM</t>
  </si>
  <si>
    <t>Novomet NF(900-1380)H @ 4570 RPM</t>
  </si>
  <si>
    <t>Novomet NF(1300-2000)H @ 3470 RPM</t>
  </si>
  <si>
    <t>Novomet NF(2000-3100)H @ 2910 RPM</t>
  </si>
  <si>
    <t>Novomet NF(1300-2000)H @ 4430 RPM</t>
  </si>
  <si>
    <t>Novomet NF(2500-4400)H @ 2910 RPM</t>
  </si>
  <si>
    <t>Novomet NF(2000-3100)H @ 3640 RPM</t>
  </si>
  <si>
    <t>Novomet NF(2000-3100)H @ 4550 RPM</t>
  </si>
  <si>
    <t>Novomet NF(2500-4400)H @ 3640 RPM</t>
  </si>
  <si>
    <t>Novomet NF(2500-4400)H @ 4365 RPM</t>
  </si>
  <si>
    <t>Novomet NFV450M2</t>
  </si>
  <si>
    <t>Novomet NH(1200-2100)Н @ 2910 RPM</t>
  </si>
  <si>
    <t>Novomet NH(1200-2100)Н @ 2910 RPM (pack)</t>
  </si>
  <si>
    <t>Novomet NH(1000-1600)H @ 3175 RPM</t>
  </si>
  <si>
    <t>Novomet NH1500</t>
  </si>
  <si>
    <t>Novomet NH(1500-2500)Н @ 2910 RPM</t>
  </si>
  <si>
    <t>Novomet NH(1500-2500)Н @ 2910 RPM (pack)</t>
  </si>
  <si>
    <t>Novomet NH(1000-1600)Н @ 3530 RPM</t>
  </si>
  <si>
    <t>Novomet NH(1000-1600)Н @ 3970 RPM</t>
  </si>
  <si>
    <t>Novomet NH(1600-2300)H @ 3275 RPM</t>
  </si>
  <si>
    <t>Novomet NH1900</t>
  </si>
  <si>
    <t>Novomet NH1900М1</t>
  </si>
  <si>
    <t>Novomet NH1900М2</t>
  </si>
  <si>
    <t>Novomet NH(1000-1600)Н @ 4410 RPM</t>
  </si>
  <si>
    <t>Novomet NH2100М</t>
  </si>
  <si>
    <t>Novomet NH2100</t>
  </si>
  <si>
    <t>Novomet NH(1000-1600)Н @ 4940 RPM</t>
  </si>
  <si>
    <t>Novomet NH2000Nr</t>
  </si>
  <si>
    <t>Novomet NH(2500-3100)Н @ 2910 RPM</t>
  </si>
  <si>
    <t>Novomet NH(1600-2300)H @ 4660 RPM</t>
  </si>
  <si>
    <t>Novomet NH3000</t>
  </si>
  <si>
    <t>Novomet NH(1600-2300)H @ 5820 RPM</t>
  </si>
  <si>
    <t>Novomet NH(2500-3800)Н @ 2910 RPM</t>
  </si>
  <si>
    <t>Novomet NH(4400-5000)H @ 2910 RPM</t>
  </si>
  <si>
    <t>Novomet NH(2500-3100)H @ 4550 RPM</t>
  </si>
  <si>
    <t>Novomet NH(4400-5000)H @ 4080 RPM</t>
  </si>
  <si>
    <t>Novomet NH(4400-5000)H @ 4660 RPM</t>
  </si>
  <si>
    <t>Novomet NJ9400</t>
  </si>
  <si>
    <t>Novomet NP(7900-10100)Н @ 2910 RPM</t>
  </si>
  <si>
    <t>Novomet NP(4700-6300)H @ 3880 RPM</t>
  </si>
  <si>
    <t>Novomet NP(7900-10100)НNr @ 2910 RPM</t>
  </si>
  <si>
    <t>Novomet NP(7900-10100)Н @ 3640 RPM</t>
  </si>
  <si>
    <t>Novomet NP(940-1600)H @ 2910 RPM</t>
  </si>
  <si>
    <t>Novomet NP(11300-15100)Н @ 2910 RPM</t>
  </si>
  <si>
    <t>Novomet NP(7900-10100)Н @ 4660 RPM</t>
  </si>
  <si>
    <t>Novomet NP(11300-15100)Н @ 3270 RPM</t>
  </si>
  <si>
    <t>Novomet NP(940-1600)H @ 3495 RPM</t>
  </si>
  <si>
    <t>Novomet NP(11300-15100)Н @ 3640 RPM</t>
  </si>
  <si>
    <t>Novomet NP(940-1600)H @ 3880 RPM</t>
  </si>
  <si>
    <t>Novomet NP(11300-15100)Н @ 4000 RPM</t>
  </si>
  <si>
    <t>Novomet NP(14200-19800)H @ 2910 RPM</t>
  </si>
  <si>
    <t>Novomet NP(11300-15100)Н @ 4370 RPM</t>
  </si>
  <si>
    <t>Novomet NP(940-1600)H @ 4850 RPM</t>
  </si>
  <si>
    <t>Novomet NP(1900-2500)H @ 2910 RPM</t>
  </si>
  <si>
    <t>Novomet NP(1900-2500)H @ 3110 RPM</t>
  </si>
  <si>
    <t>Novomet NP(1900-2500)H @ 3500 RPM</t>
  </si>
  <si>
    <t>Novomet NP(1900-2500)H @ 3880 RPM</t>
  </si>
  <si>
    <t>Novomet NP(3100-4400)H @ 2910 RPM</t>
  </si>
  <si>
    <t>Novomet NP(3100-4400)H1 @ 2910 RPM</t>
  </si>
  <si>
    <t>Novomet NP(3100-4400)H @ 3500 RPM</t>
  </si>
  <si>
    <t>Novomet NP(3100-4400)H1 @ 3500 RPM</t>
  </si>
  <si>
    <t>Novomet NP(4400-5700)H @ 2910 RPM</t>
  </si>
  <si>
    <t>Novomet NP(4400-5700)H @ 2910 RPM (Nr)</t>
  </si>
  <si>
    <t>Novomet NP(3100-4400)H @ 4080 RPM</t>
  </si>
  <si>
    <t>Novomet NP(4400-5700)H @ 3140 RPM</t>
  </si>
  <si>
    <t>Novomet NP(3100-4400)H1 @ 4080 RPM</t>
  </si>
  <si>
    <t>Novomet NP(4700-6300)Н @ 2910 RPM</t>
  </si>
  <si>
    <t>Novomet NP(4400-5700)H @ 3590 RPM</t>
  </si>
  <si>
    <t>Novomet NP(4700-6300)H @ 3110 RPM</t>
  </si>
  <si>
    <t>Novomet NP(4400-5700)H @ 4030 RPM</t>
  </si>
  <si>
    <t>Novomet NP(4700-6300)H @ 3500 RPM</t>
  </si>
  <si>
    <t>Novomet NR12000</t>
  </si>
  <si>
    <t>Novomet NR(10000-11300)Н @ 2910 RPM</t>
  </si>
  <si>
    <t>Novomet NR(10000-11300)H @ 3280 RPM</t>
  </si>
  <si>
    <t>Novomet NR(12600-15700)Н @ 2910 RPM</t>
  </si>
  <si>
    <t>Novomet NR(12600-15700)H @ 3200 RPM</t>
  </si>
  <si>
    <t>Novomet NR(15700-19000)Н @ 2910 RPM</t>
  </si>
  <si>
    <t>Novomet NR(12600-15700)H @ 3640 RPM</t>
  </si>
  <si>
    <t>Novomet NR(15700-19000)H @ 3500 RPM</t>
  </si>
  <si>
    <t>Novomet NR30000</t>
  </si>
  <si>
    <t>Novomet NT38000</t>
  </si>
  <si>
    <t>Novomet NT47500</t>
  </si>
  <si>
    <t>Novomet NFO150</t>
  </si>
  <si>
    <t>Novomet NF-ER(900-1380)H @ 2910 RPM</t>
  </si>
  <si>
    <t>Novomet NF-ER(1300-2000)H @ 2910 RPM</t>
  </si>
  <si>
    <t>Novomet NF-ER(2000-3100)H @ 2910 RPM</t>
  </si>
  <si>
    <t>Novomet NF-ER(2500-4400)H @ 2910 RPM</t>
  </si>
  <si>
    <t>Novomet NH-ER(1200-2100)Н @ 2910 RPM</t>
  </si>
  <si>
    <t>Novomet NH-ER(1500-2500)Н CMP @ 2910 RPM</t>
  </si>
  <si>
    <t>Novomet NH-ER(2500-3100)Н @ 2910 RPM</t>
  </si>
  <si>
    <t>Novomet NH-ER(2500-3800)Н @ 2910 RPM</t>
  </si>
  <si>
    <t>Novomet NH-ER(4400-5000)H @ 2910 RPM</t>
  </si>
  <si>
    <t>Novomet NP-ER(940-1600)H @ 2910 RPM</t>
  </si>
  <si>
    <t>Novomet NP-ER(3100-4400)H1 @ 2910 RPM</t>
  </si>
  <si>
    <t>Novomet NH-ER(1500-2500)Н @ 2910 RPM (pack)</t>
  </si>
  <si>
    <t>Novomet NP-ER(7900-10100)Н @ 2910 RPM</t>
  </si>
  <si>
    <t>Novomet NP-ER(11300-15100)Н @ 2910 RPM</t>
  </si>
  <si>
    <t>Novomet NP-ER(1900-2500)H @ 2910 RPM</t>
  </si>
  <si>
    <t>Novomet NP-ER(3100-4400)H @ 2910 RPM</t>
  </si>
  <si>
    <t>Novomet NP-ER(4700-6300)Н @ 2910 RPM</t>
  </si>
  <si>
    <t>ном подача</t>
  </si>
  <si>
    <t>м3/сут</t>
  </si>
  <si>
    <t>габарит</t>
  </si>
  <si>
    <t>ном частота</t>
  </si>
  <si>
    <t>Гц</t>
  </si>
  <si>
    <t>Значение</t>
  </si>
  <si>
    <t>Напор0</t>
  </si>
  <si>
    <t>Напор1</t>
  </si>
  <si>
    <t>Напор2</t>
  </si>
  <si>
    <t>Напор3</t>
  </si>
  <si>
    <t>Напор4</t>
  </si>
  <si>
    <t>Напор5</t>
  </si>
  <si>
    <t>Напор6</t>
  </si>
  <si>
    <t>Напор7</t>
  </si>
  <si>
    <t>Напор8</t>
  </si>
  <si>
    <t>Напор9</t>
  </si>
  <si>
    <t>Напор10</t>
  </si>
  <si>
    <t>Мощность0</t>
  </si>
  <si>
    <t>Мощность1</t>
  </si>
  <si>
    <t>Мощность2</t>
  </si>
  <si>
    <t>Мощность3</t>
  </si>
  <si>
    <t>Мощность4</t>
  </si>
  <si>
    <t>Мощность5</t>
  </si>
  <si>
    <t>Мощность6</t>
  </si>
  <si>
    <t>Мощность7</t>
  </si>
  <si>
    <t>Мощность8</t>
  </si>
  <si>
    <t>Мощность9</t>
  </si>
  <si>
    <t>Мощность10</t>
  </si>
  <si>
    <t>К.П.Д.0</t>
  </si>
  <si>
    <t>К.П.Д.1</t>
  </si>
  <si>
    <t>К.П.Д.2</t>
  </si>
  <si>
    <t>К.П.Д.3</t>
  </si>
  <si>
    <t>К.П.Д.4</t>
  </si>
  <si>
    <t>К.П.Д.5</t>
  </si>
  <si>
    <t>К.П.Д.6</t>
  </si>
  <si>
    <t>К.П.Д.7</t>
  </si>
  <si>
    <t>К.П.Д.8</t>
  </si>
  <si>
    <t>К.П.Д.9</t>
  </si>
  <si>
    <t>К.П.Д.10</t>
  </si>
  <si>
    <t>Расчет</t>
  </si>
  <si>
    <t>Расчет на 50 Гц</t>
  </si>
  <si>
    <t>Подача пласт., м3/сут</t>
  </si>
  <si>
    <t>Напор, м</t>
  </si>
  <si>
    <t>Мощность, кВт</t>
  </si>
  <si>
    <t>Напор расчет, м</t>
  </si>
  <si>
    <t>Мощность расчет, Вт</t>
  </si>
  <si>
    <t>Мощность расчет, кВт</t>
  </si>
  <si>
    <t>КПД расчет %</t>
  </si>
  <si>
    <t>КПД расчт д.е.</t>
  </si>
  <si>
    <t>Мощность гидравл., Вт</t>
  </si>
  <si>
    <t>Мощность на валу через КПД</t>
  </si>
  <si>
    <t>КПД через мощность</t>
  </si>
  <si>
    <t>Подготовка данных для основной таблицы</t>
  </si>
  <si>
    <t>ID start</t>
  </si>
  <si>
    <t>tnav</t>
  </si>
  <si>
    <t>novomet</t>
  </si>
  <si>
    <t>tnav+</t>
  </si>
  <si>
    <t>novomet_cor</t>
  </si>
  <si>
    <t>ЭЦН5А-240@50Гц</t>
  </si>
  <si>
    <t xml:space="preserve">found pump ID = 2068. read curve done. 27 params. 11 points in curve. </t>
  </si>
  <si>
    <t xml:space="preserve">found pump ID = 2080. read curve done. 27 params. 11 points in curve. </t>
  </si>
  <si>
    <t xml:space="preserve">found pump ID = 2084. read curve done. 27 params. 11 points in curve. </t>
  </si>
  <si>
    <t xml:space="preserve">found pump ID = 2086. read curve done. 27 params. 11 points in curve. </t>
  </si>
  <si>
    <t xml:space="preserve">found pump ID = 2088. read curve done. 27 params. 11 points in curve. </t>
  </si>
  <si>
    <t>file save done C:\unifloc\unifloc_vba\db\ESP_json_generated.db</t>
  </si>
  <si>
    <t>макс дебит коррект</t>
  </si>
  <si>
    <t xml:space="preserve">found pump ID = 2158. read curve done. 27 params. 11 points in curve. </t>
  </si>
  <si>
    <t xml:space="preserve">found pump ID = 2161. read curve done. 27 params. 11 points in curve. </t>
  </si>
  <si>
    <t xml:space="preserve">found pump ID = 2166. read curve done. 27 params. 11 points in curve. </t>
  </si>
  <si>
    <t xml:space="preserve">found pump ID = 2168. read curve done. 27 params. 11 points in curve. </t>
  </si>
  <si>
    <t xml:space="preserve">found pump ID = 2191. read curve done. 27 params. 11 points in curve. </t>
  </si>
  <si>
    <t xml:space="preserve">found pump ID = 2193. read curve done. 27 params. 11 points in curve. </t>
  </si>
  <si>
    <t>Габарит (РФ)</t>
  </si>
  <si>
    <t>Наружный диаметр насоса, мм</t>
  </si>
  <si>
    <t>Типичный OD ПЭД, мм</t>
  </si>
  <si>
    <t>Мин. ID эксплуатац. колонны, мм</t>
  </si>
  <si>
    <t>Типичный диаметр вала, мм</t>
  </si>
  <si>
    <t>Ориентир по макс. мощности на валу, кВт</t>
  </si>
  <si>
    <t>Номинальный диаметр насоса, дюйм</t>
  </si>
  <si>
    <t>Типовая междунар. серия ESP (REDA, др.)</t>
  </si>
  <si>
    <t>нет стандартной API‑серии; фирменный slim‑ряд (ColibriESP 2)</t>
  </si>
  <si>
    <t>272‑series</t>
  </si>
  <si>
    <t>319‑series</t>
  </si>
  <si>
    <t>338‑series</t>
  </si>
  <si>
    <t>362‑series</t>
  </si>
  <si>
    <t>400‑series</t>
  </si>
  <si>
    <t>449‑series</t>
  </si>
  <si>
    <t>484‑series</t>
  </si>
  <si>
    <t>675‑series</t>
  </si>
  <si>
    <t>6A</t>
  </si>
  <si>
    <t>2A</t>
  </si>
  <si>
    <t>538‑series</t>
  </si>
  <si>
    <t>save pump db to json start 06.03.2026 8:14:52</t>
  </si>
  <si>
    <t xml:space="preserve">found pump ID = 2089. read curve done. 27 params. 11 points in curve. </t>
  </si>
  <si>
    <t xml:space="preserve">done 55 pumps.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</si>
</sst>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31">
    <xf numFmtId="0" fontId="0" fillId="0" borderId="0" xfId="0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0" xfId="0" applyFill="1"/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5" borderId="7" xfId="0" applyFill="1" applyBorder="1"/>
    <xf numFmtId="0" fontId="0" fillId="5" borderId="0" xfId="0" applyFill="1" applyBorder="1"/>
    <xf numFmtId="1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5" borderId="8" xfId="0" applyFill="1" applyBorder="1"/>
    <xf numFmtId="0" fontId="0" fillId="6" borderId="0" xfId="0" applyFill="1" applyBorder="1"/>
    <xf numFmtId="0" fontId="0" fillId="5" borderId="1" xfId="0" applyFill="1" applyBorder="1"/>
    <xf numFmtId="0" fontId="0" fillId="5" borderId="2" xfId="0" applyFill="1" applyBorder="1"/>
    <xf numFmtId="1" fontId="0" fillId="5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3" xfId="0" applyFill="1" applyBorder="1"/>
    <xf numFmtId="0" fontId="0" fillId="7" borderId="9" xfId="0" applyFill="1" applyBorder="1" applyAlignment="1">
      <alignment wrapText="1"/>
    </xf>
    <xf numFmtId="0" fontId="0" fillId="7" borderId="10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0" borderId="12" xfId="0" applyFill="1" applyBorder="1" applyAlignment="1">
      <alignment wrapText="1"/>
    </xf>
    <xf numFmtId="0" fontId="0" fillId="7" borderId="12" xfId="0" applyFill="1" applyBorder="1" applyAlignment="1">
      <alignment wrapText="1"/>
    </xf>
    <xf numFmtId="2" fontId="0" fillId="5" borderId="2" xfId="0" applyNumberFormat="1" applyFill="1" applyBorder="1"/>
    <xf numFmtId="2" fontId="0" fillId="5" borderId="0" xfId="0" applyNumberFormat="1" applyFill="1" applyBorder="1"/>
    <xf numFmtId="0" fontId="3" fillId="0" borderId="0" xfId="1" applyFont="1" applyAlignment="1">
      <alignment horizontal="center" vertical="center" wrapText="1"/>
    </xf>
    <xf numFmtId="0" fontId="2" fillId="0" borderId="0" xfId="1"/>
    <xf numFmtId="0" fontId="3" fillId="8" borderId="13" xfId="1" applyFont="1" applyFill="1" applyBorder="1" applyAlignment="1">
      <alignment horizontal="center" vertical="center" wrapText="1"/>
    </xf>
    <xf numFmtId="0" fontId="3" fillId="8" borderId="14" xfId="1" applyFont="1" applyFill="1" applyBorder="1" applyAlignment="1">
      <alignment horizontal="center" vertical="center" wrapText="1"/>
    </xf>
    <xf numFmtId="0" fontId="2" fillId="8" borderId="14" xfId="1" applyFill="1" applyBorder="1"/>
    <xf numFmtId="0" fontId="2" fillId="8" borderId="15" xfId="1" applyFill="1" applyBorder="1"/>
    <xf numFmtId="0" fontId="2" fillId="0" borderId="0" xfId="1" applyAlignment="1">
      <alignment horizontal="right" vertical="center"/>
    </xf>
    <xf numFmtId="0" fontId="2" fillId="8" borderId="16" xfId="1" applyFill="1" applyBorder="1"/>
    <xf numFmtId="0" fontId="2" fillId="8" borderId="17" xfId="1" applyFill="1" applyBorder="1"/>
    <xf numFmtId="9" fontId="0" fillId="8" borderId="18" xfId="2" applyFont="1" applyFill="1" applyBorder="1"/>
    <xf numFmtId="0" fontId="2" fillId="8" borderId="19" xfId="1" applyFill="1" applyBorder="1"/>
    <xf numFmtId="0" fontId="2" fillId="8" borderId="0" xfId="1" applyFill="1"/>
    <xf numFmtId="9" fontId="0" fillId="8" borderId="20" xfId="2" applyFont="1" applyFill="1" applyBorder="1"/>
    <xf numFmtId="0" fontId="2" fillId="8" borderId="21" xfId="1" applyFill="1" applyBorder="1"/>
    <xf numFmtId="0" fontId="2" fillId="8" borderId="22" xfId="1" applyFill="1" applyBorder="1"/>
    <xf numFmtId="9" fontId="0" fillId="8" borderId="23" xfId="2" applyFont="1" applyFill="1" applyBorder="1"/>
    <xf numFmtId="0" fontId="3" fillId="3" borderId="24" xfId="1" applyFont="1" applyFill="1" applyBorder="1" applyAlignment="1">
      <alignment horizontal="center" vertical="center" wrapText="1"/>
    </xf>
    <xf numFmtId="0" fontId="3" fillId="9" borderId="24" xfId="1" applyFont="1" applyFill="1" applyBorder="1"/>
    <xf numFmtId="0" fontId="2" fillId="9" borderId="0" xfId="1" applyFill="1"/>
    <xf numFmtId="0" fontId="2" fillId="2" borderId="0" xfId="1" applyFill="1"/>
    <xf numFmtId="0" fontId="2" fillId="9" borderId="0" xfId="1" applyFill="1" applyAlignment="1">
      <alignment horizontal="center"/>
    </xf>
    <xf numFmtId="0" fontId="3" fillId="3" borderId="0" xfId="1" applyFont="1" applyFill="1" applyAlignment="1">
      <alignment horizontal="center" vertical="center" wrapText="1"/>
    </xf>
    <xf numFmtId="0" fontId="3" fillId="9" borderId="0" xfId="1" applyFont="1" applyFill="1"/>
    <xf numFmtId="0" fontId="3" fillId="3" borderId="13" xfId="1" applyFont="1" applyFill="1" applyBorder="1" applyAlignment="1">
      <alignment horizontal="center" vertical="center" wrapText="1"/>
    </xf>
    <xf numFmtId="0" fontId="3" fillId="3" borderId="15" xfId="1" applyFont="1" applyFill="1" applyBorder="1" applyAlignment="1">
      <alignment horizontal="center" vertical="center" wrapText="1"/>
    </xf>
    <xf numFmtId="0" fontId="2" fillId="3" borderId="16" xfId="1" applyFill="1" applyBorder="1" applyAlignment="1">
      <alignment horizontal="right" vertical="center"/>
    </xf>
    <xf numFmtId="164" fontId="2" fillId="2" borderId="18" xfId="1" applyNumberFormat="1" applyFill="1" applyBorder="1" applyAlignment="1">
      <alignment horizontal="center" vertical="center"/>
    </xf>
    <xf numFmtId="11" fontId="2" fillId="7" borderId="25" xfId="1" applyNumberFormat="1" applyFill="1" applyBorder="1"/>
    <xf numFmtId="0" fontId="2" fillId="3" borderId="19" xfId="1" applyFill="1" applyBorder="1" applyAlignment="1">
      <alignment horizontal="right" vertical="center"/>
    </xf>
    <xf numFmtId="164" fontId="2" fillId="2" borderId="20" xfId="1" applyNumberFormat="1" applyFill="1" applyBorder="1" applyAlignment="1">
      <alignment horizontal="center" vertical="center"/>
    </xf>
    <xf numFmtId="11" fontId="2" fillId="7" borderId="26" xfId="1" applyNumberFormat="1" applyFill="1" applyBorder="1"/>
    <xf numFmtId="0" fontId="2" fillId="3" borderId="21" xfId="1" applyFill="1" applyBorder="1" applyAlignment="1">
      <alignment horizontal="right" vertical="center"/>
    </xf>
    <xf numFmtId="164" fontId="2" fillId="2" borderId="23" xfId="1" applyNumberFormat="1" applyFill="1" applyBorder="1" applyAlignment="1">
      <alignment horizontal="center" vertical="center"/>
    </xf>
    <xf numFmtId="11" fontId="2" fillId="7" borderId="27" xfId="1" applyNumberFormat="1" applyFill="1" applyBorder="1"/>
    <xf numFmtId="0" fontId="3" fillId="3" borderId="19" xfId="1" applyFont="1" applyFill="1" applyBorder="1" applyAlignment="1">
      <alignment horizontal="center" vertical="center" wrapText="1"/>
    </xf>
    <xf numFmtId="1" fontId="2" fillId="2" borderId="0" xfId="1" applyNumberFormat="1" applyFill="1" applyAlignment="1">
      <alignment horizontal="center" vertical="center"/>
    </xf>
    <xf numFmtId="164" fontId="2" fillId="2" borderId="0" xfId="1" applyNumberFormat="1" applyFill="1" applyAlignment="1">
      <alignment horizontal="center" vertical="center"/>
    </xf>
    <xf numFmtId="164" fontId="2" fillId="3" borderId="16" xfId="1" applyNumberFormat="1" applyFill="1" applyBorder="1"/>
    <xf numFmtId="164" fontId="2" fillId="3" borderId="17" xfId="1" applyNumberFormat="1" applyFill="1" applyBorder="1"/>
    <xf numFmtId="164" fontId="2" fillId="3" borderId="18" xfId="1" applyNumberFormat="1" applyFill="1" applyBorder="1"/>
    <xf numFmtId="1" fontId="2" fillId="0" borderId="0" xfId="1" applyNumberFormat="1"/>
    <xf numFmtId="164" fontId="2" fillId="0" borderId="0" xfId="1" applyNumberFormat="1"/>
    <xf numFmtId="2" fontId="2" fillId="0" borderId="0" xfId="1" applyNumberFormat="1"/>
    <xf numFmtId="164" fontId="2" fillId="3" borderId="19" xfId="1" applyNumberFormat="1" applyFill="1" applyBorder="1"/>
    <xf numFmtId="164" fontId="2" fillId="3" borderId="0" xfId="1" applyNumberFormat="1" applyFill="1"/>
    <xf numFmtId="164" fontId="2" fillId="3" borderId="20" xfId="1" applyNumberFormat="1" applyFill="1" applyBorder="1"/>
    <xf numFmtId="0" fontId="3" fillId="3" borderId="21" xfId="1" applyFont="1" applyFill="1" applyBorder="1" applyAlignment="1">
      <alignment horizontal="center" vertical="center" wrapText="1"/>
    </xf>
    <xf numFmtId="1" fontId="2" fillId="2" borderId="22" xfId="1" applyNumberFormat="1" applyFill="1" applyBorder="1" applyAlignment="1">
      <alignment horizontal="center" vertical="center"/>
    </xf>
    <xf numFmtId="164" fontId="2" fillId="2" borderId="22" xfId="1" applyNumberFormat="1" applyFill="1" applyBorder="1" applyAlignment="1">
      <alignment horizontal="center" vertical="center"/>
    </xf>
    <xf numFmtId="164" fontId="2" fillId="3" borderId="21" xfId="1" applyNumberFormat="1" applyFill="1" applyBorder="1"/>
    <xf numFmtId="164" fontId="2" fillId="3" borderId="22" xfId="1" applyNumberFormat="1" applyFill="1" applyBorder="1"/>
    <xf numFmtId="164" fontId="2" fillId="3" borderId="23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9" xfId="1" applyBorder="1"/>
    <xf numFmtId="0" fontId="2" fillId="0" borderId="0" xfId="1" applyBorder="1"/>
    <xf numFmtId="0" fontId="2" fillId="0" borderId="21" xfId="1" applyBorder="1"/>
    <xf numFmtId="0" fontId="2" fillId="0" borderId="22" xfId="1" applyBorder="1"/>
    <xf numFmtId="164" fontId="2" fillId="0" borderId="17" xfId="1" applyNumberFormat="1" applyBorder="1"/>
    <xf numFmtId="164" fontId="2" fillId="0" borderId="18" xfId="1" applyNumberFormat="1" applyBorder="1"/>
    <xf numFmtId="164" fontId="2" fillId="0" borderId="0" xfId="1" applyNumberFormat="1" applyBorder="1"/>
    <xf numFmtId="164" fontId="2" fillId="0" borderId="20" xfId="1" applyNumberFormat="1" applyBorder="1"/>
    <xf numFmtId="164" fontId="2" fillId="0" borderId="22" xfId="1" applyNumberFormat="1" applyBorder="1"/>
    <xf numFmtId="164" fontId="2" fillId="0" borderId="23" xfId="1" applyNumberFormat="1" applyBorder="1"/>
    <xf numFmtId="0" fontId="3" fillId="6" borderId="0" xfId="1" applyFont="1" applyFill="1" applyAlignment="1">
      <alignment horizontal="center" vertical="center" wrapText="1"/>
    </xf>
    <xf numFmtId="0" fontId="2" fillId="6" borderId="0" xfId="1" applyFill="1" applyAlignment="1">
      <alignment horizontal="right" vertical="center"/>
    </xf>
    <xf numFmtId="0" fontId="2" fillId="6" borderId="0" xfId="1" applyFill="1"/>
    <xf numFmtId="0" fontId="2" fillId="6" borderId="19" xfId="1" applyFill="1" applyBorder="1"/>
    <xf numFmtId="0" fontId="2" fillId="6" borderId="17" xfId="1" applyFill="1" applyBorder="1"/>
    <xf numFmtId="9" fontId="0" fillId="6" borderId="20" xfId="2" applyFont="1" applyFill="1" applyBorder="1"/>
    <xf numFmtId="0" fontId="0" fillId="6" borderId="0" xfId="0" applyFill="1"/>
    <xf numFmtId="0" fontId="0" fillId="7" borderId="0" xfId="0" applyFill="1"/>
    <xf numFmtId="0" fontId="2" fillId="8" borderId="0" xfId="1" applyFill="1" applyBorder="1"/>
    <xf numFmtId="0" fontId="2" fillId="0" borderId="0" xfId="1" applyAlignment="1">
      <alignment horizontal="right"/>
    </xf>
    <xf numFmtId="0" fontId="0" fillId="10" borderId="0" xfId="0" applyFill="1" applyBorder="1"/>
    <xf numFmtId="0" fontId="0" fillId="11" borderId="0" xfId="0" applyFill="1" applyBorder="1"/>
    <xf numFmtId="0" fontId="0" fillId="7" borderId="2" xfId="0" applyFill="1" applyBorder="1" applyAlignment="1">
      <alignment wrapText="1"/>
    </xf>
    <xf numFmtId="1" fontId="0" fillId="12" borderId="0" xfId="0" applyNumberFormat="1" applyFill="1" applyBorder="1"/>
    <xf numFmtId="0" fontId="4" fillId="13" borderId="28" xfId="0" applyFont="1" applyFill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center" vertical="center" wrapText="1"/>
    </xf>
    <xf numFmtId="2" fontId="5" fillId="0" borderId="28" xfId="0" applyNumberFormat="1" applyFont="1" applyBorder="1" applyAlignment="1">
      <alignment horizontal="left" vertical="center" wrapText="1"/>
    </xf>
    <xf numFmtId="165" fontId="0" fillId="10" borderId="0" xfId="0" applyNumberFormat="1" applyFill="1" applyBorder="1"/>
    <xf numFmtId="0" fontId="0" fillId="10" borderId="0" xfId="0" applyFill="1" applyBorder="1" applyAlignment="1">
      <alignment horizontal="center"/>
    </xf>
    <xf numFmtId="1" fontId="0" fillId="10" borderId="0" xfId="0" applyNumberFormat="1" applyFill="1" applyBorder="1"/>
  </cellXfs>
  <cellStyles count="3">
    <cellStyle name="Обычный" xfId="0" builtinId="0"/>
    <cellStyle name="Обычный 2" xfId="1" xr:uid="{80B1BCC8-3F02-4B04-BF06-74C0A80E3097}"/>
    <cellStyle name="Процентный 2" xfId="2" xr:uid="{F7C3F555-C3FA-4BB6-8C3F-63259A7406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db_ESP_params!$L$5</c:f>
              <c:strCache>
                <c:ptCount val="1"/>
                <c:pt idx="0">
                  <c:v>eff_max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db_ESP_params!$F$6:$F$60</c:f>
              <c:numCache>
                <c:formatCode>General</c:formatCode>
                <c:ptCount val="55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  <c:pt idx="43">
                  <c:v>100</c:v>
                </c:pt>
                <c:pt idx="44">
                  <c:v>240</c:v>
                </c:pt>
                <c:pt idx="45">
                  <c:v>400</c:v>
                </c:pt>
                <c:pt idx="46">
                  <c:v>500</c:v>
                </c:pt>
                <c:pt idx="47">
                  <c:v>700</c:v>
                </c:pt>
                <c:pt idx="48">
                  <c:v>140</c:v>
                </c:pt>
                <c:pt idx="49">
                  <c:v>200</c:v>
                </c:pt>
                <c:pt idx="50">
                  <c:v>320</c:v>
                </c:pt>
                <c:pt idx="51">
                  <c:v>400</c:v>
                </c:pt>
                <c:pt idx="52">
                  <c:v>320</c:v>
                </c:pt>
                <c:pt idx="53">
                  <c:v>400</c:v>
                </c:pt>
                <c:pt idx="54">
                  <c:v>80</c:v>
                </c:pt>
              </c:numCache>
            </c:numRef>
          </c:xVal>
          <c:yVal>
            <c:numRef>
              <c:f>db_ESP_params!$L$6:$L$60</c:f>
              <c:numCache>
                <c:formatCode>0.00</c:formatCode>
                <c:ptCount val="55"/>
                <c:pt idx="0">
                  <c:v>0.4</c:v>
                </c:pt>
                <c:pt idx="1">
                  <c:v>0.55000000000000004</c:v>
                </c:pt>
                <c:pt idx="2">
                  <c:v>0.3</c:v>
                </c:pt>
                <c:pt idx="3">
                  <c:v>0.35</c:v>
                </c:pt>
                <c:pt idx="4">
                  <c:v>0.41</c:v>
                </c:pt>
                <c:pt idx="5">
                  <c:v>0.47</c:v>
                </c:pt>
                <c:pt idx="6">
                  <c:v>0.63</c:v>
                </c:pt>
                <c:pt idx="7">
                  <c:v>0.52</c:v>
                </c:pt>
                <c:pt idx="8">
                  <c:v>0.56000000000000005</c:v>
                </c:pt>
                <c:pt idx="9">
                  <c:v>0.6</c:v>
                </c:pt>
                <c:pt idx="10">
                  <c:v>0.61</c:v>
                </c:pt>
                <c:pt idx="11">
                  <c:v>0.56179999999999997</c:v>
                </c:pt>
                <c:pt idx="12">
                  <c:v>0.53</c:v>
                </c:pt>
                <c:pt idx="13">
                  <c:v>0.48</c:v>
                </c:pt>
                <c:pt idx="14">
                  <c:v>0.44</c:v>
                </c:pt>
                <c:pt idx="15">
                  <c:v>0.39</c:v>
                </c:pt>
                <c:pt idx="16">
                  <c:v>0.5</c:v>
                </c:pt>
                <c:pt idx="17">
                  <c:v>0.56999999999999995</c:v>
                </c:pt>
                <c:pt idx="18">
                  <c:v>0.62</c:v>
                </c:pt>
                <c:pt idx="19">
                  <c:v>0.65</c:v>
                </c:pt>
                <c:pt idx="20">
                  <c:v>0.53</c:v>
                </c:pt>
                <c:pt idx="21">
                  <c:v>0.6</c:v>
                </c:pt>
                <c:pt idx="22">
                  <c:v>0.7</c:v>
                </c:pt>
                <c:pt idx="23">
                  <c:v>0.66</c:v>
                </c:pt>
                <c:pt idx="24">
                  <c:v>0.65</c:v>
                </c:pt>
                <c:pt idx="25">
                  <c:v>0.67</c:v>
                </c:pt>
                <c:pt idx="26">
                  <c:v>0.64</c:v>
                </c:pt>
                <c:pt idx="27">
                  <c:v>0.377</c:v>
                </c:pt>
                <c:pt idx="28">
                  <c:v>0.53</c:v>
                </c:pt>
                <c:pt idx="29">
                  <c:v>0.59</c:v>
                </c:pt>
                <c:pt idx="30">
                  <c:v>0.54</c:v>
                </c:pt>
                <c:pt idx="31">
                  <c:v>0.68</c:v>
                </c:pt>
                <c:pt idx="32">
                  <c:v>0.35</c:v>
                </c:pt>
                <c:pt idx="33">
                  <c:v>0.33</c:v>
                </c:pt>
                <c:pt idx="34">
                  <c:v>0.43</c:v>
                </c:pt>
                <c:pt idx="35">
                  <c:v>0.48</c:v>
                </c:pt>
                <c:pt idx="36">
                  <c:v>0.55000000000000004</c:v>
                </c:pt>
                <c:pt idx="37">
                  <c:v>0.57999999999999996</c:v>
                </c:pt>
                <c:pt idx="38">
                  <c:v>0.33</c:v>
                </c:pt>
                <c:pt idx="39">
                  <c:v>0.39</c:v>
                </c:pt>
                <c:pt idx="40">
                  <c:v>0.48</c:v>
                </c:pt>
                <c:pt idx="41">
                  <c:v>0.61</c:v>
                </c:pt>
                <c:pt idx="42">
                  <c:v>0.65</c:v>
                </c:pt>
                <c:pt idx="43" formatCode="0.00000">
                  <c:v>0.58402572501805405</c:v>
                </c:pt>
                <c:pt idx="44" formatCode="0.00000">
                  <c:v>0.46295460257469101</c:v>
                </c:pt>
                <c:pt idx="45" formatCode="0.00000">
                  <c:v>0.64274557505337204</c:v>
                </c:pt>
                <c:pt idx="46" formatCode="0.00000">
                  <c:v>0.61372443202045102</c:v>
                </c:pt>
                <c:pt idx="47" formatCode="0.00000">
                  <c:v>0.61942919137039898</c:v>
                </c:pt>
                <c:pt idx="48" formatCode="0.00000">
                  <c:v>0.65262903768067004</c:v>
                </c:pt>
                <c:pt idx="49" formatCode="0.00000">
                  <c:v>0.52561566014959404</c:v>
                </c:pt>
                <c:pt idx="50" formatCode="0.00000">
                  <c:v>0.66692914126930103</c:v>
                </c:pt>
                <c:pt idx="51" formatCode="0.00000">
                  <c:v>0.65838367111004004</c:v>
                </c:pt>
                <c:pt idx="52" formatCode="0.00000">
                  <c:v>0.70055468130292098</c:v>
                </c:pt>
                <c:pt idx="53" formatCode="0.00000">
                  <c:v>0.60468908644322295</c:v>
                </c:pt>
                <c:pt idx="54" formatCode="General">
                  <c:v>0.55978618276000702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0-4768-A6A2-9B84B0904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 max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db_ESP_params!$E$5</c:f>
              <c:strCache>
                <c:ptCount val="1"/>
                <c:pt idx="0">
                  <c:v>stages_max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db_ESP_params!$F$6:$F$48</c:f>
              <c:numCache>
                <c:formatCode>General</c:formatCode>
                <c:ptCount val="43"/>
                <c:pt idx="0">
                  <c:v>30</c:v>
                </c:pt>
                <c:pt idx="1">
                  <c:v>125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44</c:v>
                </c:pt>
                <c:pt idx="6">
                  <c:v>500</c:v>
                </c:pt>
                <c:pt idx="7">
                  <c:v>59</c:v>
                </c:pt>
                <c:pt idx="8">
                  <c:v>79</c:v>
                </c:pt>
                <c:pt idx="9">
                  <c:v>100</c:v>
                </c:pt>
                <c:pt idx="10">
                  <c:v>124</c:v>
                </c:pt>
                <c:pt idx="11">
                  <c:v>159</c:v>
                </c:pt>
                <c:pt idx="12">
                  <c:v>199</c:v>
                </c:pt>
                <c:pt idx="13">
                  <c:v>240</c:v>
                </c:pt>
                <c:pt idx="14">
                  <c:v>280</c:v>
                </c:pt>
                <c:pt idx="15">
                  <c:v>35</c:v>
                </c:pt>
                <c:pt idx="16">
                  <c:v>50</c:v>
                </c:pt>
                <c:pt idx="17">
                  <c:v>500</c:v>
                </c:pt>
                <c:pt idx="18">
                  <c:v>700</c:v>
                </c:pt>
                <c:pt idx="19">
                  <c:v>1000</c:v>
                </c:pt>
                <c:pt idx="20">
                  <c:v>130</c:v>
                </c:pt>
                <c:pt idx="21">
                  <c:v>250</c:v>
                </c:pt>
                <c:pt idx="22">
                  <c:v>2000</c:v>
                </c:pt>
                <c:pt idx="23">
                  <c:v>1000</c:v>
                </c:pt>
                <c:pt idx="24">
                  <c:v>2000</c:v>
                </c:pt>
                <c:pt idx="25">
                  <c:v>2500</c:v>
                </c:pt>
                <c:pt idx="26">
                  <c:v>1250</c:v>
                </c:pt>
                <c:pt idx="27">
                  <c:v>150</c:v>
                </c:pt>
                <c:pt idx="28">
                  <c:v>90</c:v>
                </c:pt>
                <c:pt idx="29">
                  <c:v>500</c:v>
                </c:pt>
                <c:pt idx="30">
                  <c:v>200</c:v>
                </c:pt>
                <c:pt idx="31">
                  <c:v>3000</c:v>
                </c:pt>
                <c:pt idx="32">
                  <c:v>20</c:v>
                </c:pt>
                <c:pt idx="33">
                  <c:v>20</c:v>
                </c:pt>
                <c:pt idx="34">
                  <c:v>35</c:v>
                </c:pt>
                <c:pt idx="35">
                  <c:v>50</c:v>
                </c:pt>
                <c:pt idx="36">
                  <c:v>80</c:v>
                </c:pt>
                <c:pt idx="37">
                  <c:v>100</c:v>
                </c:pt>
                <c:pt idx="38">
                  <c:v>25</c:v>
                </c:pt>
                <c:pt idx="39">
                  <c:v>34</c:v>
                </c:pt>
                <c:pt idx="40">
                  <c:v>30</c:v>
                </c:pt>
                <c:pt idx="41">
                  <c:v>50</c:v>
                </c:pt>
                <c:pt idx="42">
                  <c:v>100</c:v>
                </c:pt>
              </c:numCache>
            </c:numRef>
          </c:xVal>
          <c:yVal>
            <c:numRef>
              <c:f>db_ESP_params!$E$6:$E$48</c:f>
              <c:numCache>
                <c:formatCode>General</c:formatCode>
                <c:ptCount val="43"/>
                <c:pt idx="0">
                  <c:v>582</c:v>
                </c:pt>
                <c:pt idx="1">
                  <c:v>517</c:v>
                </c:pt>
                <c:pt idx="2">
                  <c:v>555</c:v>
                </c:pt>
                <c:pt idx="3">
                  <c:v>651</c:v>
                </c:pt>
                <c:pt idx="4">
                  <c:v>591</c:v>
                </c:pt>
                <c:pt idx="5">
                  <c:v>541</c:v>
                </c:pt>
                <c:pt idx="6">
                  <c:v>539</c:v>
                </c:pt>
                <c:pt idx="7">
                  <c:v>522</c:v>
                </c:pt>
                <c:pt idx="8">
                  <c:v>459</c:v>
                </c:pt>
                <c:pt idx="9">
                  <c:v>380</c:v>
                </c:pt>
                <c:pt idx="10">
                  <c:v>354</c:v>
                </c:pt>
                <c:pt idx="11">
                  <c:v>372</c:v>
                </c:pt>
                <c:pt idx="12">
                  <c:v>388</c:v>
                </c:pt>
                <c:pt idx="13">
                  <c:v>374</c:v>
                </c:pt>
                <c:pt idx="14">
                  <c:v>368</c:v>
                </c:pt>
                <c:pt idx="15">
                  <c:v>404</c:v>
                </c:pt>
                <c:pt idx="16">
                  <c:v>450</c:v>
                </c:pt>
                <c:pt idx="17">
                  <c:v>510</c:v>
                </c:pt>
                <c:pt idx="18">
                  <c:v>552</c:v>
                </c:pt>
                <c:pt idx="19">
                  <c:v>300</c:v>
                </c:pt>
                <c:pt idx="20">
                  <c:v>264</c:v>
                </c:pt>
                <c:pt idx="21">
                  <c:v>297</c:v>
                </c:pt>
                <c:pt idx="22">
                  <c:v>208</c:v>
                </c:pt>
                <c:pt idx="23">
                  <c:v>135</c:v>
                </c:pt>
                <c:pt idx="24">
                  <c:v>90</c:v>
                </c:pt>
                <c:pt idx="25">
                  <c:v>93</c:v>
                </c:pt>
                <c:pt idx="26">
                  <c:v>420</c:v>
                </c:pt>
                <c:pt idx="27">
                  <c:v>358</c:v>
                </c:pt>
                <c:pt idx="28">
                  <c:v>250</c:v>
                </c:pt>
                <c:pt idx="29">
                  <c:v>152</c:v>
                </c:pt>
                <c:pt idx="30">
                  <c:v>726</c:v>
                </c:pt>
                <c:pt idx="31">
                  <c:v>31</c:v>
                </c:pt>
                <c:pt idx="32">
                  <c:v>663</c:v>
                </c:pt>
                <c:pt idx="33">
                  <c:v>600</c:v>
                </c:pt>
                <c:pt idx="34">
                  <c:v>591</c:v>
                </c:pt>
                <c:pt idx="35">
                  <c:v>582</c:v>
                </c:pt>
                <c:pt idx="36">
                  <c:v>489</c:v>
                </c:pt>
                <c:pt idx="37">
                  <c:v>514</c:v>
                </c:pt>
                <c:pt idx="38">
                  <c:v>364</c:v>
                </c:pt>
                <c:pt idx="39">
                  <c:v>426</c:v>
                </c:pt>
                <c:pt idx="40">
                  <c:v>150</c:v>
                </c:pt>
                <c:pt idx="41">
                  <c:v>115</c:v>
                </c:pt>
                <c:pt idx="42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C-4908-B994-CACD5C73C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551552"/>
        <c:axId val="1729228368"/>
      </c:scatterChart>
      <c:valAx>
        <c:axId val="20025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Qnom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9228368"/>
        <c:crosses val="autoZero"/>
        <c:crossBetween val="midCat"/>
      </c:valAx>
      <c:valAx>
        <c:axId val="17292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макс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0255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6E-4A42-B7E7-D4D90B4ED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4-4746-AC95-FB694E13C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'1'!$C$42:$C$91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24.522361106680599</c:v>
                </c:pt>
                <c:pt idx="2">
                  <c:v>24.6351262162549</c:v>
                </c:pt>
                <c:pt idx="3">
                  <c:v>24.7027789293365</c:v>
                </c:pt>
                <c:pt idx="4">
                  <c:v>24.731196888372999</c:v>
                </c:pt>
                <c:pt idx="5">
                  <c:v>24.725503813567101</c:v>
                </c:pt>
                <c:pt idx="6">
                  <c:v>24.690119624872999</c:v>
                </c:pt>
                <c:pt idx="7">
                  <c:v>24.628808960068799</c:v>
                </c:pt>
                <c:pt idx="8">
                  <c:v>24.544728088903799</c:v>
                </c:pt>
                <c:pt idx="9">
                  <c:v>24.440470223320901</c:v>
                </c:pt>
                <c:pt idx="10">
                  <c:v>24.318109223754899</c:v>
                </c:pt>
                <c:pt idx="11">
                  <c:v>24.179241701506001</c:v>
                </c:pt>
                <c:pt idx="12">
                  <c:v>24.025027517188501</c:v>
                </c:pt>
                <c:pt idx="13">
                  <c:v>23.8562286752551</c:v>
                </c:pt>
                <c:pt idx="14">
                  <c:v>23.673246614596099</c:v>
                </c:pt>
                <c:pt idx="15">
                  <c:v>23.476157895214701</c:v>
                </c:pt>
                <c:pt idx="16">
                  <c:v>23.264748280977098</c:v>
                </c:pt>
                <c:pt idx="17">
                  <c:v>23.038545218437999</c:v>
                </c:pt>
                <c:pt idx="18">
                  <c:v>22.796848711741699</c:v>
                </c:pt>
                <c:pt idx="19">
                  <c:v>22.538760593598301</c:v>
                </c:pt>
                <c:pt idx="20">
                  <c:v>22.2632121923357</c:v>
                </c:pt>
                <c:pt idx="21">
                  <c:v>21.968990395026299</c:v>
                </c:pt>
                <c:pt idx="22">
                  <c:v>21.654762106689699</c:v>
                </c:pt>
                <c:pt idx="23">
                  <c:v>21.319097105570101</c:v>
                </c:pt>
                <c:pt idx="24">
                  <c:v>20.960489294490099</c:v>
                </c:pt>
                <c:pt idx="25">
                  <c:v>20.577376348278602</c:v>
                </c:pt>
                <c:pt idx="26">
                  <c:v>20.168157757274798</c:v>
                </c:pt>
                <c:pt idx="27">
                  <c:v>19.7312112669077</c:v>
                </c:pt>
                <c:pt idx="28">
                  <c:v>19.2649077133505</c:v>
                </c:pt>
                <c:pt idx="29">
                  <c:v>18.7676242552504</c:v>
                </c:pt>
                <c:pt idx="30">
                  <c:v>18.237756001534201</c:v>
                </c:pt>
                <c:pt idx="31">
                  <c:v>17.673726035288801</c:v>
                </c:pt>
                <c:pt idx="32">
                  <c:v>17.073993833717399</c:v>
                </c:pt>
                <c:pt idx="33">
                  <c:v>16.437062084170599</c:v>
                </c:pt>
                <c:pt idx="34">
                  <c:v>15.761481896253599</c:v>
                </c:pt>
                <c:pt idx="35">
                  <c:v>15.045856410007801</c:v>
                </c:pt>
                <c:pt idx="36">
                  <c:v>14.2888428001687</c:v>
                </c:pt>
                <c:pt idx="37">
                  <c:v>13.489152676498801</c:v>
                </c:pt>
                <c:pt idx="38">
                  <c:v>12.6455508801952</c:v>
                </c:pt>
                <c:pt idx="39">
                  <c:v>11.756852676373899</c:v>
                </c:pt>
                <c:pt idx="40">
                  <c:v>10.8219193426283</c:v>
                </c:pt>
                <c:pt idx="41">
                  <c:v>9.8396521536636907</c:v>
                </c:pt>
                <c:pt idx="42">
                  <c:v>8.8089847620066806</c:v>
                </c:pt>
                <c:pt idx="43">
                  <c:v>7.7288739747904396</c:v>
                </c:pt>
                <c:pt idx="44">
                  <c:v>6.59828892661504</c:v>
                </c:pt>
                <c:pt idx="45">
                  <c:v>5.4161986484831299</c:v>
                </c:pt>
                <c:pt idx="46">
                  <c:v>4.1815580328109396</c:v>
                </c:pt>
                <c:pt idx="47">
                  <c:v>2.8932921945149999</c:v>
                </c:pt>
                <c:pt idx="48">
                  <c:v>1.5502792281737201</c:v>
                </c:pt>
                <c:pt idx="49">
                  <c:v>0.15133136126484401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04-4169-B186-A594A2F648A6}"/>
            </c:ext>
          </c:extLst>
        </c:ser>
        <c:ser>
          <c:idx val="1"/>
          <c:order val="1"/>
          <c:tx>
            <c:strRef>
              <c:f>'1'!$G$41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'1'!$G$42:$G$91</c:f>
              <c:numCache>
                <c:formatCode>0.000</c:formatCode>
                <c:ptCount val="50"/>
                <c:pt idx="0">
                  <c:v>24.357800309999998</c:v>
                </c:pt>
                <c:pt idx="1">
                  <c:v>24.52236110668068</c:v>
                </c:pt>
                <c:pt idx="2">
                  <c:v>24.63512621625496</c:v>
                </c:pt>
                <c:pt idx="3">
                  <c:v>24.702778929336578</c:v>
                </c:pt>
                <c:pt idx="4">
                  <c:v>24.731196888373084</c:v>
                </c:pt>
                <c:pt idx="5">
                  <c:v>24.725503813567105</c:v>
                </c:pt>
                <c:pt idx="6">
                  <c:v>24.690119624873009</c:v>
                </c:pt>
                <c:pt idx="7">
                  <c:v>24.628808960068874</c:v>
                </c:pt>
                <c:pt idx="8">
                  <c:v>24.544728088903867</c:v>
                </c:pt>
                <c:pt idx="9">
                  <c:v>24.440470223320936</c:v>
                </c:pt>
                <c:pt idx="10">
                  <c:v>24.318109223754941</c:v>
                </c:pt>
                <c:pt idx="11">
                  <c:v>24.179241701506044</c:v>
                </c:pt>
                <c:pt idx="12">
                  <c:v>24.025027517188569</c:v>
                </c:pt>
                <c:pt idx="13">
                  <c:v>23.85622867525511</c:v>
                </c:pt>
                <c:pt idx="14">
                  <c:v>23.673246614596128</c:v>
                </c:pt>
                <c:pt idx="15">
                  <c:v>23.476157895214765</c:v>
                </c:pt>
                <c:pt idx="16">
                  <c:v>23.26474828097717</c:v>
                </c:pt>
                <c:pt idx="17">
                  <c:v>23.038545218438067</c:v>
                </c:pt>
                <c:pt idx="18">
                  <c:v>22.796848711741742</c:v>
                </c:pt>
                <c:pt idx="19">
                  <c:v>22.538760593598383</c:v>
                </c:pt>
                <c:pt idx="20">
                  <c:v>22.263212192335779</c:v>
                </c:pt>
                <c:pt idx="21">
                  <c:v>21.968990395026378</c:v>
                </c:pt>
                <c:pt idx="22">
                  <c:v>21.654762106689713</c:v>
                </c:pt>
                <c:pt idx="23">
                  <c:v>21.319097105570176</c:v>
                </c:pt>
                <c:pt idx="24">
                  <c:v>20.96048929449017</c:v>
                </c:pt>
                <c:pt idx="25">
                  <c:v>20.577376348278623</c:v>
                </c:pt>
                <c:pt idx="26">
                  <c:v>20.168157757274859</c:v>
                </c:pt>
                <c:pt idx="27">
                  <c:v>19.731211266907781</c:v>
                </c:pt>
                <c:pt idx="28">
                  <c:v>19.264907713350649</c:v>
                </c:pt>
                <c:pt idx="29">
                  <c:v>18.76762425525056</c:v>
                </c:pt>
                <c:pt idx="30">
                  <c:v>18.23775600153423</c:v>
                </c:pt>
                <c:pt idx="31">
                  <c:v>17.673726035288873</c:v>
                </c:pt>
                <c:pt idx="32">
                  <c:v>17.073993833717459</c:v>
                </c:pt>
                <c:pt idx="33">
                  <c:v>16.437062084170709</c:v>
                </c:pt>
                <c:pt idx="34">
                  <c:v>15.761481896253695</c:v>
                </c:pt>
                <c:pt idx="35">
                  <c:v>15.045856410007932</c:v>
                </c:pt>
                <c:pt idx="36">
                  <c:v>14.288842800168919</c:v>
                </c:pt>
                <c:pt idx="37">
                  <c:v>13.489152676498996</c:v>
                </c:pt>
                <c:pt idx="38">
                  <c:v>12.645550880195458</c:v>
                </c:pt>
                <c:pt idx="39">
                  <c:v>11.75685267637418</c:v>
                </c:pt>
                <c:pt idx="40">
                  <c:v>10.821919342628377</c:v>
                </c:pt>
                <c:pt idx="41">
                  <c:v>9.8396521536637582</c:v>
                </c:pt>
                <c:pt idx="42">
                  <c:v>8.8089847620067854</c:v>
                </c:pt>
                <c:pt idx="43">
                  <c:v>7.7288739747906128</c:v>
                </c:pt>
                <c:pt idx="44">
                  <c:v>6.5982889266152398</c:v>
                </c:pt>
                <c:pt idx="45">
                  <c:v>5.4161986484833449</c:v>
                </c:pt>
                <c:pt idx="46">
                  <c:v>4.181558032811175</c:v>
                </c:pt>
                <c:pt idx="47">
                  <c:v>2.8932921945152685</c:v>
                </c:pt>
                <c:pt idx="48">
                  <c:v>1.5502792281740874</c:v>
                </c:pt>
                <c:pt idx="49">
                  <c:v>0.15133136126484459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04-4169-B186-A594A2F6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BC-487C-9899-9280257426B2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'1'!$K$42:$K$91</c:f>
              <c:numCache>
                <c:formatCode>0.000</c:formatCode>
                <c:ptCount val="50"/>
                <c:pt idx="0">
                  <c:v>-2.3384264490000002E-3</c:v>
                </c:pt>
                <c:pt idx="1">
                  <c:v>3.0625770466132862E-2</c:v>
                </c:pt>
                <c:pt idx="2">
                  <c:v>6.1550844504892614E-2</c:v>
                </c:pt>
                <c:pt idx="3">
                  <c:v>9.0842596138239765E-2</c:v>
                </c:pt>
                <c:pt idx="4">
                  <c:v>0.11883593206823305</c:v>
                </c:pt>
                <c:pt idx="5">
                  <c:v>0.14580139824168534</c:v>
                </c:pt>
                <c:pt idx="6">
                  <c:v>0.17195141795457988</c:v>
                </c:pt>
                <c:pt idx="7">
                  <c:v>0.19744623504724707</c:v>
                </c:pt>
                <c:pt idx="8">
                  <c:v>0.22239956219030152</c:v>
                </c:pt>
                <c:pt idx="9">
                  <c:v>0.24688393426134034</c:v>
                </c:pt>
                <c:pt idx="10">
                  <c:v>0.27093576681240117</c:v>
                </c:pt>
                <c:pt idx="11">
                  <c:v>0.29456011962818074</c:v>
                </c:pt>
                <c:pt idx="12">
                  <c:v>0.31773516537501517</c:v>
                </c:pt>
                <c:pt idx="13">
                  <c:v>0.34041636334061887</c:v>
                </c:pt>
                <c:pt idx="14">
                  <c:v>0.36254033826458559</c:v>
                </c:pt>
                <c:pt idx="15">
                  <c:v>0.38402846425964887</c:v>
                </c:pt>
                <c:pt idx="16">
                  <c:v>0.40479015382370437</c:v>
                </c:pt>
                <c:pt idx="17">
                  <c:v>0.42472585194259083</c:v>
                </c:pt>
                <c:pt idx="18">
                  <c:v>0.44372973528363302</c:v>
                </c:pt>
                <c:pt idx="19">
                  <c:v>0.46169211647994535</c:v>
                </c:pt>
                <c:pt idx="20">
                  <c:v>0.47850155350549406</c:v>
                </c:pt>
                <c:pt idx="21">
                  <c:v>0.49404666414092197</c:v>
                </c:pt>
                <c:pt idx="22">
                  <c:v>0.50821764553013471</c:v>
                </c:pt>
                <c:pt idx="23">
                  <c:v>0.52090749882764231</c:v>
                </c:pt>
                <c:pt idx="24">
                  <c:v>0.53201295893666778</c:v>
                </c:pt>
                <c:pt idx="25">
                  <c:v>0.54143512933801208</c:v>
                </c:pt>
                <c:pt idx="26">
                  <c:v>0.54907982200968175</c:v>
                </c:pt>
                <c:pt idx="27">
                  <c:v>0.55485760243727444</c:v>
                </c:pt>
                <c:pt idx="28">
                  <c:v>0.55868353971512719</c:v>
                </c:pt>
                <c:pt idx="29">
                  <c:v>0.56047666173822641</c:v>
                </c:pt>
                <c:pt idx="30">
                  <c:v>0.56015911548487463</c:v>
                </c:pt>
                <c:pt idx="31">
                  <c:v>0.55765503239011893</c:v>
                </c:pt>
                <c:pt idx="32">
                  <c:v>0.55288909880994375</c:v>
                </c:pt>
                <c:pt idx="33">
                  <c:v>0.54578483157622026</c:v>
                </c:pt>
                <c:pt idx="34">
                  <c:v>0.53626255864241312</c:v>
                </c:pt>
                <c:pt idx="35">
                  <c:v>0.52423710482006114</c:v>
                </c:pt>
                <c:pt idx="36">
                  <c:v>0.5096151826059967</c:v>
                </c:pt>
                <c:pt idx="37">
                  <c:v>0.49229248810035103</c:v>
                </c:pt>
                <c:pt idx="38">
                  <c:v>0.47215050201529563</c:v>
                </c:pt>
                <c:pt idx="39">
                  <c:v>0.4490529957745602</c:v>
                </c:pt>
                <c:pt idx="40">
                  <c:v>0.42284224270370913</c:v>
                </c:pt>
                <c:pt idx="41">
                  <c:v>0.39333493431118344</c:v>
                </c:pt>
                <c:pt idx="42">
                  <c:v>0.36031780166007449</c:v>
                </c:pt>
                <c:pt idx="43">
                  <c:v>0.32354294183069499</c:v>
                </c:pt>
                <c:pt idx="44">
                  <c:v>0.28272284947388754</c:v>
                </c:pt>
                <c:pt idx="45">
                  <c:v>0.23752515345511768</c:v>
                </c:pt>
                <c:pt idx="46">
                  <c:v>0.18756705858928227</c:v>
                </c:pt>
                <c:pt idx="47">
                  <c:v>0.13240949246633363</c:v>
                </c:pt>
                <c:pt idx="48">
                  <c:v>7.1550957367625762E-2</c:v>
                </c:pt>
                <c:pt idx="49">
                  <c:v>4.4210872730172926E-3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BC-487C-9899-9280257426B2}"/>
            </c:ext>
          </c:extLst>
        </c:ser>
        <c:ser>
          <c:idx val="2"/>
          <c:order val="2"/>
          <c:tx>
            <c:strRef>
              <c:f>'1'!$N$41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'1'!$N$42:$N$91</c:f>
              <c:numCache>
                <c:formatCode>0.000</c:formatCode>
                <c:ptCount val="50"/>
                <c:pt idx="0">
                  <c:v>0</c:v>
                </c:pt>
                <c:pt idx="1">
                  <c:v>2.8791123704857549E-2</c:v>
                </c:pt>
                <c:pt idx="2">
                  <c:v>5.804799092353901E-2</c:v>
                </c:pt>
                <c:pt idx="3">
                  <c:v>8.7235188671546629E-2</c:v>
                </c:pt>
                <c:pt idx="4">
                  <c:v>0.11598579127113479</c:v>
                </c:pt>
                <c:pt idx="5">
                  <c:v>0.1440764498462471</c:v>
                </c:pt>
                <c:pt idx="6">
                  <c:v>0.17139476463582415</c:v>
                </c:pt>
                <c:pt idx="7">
                  <c:v>0.19790652255831662</c:v>
                </c:pt>
                <c:pt idx="8">
                  <c:v>0.22362691001774732</c:v>
                </c:pt>
                <c:pt idx="9">
                  <c:v>0.24859726373023086</c:v>
                </c:pt>
                <c:pt idx="10">
                  <c:v>0.27286740292294964</c:v>
                </c:pt>
                <c:pt idx="11">
                  <c:v>0.29648286399831214</c:v>
                </c:pt>
                <c:pt idx="12">
                  <c:v>0.31947614022689041</c:v>
                </c:pt>
                <c:pt idx="13">
                  <c:v>0.34186107585979814</c:v>
                </c:pt>
                <c:pt idx="14">
                  <c:v>0.36362971857092363</c:v>
                </c:pt>
                <c:pt idx="15">
                  <c:v>0.38475110622053993</c:v>
                </c:pt>
                <c:pt idx="16">
                  <c:v>0.4051716091091172</c:v>
                </c:pt>
                <c:pt idx="17">
                  <c:v>0.42481654999968671</c:v>
                </c:pt>
                <c:pt idx="18">
                  <c:v>0.44359287920114093</c:v>
                </c:pt>
                <c:pt idx="19">
                  <c:v>0.46139269704028196</c:v>
                </c:pt>
                <c:pt idx="20">
                  <c:v>0.47809740165324</c:v>
                </c:pt>
                <c:pt idx="21">
                  <c:v>0.49358220907833089</c:v>
                </c:pt>
                <c:pt idx="22">
                  <c:v>0.50772075877047151</c:v>
                </c:pt>
                <c:pt idx="23">
                  <c:v>0.52038949366545351</c:v>
                </c:pt>
                <c:pt idx="24">
                  <c:v>0.53147150001410404</c:v>
                </c:pt>
                <c:pt idx="25">
                  <c:v>0.54085951446573599</c:v>
                </c:pt>
                <c:pt idx="26">
                  <c:v>0.54845785527926949</c:v>
                </c:pt>
                <c:pt idx="27">
                  <c:v>0.55418310689500727</c:v>
                </c:pt>
                <c:pt idx="28">
                  <c:v>0.5579634741120838</c:v>
                </c:pt>
                <c:pt idx="29">
                  <c:v>0.55973681332958436</c:v>
                </c:pt>
                <c:pt idx="30">
                  <c:v>0.55944743354260285</c:v>
                </c:pt>
                <c:pt idx="31">
                  <c:v>0.55704183148682807</c:v>
                </c:pt>
                <c:pt idx="32">
                  <c:v>0.55246358034995713</c:v>
                </c:pt>
                <c:pt idx="33">
                  <c:v>0.54564763199956889</c:v>
                </c:pt>
                <c:pt idx="34">
                  <c:v>0.53651432629609663</c:v>
                </c:pt>
                <c:pt idx="35">
                  <c:v>0.52496344014176055</c:v>
                </c:pt>
                <c:pt idx="36">
                  <c:v>0.5108686696020025</c:v>
                </c:pt>
                <c:pt idx="37">
                  <c:v>0.49407303923522633</c:v>
                </c:pt>
                <c:pt idx="38">
                  <c:v>0.47438589250623947</c:v>
                </c:pt>
                <c:pt idx="39">
                  <c:v>0.45158235137963687</c:v>
                </c:pt>
                <c:pt idx="40">
                  <c:v>0.4254064473940965</c:v>
                </c:pt>
                <c:pt idx="41">
                  <c:v>0.39557950396653579</c:v>
                </c:pt>
                <c:pt idx="42">
                  <c:v>0.36181573126315991</c:v>
                </c:pt>
                <c:pt idx="43">
                  <c:v>0.32384725035124989</c:v>
                </c:pt>
                <c:pt idx="44">
                  <c:v>0.28146065800389986</c:v>
                </c:pt>
                <c:pt idx="45">
                  <c:v>0.23454641929581307</c:v>
                </c:pt>
                <c:pt idx="46">
                  <c:v>0.18316038279111471</c:v>
                </c:pt>
                <c:pt idx="47">
                  <c:v>0.12759315934302373</c:v>
                </c:pt>
                <c:pt idx="48">
                  <c:v>6.8437975769853818E-2</c:v>
                </c:pt>
                <c:pt idx="49">
                  <c:v>6.6417577186303972E-3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BC-487C-9899-92802574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0.33364031650384501</c:v>
                </c:pt>
                <c:pt idx="2">
                  <c:v>0.33354469352282201</c:v>
                </c:pt>
                <c:pt idx="3">
                  <c:v>0.339923189983665</c:v>
                </c:pt>
                <c:pt idx="4">
                  <c:v>0.34686510679587401</c:v>
                </c:pt>
                <c:pt idx="5">
                  <c:v>0.35331065056710798</c:v>
                </c:pt>
                <c:pt idx="6">
                  <c:v>0.358981400371156</c:v>
                </c:pt>
                <c:pt idx="7">
                  <c:v>0.36382778086103901</c:v>
                </c:pt>
                <c:pt idx="8">
                  <c:v>0.36788963208345199</c:v>
                </c:pt>
                <c:pt idx="9">
                  <c:v>0.37124661419390498</c:v>
                </c:pt>
                <c:pt idx="10">
                  <c:v>0.37399580265136001</c:v>
                </c:pt>
                <c:pt idx="11">
                  <c:v>0.37623975122705899</c:v>
                </c:pt>
                <c:pt idx="12">
                  <c:v>0.37807949229952498</c:v>
                </c:pt>
                <c:pt idx="13">
                  <c:v>0.379610291475376</c:v>
                </c:pt>
                <c:pt idx="14">
                  <c:v>0.38091913265588501</c:v>
                </c:pt>
                <c:pt idx="15">
                  <c:v>0.38208336477185201</c:v>
                </c:pt>
                <c:pt idx="16">
                  <c:v>0.38317014633021401</c:v>
                </c:pt>
                <c:pt idx="17">
                  <c:v>0.38423643255930501</c:v>
                </c:pt>
                <c:pt idx="18">
                  <c:v>0.38532931805506399</c:v>
                </c:pt>
                <c:pt idx="19">
                  <c:v>0.38648659640945998</c:v>
                </c:pt>
                <c:pt idx="20">
                  <c:v>0.38773743550661399</c:v>
                </c:pt>
                <c:pt idx="21">
                  <c:v>0.38910309640587598</c:v>
                </c:pt>
                <c:pt idx="22">
                  <c:v>0.390597646688078</c:v>
                </c:pt>
                <c:pt idx="23">
                  <c:v>0.392228636932341</c:v>
                </c:pt>
                <c:pt idx="24">
                  <c:v>0.39399772252736298</c:v>
                </c:pt>
                <c:pt idx="25">
                  <c:v>0.39590122311842302</c:v>
                </c:pt>
                <c:pt idx="26">
                  <c:v>0.39793061938014701</c:v>
                </c:pt>
                <c:pt idx="27">
                  <c:v>0.400072992121349</c:v>
                </c:pt>
                <c:pt idx="28">
                  <c:v>0.40231141250630698</c:v>
                </c:pt>
                <c:pt idx="29">
                  <c:v>0.40462529485308901</c:v>
                </c:pt>
                <c:pt idx="30">
                  <c:v>0.406990725394548</c:v>
                </c:pt>
                <c:pt idx="31">
                  <c:v>0.40938078184860699</c:v>
                </c:pt>
                <c:pt idx="32">
                  <c:v>0.41176585989747799</c:v>
                </c:pt>
                <c:pt idx="33">
                  <c:v>0.41411402399480002</c:v>
                </c:pt>
                <c:pt idx="34">
                  <c:v>0.41639140167785199</c:v>
                </c:pt>
                <c:pt idx="35">
                  <c:v>0.41856264337034499</c:v>
                </c:pt>
                <c:pt idx="36">
                  <c:v>0.42059147463803798</c:v>
                </c:pt>
                <c:pt idx="37">
                  <c:v>0.42244137716946401</c:v>
                </c:pt>
                <c:pt idx="38">
                  <c:v>0.42407645276783501</c:v>
                </c:pt>
                <c:pt idx="39">
                  <c:v>0.42546256056752901</c:v>
                </c:pt>
                <c:pt idx="40">
                  <c:v>0.42656889196708803</c:v>
                </c:pt>
                <c:pt idx="41">
                  <c:v>0.42737030872694498</c:v>
                </c:pt>
                <c:pt idx="42">
                  <c:v>0.42785114082916098</c:v>
                </c:pt>
                <c:pt idx="43">
                  <c:v>0.42801206943672698</c:v>
                </c:pt>
                <c:pt idx="44">
                  <c:v>0.42788430841554198</c:v>
                </c:pt>
                <c:pt idx="45">
                  <c:v>0.42756362971852002</c:v>
                </c:pt>
                <c:pt idx="46">
                  <c:v>0.42730960661568101</c:v>
                </c:pt>
                <c:pt idx="47">
                  <c:v>0.42793154018143298</c:v>
                </c:pt>
                <c:pt idx="48">
                  <c:v>0.43335017942488602</c:v>
                </c:pt>
                <c:pt idx="49">
                  <c:v>0.69887450078121705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22-4E88-8A0D-F76DB2DED327}"/>
            </c:ext>
          </c:extLst>
        </c:ser>
        <c:ser>
          <c:idx val="1"/>
          <c:order val="1"/>
          <c:tx>
            <c:strRef>
              <c:f>'1'!$I$41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'1'!$I$42:$I$91</c:f>
              <c:numCache>
                <c:formatCode>0.000</c:formatCode>
                <c:ptCount val="50"/>
                <c:pt idx="0">
                  <c:v>0.35854094120000002</c:v>
                </c:pt>
                <c:pt idx="1">
                  <c:v>0.35525103986584511</c:v>
                </c:pt>
                <c:pt idx="2">
                  <c:v>0.35402121169923578</c:v>
                </c:pt>
                <c:pt idx="3">
                  <c:v>0.35432928820323645</c:v>
                </c:pt>
                <c:pt idx="4">
                  <c:v>0.35573944779858419</c:v>
                </c:pt>
                <c:pt idx="5">
                  <c:v>0.35789352842871996</c:v>
                </c:pt>
                <c:pt idx="6">
                  <c:v>0.36050275043413321</c:v>
                </c:pt>
                <c:pt idx="7">
                  <c:v>0.36333984969602046</c:v>
                </c:pt>
                <c:pt idx="8">
                  <c:v>0.36623162104925783</c:v>
                </c:pt>
                <c:pt idx="9">
                  <c:v>0.36905187196468636</c:v>
                </c:pt>
                <c:pt idx="10">
                  <c:v>0.37171478650071299</c:v>
                </c:pt>
                <c:pt idx="11">
                  <c:v>0.37416869952422332</c:v>
                </c:pt>
                <c:pt idx="12">
                  <c:v>0.37639028120080947</c:v>
                </c:pt>
                <c:pt idx="13">
                  <c:v>0.37837913175431143</c:v>
                </c:pt>
                <c:pt idx="14">
                  <c:v>0.38015278649567186</c:v>
                </c:pt>
                <c:pt idx="15">
                  <c:v>0.38174213112110533</c:v>
                </c:pt>
                <c:pt idx="16">
                  <c:v>0.3831872272795806</c:v>
                </c:pt>
                <c:pt idx="17">
                  <c:v>0.38453354840961734</c:v>
                </c:pt>
                <c:pt idx="18">
                  <c:v>0.38582862584539623</c:v>
                </c:pt>
                <c:pt idx="19">
                  <c:v>0.38711910519218218</c:v>
                </c:pt>
                <c:pt idx="20">
                  <c:v>0.38844821297106485</c:v>
                </c:pt>
                <c:pt idx="21">
                  <c:v>0.38985363353300695</c:v>
                </c:pt>
                <c:pt idx="22">
                  <c:v>0.39136579624221091</c:v>
                </c:pt>
                <c:pt idx="23">
                  <c:v>0.39300657292879942</c:v>
                </c:pt>
                <c:pt idx="24">
                  <c:v>0.3947883856108072</c:v>
                </c:pt>
                <c:pt idx="25">
                  <c:v>0.39671372448548681</c:v>
                </c:pt>
                <c:pt idx="26">
                  <c:v>0.39877507618993113</c:v>
                </c:pt>
                <c:pt idx="27">
                  <c:v>0.4009552623310067</c:v>
                </c:pt>
                <c:pt idx="28">
                  <c:v>0.40322818828460311</c:v>
                </c:pt>
                <c:pt idx="29">
                  <c:v>0.40556000226419303</c:v>
                </c:pt>
                <c:pt idx="30">
                  <c:v>0.40791066465870979</c:v>
                </c:pt>
                <c:pt idx="31">
                  <c:v>0.41023592763973465</c:v>
                </c:pt>
                <c:pt idx="32">
                  <c:v>0.4124897250380028</c:v>
                </c:pt>
                <c:pt idx="33">
                  <c:v>0.4146269724892202</c:v>
                </c:pt>
                <c:pt idx="34">
                  <c:v>0.41660677784919142</c:v>
                </c:pt>
                <c:pt idx="35">
                  <c:v>0.4183960618782685</c:v>
                </c:pt>
                <c:pt idx="36">
                  <c:v>0.41997358919510841</c:v>
                </c:pt>
                <c:pt idx="37">
                  <c:v>0.42133440949973988</c:v>
                </c:pt>
                <c:pt idx="38">
                  <c:v>0.42249470906595932</c:v>
                </c:pt>
                <c:pt idx="39">
                  <c:v>0.42349707250302893</c:v>
                </c:pt>
                <c:pt idx="40">
                  <c:v>0.42441615478667383</c:v>
                </c:pt>
                <c:pt idx="41">
                  <c:v>0.42536476355943703</c:v>
                </c:pt>
                <c:pt idx="42">
                  <c:v>0.42650035170029788</c:v>
                </c:pt>
                <c:pt idx="43">
                  <c:v>0.42803192016364255</c:v>
                </c:pt>
                <c:pt idx="44">
                  <c:v>0.4302273310875171</c:v>
                </c:pt>
                <c:pt idx="45">
                  <c:v>0.43342103117122771</c:v>
                </c:pt>
                <c:pt idx="46">
                  <c:v>0.43802218532222742</c:v>
                </c:pt>
                <c:pt idx="47">
                  <c:v>0.44452322057232868</c:v>
                </c:pt>
                <c:pt idx="48">
                  <c:v>0.45350878026321151</c:v>
                </c:pt>
                <c:pt idx="49">
                  <c:v>0.46566508850130506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22-4E88-8A0D-F76DB2DED327}"/>
            </c:ext>
          </c:extLst>
        </c:ser>
        <c:ser>
          <c:idx val="2"/>
          <c:order val="2"/>
          <c:tx>
            <c:strRef>
              <c:f>'1'!$M$41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'1'!$B$42:$B$91</c:f>
              <c:numCache>
                <c:formatCode>0</c:formatCode>
                <c:ptCount val="50"/>
                <c:pt idx="0">
                  <c:v>0</c:v>
                </c:pt>
                <c:pt idx="1">
                  <c:v>3.6734693877550999</c:v>
                </c:pt>
                <c:pt idx="2">
                  <c:v>7.3469387755101998</c:v>
                </c:pt>
                <c:pt idx="3">
                  <c:v>11.0204081632653</c:v>
                </c:pt>
                <c:pt idx="4">
                  <c:v>14.6938775510204</c:v>
                </c:pt>
                <c:pt idx="5">
                  <c:v>18.367346938775501</c:v>
                </c:pt>
                <c:pt idx="6">
                  <c:v>22.040816326530599</c:v>
                </c:pt>
                <c:pt idx="7">
                  <c:v>25.714285714285701</c:v>
                </c:pt>
                <c:pt idx="8">
                  <c:v>29.387755102040799</c:v>
                </c:pt>
                <c:pt idx="9">
                  <c:v>33.061224489795897</c:v>
                </c:pt>
                <c:pt idx="10">
                  <c:v>36.734693877551003</c:v>
                </c:pt>
                <c:pt idx="11">
                  <c:v>40.408163265306101</c:v>
                </c:pt>
                <c:pt idx="12">
                  <c:v>44.081632653061199</c:v>
                </c:pt>
                <c:pt idx="13">
                  <c:v>47.755102040816297</c:v>
                </c:pt>
                <c:pt idx="14">
                  <c:v>51.428571428571402</c:v>
                </c:pt>
                <c:pt idx="15">
                  <c:v>55.1020408163265</c:v>
                </c:pt>
                <c:pt idx="16">
                  <c:v>58.775510204081598</c:v>
                </c:pt>
                <c:pt idx="17">
                  <c:v>62.448979591836697</c:v>
                </c:pt>
                <c:pt idx="18">
                  <c:v>66.122448979591795</c:v>
                </c:pt>
                <c:pt idx="19">
                  <c:v>69.7959183673469</c:v>
                </c:pt>
                <c:pt idx="20">
                  <c:v>73.469387755102005</c:v>
                </c:pt>
                <c:pt idx="21">
                  <c:v>77.142857142857096</c:v>
                </c:pt>
                <c:pt idx="22">
                  <c:v>80.816326530612201</c:v>
                </c:pt>
                <c:pt idx="23">
                  <c:v>84.489795918367307</c:v>
                </c:pt>
                <c:pt idx="24">
                  <c:v>88.163265306122398</c:v>
                </c:pt>
                <c:pt idx="25">
                  <c:v>91.836734693877503</c:v>
                </c:pt>
                <c:pt idx="26">
                  <c:v>95.510204081632594</c:v>
                </c:pt>
                <c:pt idx="27">
                  <c:v>99.183673469387699</c:v>
                </c:pt>
                <c:pt idx="28">
                  <c:v>102.85714285714199</c:v>
                </c:pt>
                <c:pt idx="29">
                  <c:v>106.530612244897</c:v>
                </c:pt>
                <c:pt idx="30">
                  <c:v>110.204081632653</c:v>
                </c:pt>
                <c:pt idx="31">
                  <c:v>113.87755102040801</c:v>
                </c:pt>
                <c:pt idx="32">
                  <c:v>117.551020408163</c:v>
                </c:pt>
                <c:pt idx="33">
                  <c:v>121.224489795918</c:v>
                </c:pt>
                <c:pt idx="34">
                  <c:v>124.897959183673</c:v>
                </c:pt>
                <c:pt idx="35">
                  <c:v>128.57142857142799</c:v>
                </c:pt>
                <c:pt idx="36">
                  <c:v>132.24489795918299</c:v>
                </c:pt>
                <c:pt idx="37">
                  <c:v>135.918367346938</c:v>
                </c:pt>
                <c:pt idx="38">
                  <c:v>139.591836734693</c:v>
                </c:pt>
                <c:pt idx="39">
                  <c:v>143.26530612244801</c:v>
                </c:pt>
                <c:pt idx="40">
                  <c:v>146.93877551020401</c:v>
                </c:pt>
                <c:pt idx="41">
                  <c:v>150.61224489795899</c:v>
                </c:pt>
                <c:pt idx="42">
                  <c:v>154.28571428571399</c:v>
                </c:pt>
                <c:pt idx="43">
                  <c:v>157.959183673469</c:v>
                </c:pt>
                <c:pt idx="44">
                  <c:v>161.632653061224</c:v>
                </c:pt>
                <c:pt idx="45">
                  <c:v>165.30612244897901</c:v>
                </c:pt>
                <c:pt idx="46">
                  <c:v>168.97959183673399</c:v>
                </c:pt>
                <c:pt idx="47">
                  <c:v>172.65306122448899</c:v>
                </c:pt>
                <c:pt idx="48">
                  <c:v>176.326530612244</c:v>
                </c:pt>
                <c:pt idx="49">
                  <c:v>180</c:v>
                </c:pt>
              </c:numCache>
            </c:numRef>
          </c:xVal>
          <c:yVal>
            <c:numRef>
              <c:f>'1'!$M$42:$M$91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0.33396961053983676</c:v>
                </c:pt>
                <c:pt idx="2">
                  <c:v>0.33387389318149818</c:v>
                </c:pt>
                <c:pt idx="3">
                  <c:v>0.34025868504712115</c:v>
                </c:pt>
                <c:pt idx="4">
                  <c:v>0.34720745334487141</c:v>
                </c:pt>
                <c:pt idx="5">
                  <c:v>0.35365935869478149</c:v>
                </c:pt>
                <c:pt idx="6">
                  <c:v>0.3593357053766581</c:v>
                </c:pt>
                <c:pt idx="7">
                  <c:v>0.36418686911398473</c:v>
                </c:pt>
                <c:pt idx="8">
                  <c:v>0.36825272927451658</c:v>
                </c:pt>
                <c:pt idx="9">
                  <c:v>0.37161302463619628</c:v>
                </c:pt>
                <c:pt idx="10">
                  <c:v>0.37436492646885811</c:v>
                </c:pt>
                <c:pt idx="11">
                  <c:v>0.37661108976156338</c:v>
                </c:pt>
                <c:pt idx="12">
                  <c:v>0.37845264660908101</c:v>
                </c:pt>
                <c:pt idx="13">
                  <c:v>0.37998495664262522</c:v>
                </c:pt>
                <c:pt idx="14">
                  <c:v>0.38129508961424424</c:v>
                </c:pt>
                <c:pt idx="15">
                  <c:v>0.38246047079605605</c:v>
                </c:pt>
                <c:pt idx="16">
                  <c:v>0.38354832497864216</c:v>
                </c:pt>
                <c:pt idx="17">
                  <c:v>0.38461566360361699</c:v>
                </c:pt>
                <c:pt idx="18">
                  <c:v>0.38570962774802342</c:v>
                </c:pt>
                <c:pt idx="19">
                  <c:v>0.38686804830508748</c:v>
                </c:pt>
                <c:pt idx="20">
                  <c:v>0.38812012194685203</c:v>
                </c:pt>
                <c:pt idx="21">
                  <c:v>0.38948713071676222</c:v>
                </c:pt>
                <c:pt idx="22">
                  <c:v>0.39098315607997314</c:v>
                </c:pt>
                <c:pt idx="23">
                  <c:v>0.39261575606782234</c:v>
                </c:pt>
                <c:pt idx="24">
                  <c:v>0.39438658770283752</c:v>
                </c:pt>
                <c:pt idx="25">
                  <c:v>0.39629196699788327</c:v>
                </c:pt>
                <c:pt idx="26">
                  <c:v>0.39832336621923886</c:v>
                </c:pt>
                <c:pt idx="27">
                  <c:v>0.40046785342482449</c:v>
                </c:pt>
                <c:pt idx="28">
                  <c:v>0.40270848307061147</c:v>
                </c:pt>
                <c:pt idx="29">
                  <c:v>0.40502464915715469</c:v>
                </c:pt>
                <c:pt idx="30">
                  <c:v>0.40739241431506162</c:v>
                </c:pt>
                <c:pt idx="31">
                  <c:v>0.40978482969068031</c:v>
                </c:pt>
                <c:pt idx="32">
                  <c:v>0.41217226174755939</c:v>
                </c:pt>
                <c:pt idx="33">
                  <c:v>0.41452274341980933</c:v>
                </c:pt>
                <c:pt idx="34">
                  <c:v>0.41680236881350047</c:v>
                </c:pt>
                <c:pt idx="35">
                  <c:v>0.41897575346325544</c:v>
                </c:pt>
                <c:pt idx="36">
                  <c:v>0.42100658713294448</c:v>
                </c:pt>
                <c:pt idx="37">
                  <c:v>0.42285831546850994</c:v>
                </c:pt>
                <c:pt idx="38">
                  <c:v>0.42449500484260033</c:v>
                </c:pt>
                <c:pt idx="39">
                  <c:v>0.42588248069348411</c:v>
                </c:pt>
                <c:pt idx="40">
                  <c:v>0.42698990401244058</c:v>
                </c:pt>
                <c:pt idx="41">
                  <c:v>0.4277921117491259</c:v>
                </c:pt>
                <c:pt idx="42">
                  <c:v>0.42827341841971833</c:v>
                </c:pt>
                <c:pt idx="43">
                  <c:v>0.42843450585949561</c:v>
                </c:pt>
                <c:pt idx="44">
                  <c:v>0.42830661874161102</c:v>
                </c:pt>
                <c:pt idx="45">
                  <c:v>0.42798562354331637</c:v>
                </c:pt>
                <c:pt idx="46">
                  <c:v>0.42773134972648158</c:v>
                </c:pt>
                <c:pt idx="47">
                  <c:v>0.42835389712395688</c:v>
                </c:pt>
                <c:pt idx="48">
                  <c:v>0.43377788441881637</c:v>
                </c:pt>
                <c:pt idx="49">
                  <c:v>0.69956427115257103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22-4E88-8A0D-F76DB2D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81-4AD2-8155-4705736CB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CB-4E04-A92A-4F29FD69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'1'!$Q$42:$Q$91</c:f>
              <c:numCache>
                <c:formatCode>General</c:formatCode>
                <c:ptCount val="50"/>
                <c:pt idx="0">
                  <c:v>6.0894500774999996</c:v>
                </c:pt>
                <c:pt idx="1">
                  <c:v>6.1305902766701497</c:v>
                </c:pt>
                <c:pt idx="2">
                  <c:v>6.158781554063725</c:v>
                </c:pt>
                <c:pt idx="3">
                  <c:v>6.1756947323341249</c:v>
                </c:pt>
                <c:pt idx="4">
                  <c:v>6.1827992220932497</c:v>
                </c:pt>
                <c:pt idx="5">
                  <c:v>6.1813759533917754</c:v>
                </c:pt>
                <c:pt idx="6">
                  <c:v>6.1725299062182497</c:v>
                </c:pt>
                <c:pt idx="7">
                  <c:v>6.1572022400171997</c:v>
                </c:pt>
                <c:pt idx="8">
                  <c:v>6.1361820222259498</c:v>
                </c:pt>
                <c:pt idx="9">
                  <c:v>6.1101175558302252</c:v>
                </c:pt>
                <c:pt idx="10">
                  <c:v>6.0795273059387247</c:v>
                </c:pt>
                <c:pt idx="11">
                  <c:v>6.0448104253765003</c:v>
                </c:pt>
                <c:pt idx="12">
                  <c:v>6.0062568792971254</c:v>
                </c:pt>
                <c:pt idx="13">
                  <c:v>5.9640571688137749</c:v>
                </c:pt>
                <c:pt idx="14">
                  <c:v>5.9183116536490248</c:v>
                </c:pt>
                <c:pt idx="15">
                  <c:v>5.8690394738036753</c:v>
                </c:pt>
                <c:pt idx="16">
                  <c:v>5.8161870702442746</c:v>
                </c:pt>
                <c:pt idx="17">
                  <c:v>5.7596363046094998</c:v>
                </c:pt>
                <c:pt idx="18">
                  <c:v>5.6992121779354248</c:v>
                </c:pt>
                <c:pt idx="19">
                  <c:v>5.6346901483995753</c:v>
                </c:pt>
                <c:pt idx="20">
                  <c:v>5.5658030480839251</c:v>
                </c:pt>
                <c:pt idx="21">
                  <c:v>5.4922475987565749</c:v>
                </c:pt>
                <c:pt idx="22">
                  <c:v>5.4136905266724247</c:v>
                </c:pt>
                <c:pt idx="23">
                  <c:v>5.3297742763925253</c:v>
                </c:pt>
                <c:pt idx="24">
                  <c:v>5.2401223236225247</c:v>
                </c:pt>
                <c:pt idx="25">
                  <c:v>5.1443440870696504</c:v>
                </c:pt>
                <c:pt idx="26">
                  <c:v>5.0420394393186996</c:v>
                </c:pt>
                <c:pt idx="27">
                  <c:v>4.9328028167269249</c:v>
                </c:pt>
                <c:pt idx="28">
                  <c:v>4.8162269283376249</c:v>
                </c:pt>
                <c:pt idx="29">
                  <c:v>4.6919060638126</c:v>
                </c:pt>
                <c:pt idx="30">
                  <c:v>4.5594390003835503</c:v>
                </c:pt>
                <c:pt idx="31">
                  <c:v>4.4184315088222004</c:v>
                </c:pt>
                <c:pt idx="32">
                  <c:v>4.2684984584293497</c:v>
                </c:pt>
                <c:pt idx="33">
                  <c:v>4.1092655210426496</c:v>
                </c:pt>
                <c:pt idx="34">
                  <c:v>3.9403704740633998</c:v>
                </c:pt>
                <c:pt idx="35">
                  <c:v>3.7614641025019502</c:v>
                </c:pt>
                <c:pt idx="36">
                  <c:v>3.572210700042175</c:v>
                </c:pt>
                <c:pt idx="37">
                  <c:v>3.3722881691247002</c:v>
                </c:pt>
                <c:pt idx="38">
                  <c:v>3.1613877200488001</c:v>
                </c:pt>
                <c:pt idx="39">
                  <c:v>2.9392131690934749</c:v>
                </c:pt>
                <c:pt idx="40">
                  <c:v>2.7054798356570751</c:v>
                </c:pt>
                <c:pt idx="41">
                  <c:v>2.4599130384159227</c:v>
                </c:pt>
                <c:pt idx="42">
                  <c:v>2.2022461905016701</c:v>
                </c:pt>
                <c:pt idx="43">
                  <c:v>1.9322184936976099</c:v>
                </c:pt>
                <c:pt idx="44">
                  <c:v>1.64957223165376</c:v>
                </c:pt>
                <c:pt idx="45">
                  <c:v>1.3540496621207825</c:v>
                </c:pt>
                <c:pt idx="46">
                  <c:v>1.0453895082027349</c:v>
                </c:pt>
                <c:pt idx="47">
                  <c:v>0.72332304862874996</c:v>
                </c:pt>
                <c:pt idx="48">
                  <c:v>0.38756980704343003</c:v>
                </c:pt>
                <c:pt idx="49">
                  <c:v>3.7832840316211001E-2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A-466C-B380-8E9F0CB739F3}"/>
            </c:ext>
          </c:extLst>
        </c:ser>
        <c:ser>
          <c:idx val="1"/>
          <c:order val="1"/>
          <c:tx>
            <c:strRef>
              <c:f>'1'!$T$41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'1'!$T$42:$T$91</c:f>
              <c:numCache>
                <c:formatCode>0.00</c:formatCode>
                <c:ptCount val="50"/>
                <c:pt idx="0">
                  <c:v>6.0894500774999996</c:v>
                </c:pt>
                <c:pt idx="1">
                  <c:v>6.1305902766701701</c:v>
                </c:pt>
                <c:pt idx="2">
                  <c:v>6.1587815540637401</c:v>
                </c:pt>
                <c:pt idx="3">
                  <c:v>6.1756947323341445</c:v>
                </c:pt>
                <c:pt idx="4">
                  <c:v>6.182799222093271</c:v>
                </c:pt>
                <c:pt idx="5">
                  <c:v>6.1813759533917763</c:v>
                </c:pt>
                <c:pt idx="6">
                  <c:v>6.1725299062182524</c:v>
                </c:pt>
                <c:pt idx="7">
                  <c:v>6.1572022400172184</c:v>
                </c:pt>
                <c:pt idx="8">
                  <c:v>6.1361820222259666</c:v>
                </c:pt>
                <c:pt idx="9">
                  <c:v>6.1101175558302341</c:v>
                </c:pt>
                <c:pt idx="10">
                  <c:v>6.0795273059387354</c:v>
                </c:pt>
                <c:pt idx="11">
                  <c:v>6.0448104253765109</c:v>
                </c:pt>
                <c:pt idx="12">
                  <c:v>6.0062568792971422</c:v>
                </c:pt>
                <c:pt idx="13">
                  <c:v>5.9640571688137776</c:v>
                </c:pt>
                <c:pt idx="14">
                  <c:v>5.9183116536490319</c:v>
                </c:pt>
                <c:pt idx="15">
                  <c:v>5.8690394738036913</c:v>
                </c:pt>
                <c:pt idx="16">
                  <c:v>5.8161870702442924</c:v>
                </c:pt>
                <c:pt idx="17">
                  <c:v>5.7596363046095167</c:v>
                </c:pt>
                <c:pt idx="18">
                  <c:v>5.6992121779354354</c:v>
                </c:pt>
                <c:pt idx="19">
                  <c:v>5.6346901483995957</c:v>
                </c:pt>
                <c:pt idx="20">
                  <c:v>5.5658030480839447</c:v>
                </c:pt>
                <c:pt idx="21">
                  <c:v>5.4922475987565944</c:v>
                </c:pt>
                <c:pt idx="22">
                  <c:v>5.4136905266724282</c:v>
                </c:pt>
                <c:pt idx="23">
                  <c:v>5.329774276392544</c:v>
                </c:pt>
                <c:pt idx="24">
                  <c:v>5.2401223236225425</c:v>
                </c:pt>
                <c:pt idx="25">
                  <c:v>5.1443440870696557</c:v>
                </c:pt>
                <c:pt idx="26">
                  <c:v>5.0420394393187147</c:v>
                </c:pt>
                <c:pt idx="27">
                  <c:v>4.9328028167269453</c:v>
                </c:pt>
                <c:pt idx="28">
                  <c:v>4.8162269283376622</c:v>
                </c:pt>
                <c:pt idx="29">
                  <c:v>4.69190606381264</c:v>
                </c:pt>
                <c:pt idx="30">
                  <c:v>4.5594390003835574</c:v>
                </c:pt>
                <c:pt idx="31">
                  <c:v>4.4184315088222181</c:v>
                </c:pt>
                <c:pt idx="32">
                  <c:v>4.2684984584293648</c:v>
                </c:pt>
                <c:pt idx="33">
                  <c:v>4.1092655210426772</c:v>
                </c:pt>
                <c:pt idx="34">
                  <c:v>3.9403704740634238</c:v>
                </c:pt>
                <c:pt idx="35">
                  <c:v>3.761464102501983</c:v>
                </c:pt>
                <c:pt idx="36">
                  <c:v>3.5722107000422296</c:v>
                </c:pt>
                <c:pt idx="37">
                  <c:v>3.372288169124749</c:v>
                </c:pt>
                <c:pt idx="38">
                  <c:v>3.1613877200488645</c:v>
                </c:pt>
                <c:pt idx="39">
                  <c:v>2.939213169093545</c:v>
                </c:pt>
                <c:pt idx="40">
                  <c:v>2.7054798356570942</c:v>
                </c:pt>
                <c:pt idx="41">
                  <c:v>2.4599130384159396</c:v>
                </c:pt>
                <c:pt idx="42">
                  <c:v>2.2022461905016963</c:v>
                </c:pt>
                <c:pt idx="43">
                  <c:v>1.9322184936976532</c:v>
                </c:pt>
                <c:pt idx="44">
                  <c:v>1.64957223165381</c:v>
                </c:pt>
                <c:pt idx="45">
                  <c:v>1.3540496621208362</c:v>
                </c:pt>
                <c:pt idx="46">
                  <c:v>1.0453895082027937</c:v>
                </c:pt>
                <c:pt idx="47">
                  <c:v>0.72332304862881713</c:v>
                </c:pt>
                <c:pt idx="48">
                  <c:v>0.38756980704352184</c:v>
                </c:pt>
                <c:pt idx="49">
                  <c:v>3.7832840316211147E-2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A-466C-B380-8E9F0CB73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'1'!$S$42:$S$91</c:f>
              <c:numCache>
                <c:formatCode>General</c:formatCode>
                <c:ptCount val="50"/>
                <c:pt idx="0">
                  <c:v>4.4817617650000002E-2</c:v>
                </c:pt>
                <c:pt idx="1">
                  <c:v>4.4406379983230639E-2</c:v>
                </c:pt>
                <c:pt idx="2">
                  <c:v>4.4252651462404473E-2</c:v>
                </c:pt>
                <c:pt idx="3">
                  <c:v>4.4291161025404556E-2</c:v>
                </c:pt>
                <c:pt idx="4">
                  <c:v>4.4467430974823023E-2</c:v>
                </c:pt>
                <c:pt idx="5">
                  <c:v>4.4736691053589996E-2</c:v>
                </c:pt>
                <c:pt idx="6">
                  <c:v>4.5062843804266652E-2</c:v>
                </c:pt>
                <c:pt idx="7">
                  <c:v>4.5417481212002557E-2</c:v>
                </c:pt>
                <c:pt idx="8">
                  <c:v>4.5778952631157228E-2</c:v>
                </c:pt>
                <c:pt idx="9">
                  <c:v>4.6131483995585795E-2</c:v>
                </c:pt>
                <c:pt idx="10">
                  <c:v>4.6464348312589124E-2</c:v>
                </c:pt>
                <c:pt idx="11">
                  <c:v>4.6771087440527916E-2</c:v>
                </c:pt>
                <c:pt idx="12">
                  <c:v>4.7048785150101184E-2</c:v>
                </c:pt>
                <c:pt idx="13">
                  <c:v>4.7297391469288928E-2</c:v>
                </c:pt>
                <c:pt idx="14">
                  <c:v>4.7519098311958982E-2</c:v>
                </c:pt>
                <c:pt idx="15">
                  <c:v>4.7717766390138167E-2</c:v>
                </c:pt>
                <c:pt idx="16">
                  <c:v>4.7898403409947575E-2</c:v>
                </c:pt>
                <c:pt idx="17">
                  <c:v>4.8066693551202168E-2</c:v>
                </c:pt>
                <c:pt idx="18">
                  <c:v>4.8228578230674529E-2</c:v>
                </c:pt>
                <c:pt idx="19">
                  <c:v>4.8389888149022772E-2</c:v>
                </c:pt>
                <c:pt idx="20">
                  <c:v>4.8556026621383107E-2</c:v>
                </c:pt>
                <c:pt idx="21">
                  <c:v>4.8731704191625869E-2</c:v>
                </c:pt>
                <c:pt idx="22">
                  <c:v>4.8920724530276363E-2</c:v>
                </c:pt>
                <c:pt idx="23">
                  <c:v>4.9125821616099928E-2</c:v>
                </c:pt>
                <c:pt idx="24">
                  <c:v>4.93485482013509E-2</c:v>
                </c:pt>
                <c:pt idx="25">
                  <c:v>4.9589215560685851E-2</c:v>
                </c:pt>
                <c:pt idx="26">
                  <c:v>4.9846884523741392E-2</c:v>
                </c:pt>
                <c:pt idx="27">
                  <c:v>5.0119407791375838E-2</c:v>
                </c:pt>
                <c:pt idx="28">
                  <c:v>5.0403523535575388E-2</c:v>
                </c:pt>
                <c:pt idx="29">
                  <c:v>5.0695000283024129E-2</c:v>
                </c:pt>
                <c:pt idx="30">
                  <c:v>5.0988833082338723E-2</c:v>
                </c:pt>
                <c:pt idx="31">
                  <c:v>5.1279490954966832E-2</c:v>
                </c:pt>
                <c:pt idx="32">
                  <c:v>5.156121562975035E-2</c:v>
                </c:pt>
                <c:pt idx="33">
                  <c:v>5.1828371561152525E-2</c:v>
                </c:pt>
                <c:pt idx="34">
                  <c:v>5.2075847231148928E-2</c:v>
                </c:pt>
                <c:pt idx="35">
                  <c:v>5.2299507734783562E-2</c:v>
                </c:pt>
                <c:pt idx="36">
                  <c:v>5.2496698649388551E-2</c:v>
                </c:pt>
                <c:pt idx="37">
                  <c:v>5.2666801187467485E-2</c:v>
                </c:pt>
                <c:pt idx="38">
                  <c:v>5.2811838633244915E-2</c:v>
                </c:pt>
                <c:pt idx="39">
                  <c:v>5.2937134062878616E-2</c:v>
                </c:pt>
                <c:pt idx="40">
                  <c:v>5.3052019348334228E-2</c:v>
                </c:pt>
                <c:pt idx="41">
                  <c:v>5.3170595444929629E-2</c:v>
                </c:pt>
                <c:pt idx="42">
                  <c:v>5.3312543962537234E-2</c:v>
                </c:pt>
                <c:pt idx="43">
                  <c:v>5.3503990020455319E-2</c:v>
                </c:pt>
                <c:pt idx="44">
                  <c:v>5.3778416385939637E-2</c:v>
                </c:pt>
                <c:pt idx="45">
                  <c:v>5.4177628896403464E-2</c:v>
                </c:pt>
                <c:pt idx="46">
                  <c:v>5.4752773165278427E-2</c:v>
                </c:pt>
                <c:pt idx="47">
                  <c:v>5.5565402571541085E-2</c:v>
                </c:pt>
                <c:pt idx="48">
                  <c:v>5.6688597532901439E-2</c:v>
                </c:pt>
                <c:pt idx="49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'1'!$U$42:$U$91</c:f>
              <c:numCache>
                <c:formatCode>0.00</c:formatCode>
                <c:ptCount val="50"/>
                <c:pt idx="0">
                  <c:v>44.817617650000003</c:v>
                </c:pt>
                <c:pt idx="1">
                  <c:v>44.406379983230636</c:v>
                </c:pt>
                <c:pt idx="2">
                  <c:v>44.252651462404472</c:v>
                </c:pt>
                <c:pt idx="3">
                  <c:v>44.291161025404556</c:v>
                </c:pt>
                <c:pt idx="4">
                  <c:v>44.467430974823024</c:v>
                </c:pt>
                <c:pt idx="5">
                  <c:v>44.736691053589993</c:v>
                </c:pt>
                <c:pt idx="6">
                  <c:v>45.062843804266649</c:v>
                </c:pt>
                <c:pt idx="7">
                  <c:v>45.417481212002556</c:v>
                </c:pt>
                <c:pt idx="8">
                  <c:v>45.778952631157232</c:v>
                </c:pt>
                <c:pt idx="9">
                  <c:v>46.131483995585796</c:v>
                </c:pt>
                <c:pt idx="10">
                  <c:v>46.464348312589124</c:v>
                </c:pt>
                <c:pt idx="11">
                  <c:v>46.771087440527914</c:v>
                </c:pt>
                <c:pt idx="12">
                  <c:v>47.048785150101182</c:v>
                </c:pt>
                <c:pt idx="13">
                  <c:v>47.297391469288925</c:v>
                </c:pt>
                <c:pt idx="14">
                  <c:v>47.519098311958984</c:v>
                </c:pt>
                <c:pt idx="15">
                  <c:v>47.717766390138166</c:v>
                </c:pt>
                <c:pt idx="16">
                  <c:v>47.898403409947576</c:v>
                </c:pt>
                <c:pt idx="17">
                  <c:v>48.066693551202171</c:v>
                </c:pt>
                <c:pt idx="18">
                  <c:v>48.228578230674529</c:v>
                </c:pt>
                <c:pt idx="19">
                  <c:v>48.389888149022774</c:v>
                </c:pt>
                <c:pt idx="20">
                  <c:v>48.556026621383104</c:v>
                </c:pt>
                <c:pt idx="21">
                  <c:v>48.731704191625866</c:v>
                </c:pt>
                <c:pt idx="22">
                  <c:v>48.920724530276367</c:v>
                </c:pt>
                <c:pt idx="23">
                  <c:v>49.125821616099927</c:v>
                </c:pt>
                <c:pt idx="24">
                  <c:v>49.348548201350901</c:v>
                </c:pt>
                <c:pt idx="25">
                  <c:v>49.589215560685851</c:v>
                </c:pt>
                <c:pt idx="26">
                  <c:v>49.846884523741394</c:v>
                </c:pt>
                <c:pt idx="27">
                  <c:v>50.119407791375835</c:v>
                </c:pt>
                <c:pt idx="28">
                  <c:v>50.403523535575388</c:v>
                </c:pt>
                <c:pt idx="29">
                  <c:v>50.695000283024129</c:v>
                </c:pt>
                <c:pt idx="30">
                  <c:v>50.988833082338722</c:v>
                </c:pt>
                <c:pt idx="31">
                  <c:v>51.279490954966832</c:v>
                </c:pt>
                <c:pt idx="32">
                  <c:v>51.56121562975035</c:v>
                </c:pt>
                <c:pt idx="33">
                  <c:v>51.828371561152522</c:v>
                </c:pt>
                <c:pt idx="34">
                  <c:v>52.075847231148927</c:v>
                </c:pt>
                <c:pt idx="35">
                  <c:v>52.29950773478356</c:v>
                </c:pt>
                <c:pt idx="36">
                  <c:v>52.496698649388549</c:v>
                </c:pt>
                <c:pt idx="37">
                  <c:v>52.666801187467485</c:v>
                </c:pt>
                <c:pt idx="38">
                  <c:v>52.811838633244918</c:v>
                </c:pt>
                <c:pt idx="39">
                  <c:v>52.937134062878613</c:v>
                </c:pt>
                <c:pt idx="40">
                  <c:v>53.052019348334227</c:v>
                </c:pt>
                <c:pt idx="41">
                  <c:v>53.170595444929631</c:v>
                </c:pt>
                <c:pt idx="42">
                  <c:v>53.312543962537234</c:v>
                </c:pt>
                <c:pt idx="43">
                  <c:v>53.503990020455319</c:v>
                </c:pt>
                <c:pt idx="44">
                  <c:v>53.778416385939636</c:v>
                </c:pt>
                <c:pt idx="45">
                  <c:v>54.177628896403462</c:v>
                </c:pt>
                <c:pt idx="46">
                  <c:v>54.752773165278427</c:v>
                </c:pt>
                <c:pt idx="47">
                  <c:v>55.565402571541085</c:v>
                </c:pt>
                <c:pt idx="48">
                  <c:v>56.68859753290144</c:v>
                </c:pt>
                <c:pt idx="49">
                  <c:v>58.208136062663129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5-4125-88A9-444C703F1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3.0625770466132799E-2</c:v>
                </c:pt>
                <c:pt idx="2">
                  <c:v>6.15508445048926E-2</c:v>
                </c:pt>
                <c:pt idx="3">
                  <c:v>9.0842596138239695E-2</c:v>
                </c:pt>
                <c:pt idx="4">
                  <c:v>0.11883593206823299</c:v>
                </c:pt>
                <c:pt idx="5">
                  <c:v>0.145801398241685</c:v>
                </c:pt>
                <c:pt idx="6">
                  <c:v>0.17195141795457899</c:v>
                </c:pt>
                <c:pt idx="7">
                  <c:v>0.19744623504724701</c:v>
                </c:pt>
                <c:pt idx="8">
                  <c:v>0.22239956219030099</c:v>
                </c:pt>
                <c:pt idx="9">
                  <c:v>0.24688393426134</c:v>
                </c:pt>
                <c:pt idx="10">
                  <c:v>0.270935766812401</c:v>
                </c:pt>
                <c:pt idx="11">
                  <c:v>0.29456011962818002</c:v>
                </c:pt>
                <c:pt idx="12">
                  <c:v>0.31773516537501501</c:v>
                </c:pt>
                <c:pt idx="13">
                  <c:v>0.34041636334061798</c:v>
                </c:pt>
                <c:pt idx="14">
                  <c:v>0.36254033826458498</c:v>
                </c:pt>
                <c:pt idx="15">
                  <c:v>0.38402846425964898</c:v>
                </c:pt>
                <c:pt idx="16">
                  <c:v>0.40479015382370398</c:v>
                </c:pt>
                <c:pt idx="17">
                  <c:v>0.42472585194259099</c:v>
                </c:pt>
                <c:pt idx="18">
                  <c:v>0.44372973528363302</c:v>
                </c:pt>
                <c:pt idx="19">
                  <c:v>0.46169211647994501</c:v>
                </c:pt>
                <c:pt idx="20">
                  <c:v>0.478501553505494</c:v>
                </c:pt>
                <c:pt idx="21">
                  <c:v>0.49404666414092202</c:v>
                </c:pt>
                <c:pt idx="22">
                  <c:v>0.50821764553013404</c:v>
                </c:pt>
                <c:pt idx="23">
                  <c:v>0.52090749882764198</c:v>
                </c:pt>
                <c:pt idx="24">
                  <c:v>0.532012958936667</c:v>
                </c:pt>
                <c:pt idx="25">
                  <c:v>0.54143512933801197</c:v>
                </c:pt>
                <c:pt idx="26">
                  <c:v>0.54907982200968197</c:v>
                </c:pt>
                <c:pt idx="27">
                  <c:v>0.554857602437274</c:v>
                </c:pt>
                <c:pt idx="28">
                  <c:v>0.55868353971512696</c:v>
                </c:pt>
                <c:pt idx="29">
                  <c:v>0.56047666173822697</c:v>
                </c:pt>
                <c:pt idx="30">
                  <c:v>0.56015911548487396</c:v>
                </c:pt>
                <c:pt idx="31">
                  <c:v>0.55765503239011704</c:v>
                </c:pt>
                <c:pt idx="32">
                  <c:v>0.55288909880994197</c:v>
                </c:pt>
                <c:pt idx="33">
                  <c:v>0.54578483157621804</c:v>
                </c:pt>
                <c:pt idx="34">
                  <c:v>0.53626255864241201</c:v>
                </c:pt>
                <c:pt idx="35">
                  <c:v>0.52423710482005703</c:v>
                </c:pt>
                <c:pt idx="36">
                  <c:v>0.50961518260599303</c:v>
                </c:pt>
                <c:pt idx="37">
                  <c:v>0.49229248810034698</c:v>
                </c:pt>
                <c:pt idx="38">
                  <c:v>0.47215050201528902</c:v>
                </c:pt>
                <c:pt idx="39">
                  <c:v>0.44905299577455499</c:v>
                </c:pt>
                <c:pt idx="40">
                  <c:v>0.42284224270370702</c:v>
                </c:pt>
                <c:pt idx="41">
                  <c:v>0.39333493431118</c:v>
                </c:pt>
                <c:pt idx="42">
                  <c:v>0.36031780166007099</c:v>
                </c:pt>
                <c:pt idx="43">
                  <c:v>0.32354294183068899</c:v>
                </c:pt>
                <c:pt idx="44">
                  <c:v>0.28272284947388099</c:v>
                </c:pt>
                <c:pt idx="45">
                  <c:v>0.23752515345510899</c:v>
                </c:pt>
                <c:pt idx="46">
                  <c:v>0.18756705858927</c:v>
                </c:pt>
                <c:pt idx="47">
                  <c:v>0.132409492466321</c:v>
                </c:pt>
                <c:pt idx="48">
                  <c:v>7.1550957367608706E-2</c:v>
                </c:pt>
                <c:pt idx="49">
                  <c:v>4.42108727301729E-3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'1'!$P$42:$P$91</c:f>
              <c:numCache>
                <c:formatCode>0</c:formatCode>
                <c:ptCount val="50"/>
                <c:pt idx="0">
                  <c:v>0</c:v>
                </c:pt>
                <c:pt idx="1">
                  <c:v>1.83673469387755</c:v>
                </c:pt>
                <c:pt idx="2">
                  <c:v>3.6734693877550999</c:v>
                </c:pt>
                <c:pt idx="3">
                  <c:v>5.5102040816326499</c:v>
                </c:pt>
                <c:pt idx="4">
                  <c:v>7.3469387755101998</c:v>
                </c:pt>
                <c:pt idx="5">
                  <c:v>9.1836734693877506</c:v>
                </c:pt>
                <c:pt idx="6">
                  <c:v>11.0204081632653</c:v>
                </c:pt>
                <c:pt idx="7">
                  <c:v>12.857142857142851</c:v>
                </c:pt>
                <c:pt idx="8">
                  <c:v>14.6938775510204</c:v>
                </c:pt>
                <c:pt idx="9">
                  <c:v>16.530612244897949</c:v>
                </c:pt>
                <c:pt idx="10">
                  <c:v>18.367346938775501</c:v>
                </c:pt>
                <c:pt idx="11">
                  <c:v>20.20408163265305</c:v>
                </c:pt>
                <c:pt idx="12">
                  <c:v>22.040816326530599</c:v>
                </c:pt>
                <c:pt idx="13">
                  <c:v>23.877551020408148</c:v>
                </c:pt>
                <c:pt idx="14">
                  <c:v>25.714285714285701</c:v>
                </c:pt>
                <c:pt idx="15">
                  <c:v>27.55102040816325</c:v>
                </c:pt>
                <c:pt idx="16">
                  <c:v>29.387755102040799</c:v>
                </c:pt>
                <c:pt idx="17">
                  <c:v>31.224489795918348</c:v>
                </c:pt>
                <c:pt idx="18">
                  <c:v>33.061224489795897</c:v>
                </c:pt>
                <c:pt idx="19">
                  <c:v>34.89795918367345</c:v>
                </c:pt>
                <c:pt idx="20">
                  <c:v>36.734693877551003</c:v>
                </c:pt>
                <c:pt idx="21">
                  <c:v>38.571428571428548</c:v>
                </c:pt>
                <c:pt idx="22">
                  <c:v>40.408163265306101</c:v>
                </c:pt>
                <c:pt idx="23">
                  <c:v>42.244897959183653</c:v>
                </c:pt>
                <c:pt idx="24">
                  <c:v>44.081632653061199</c:v>
                </c:pt>
                <c:pt idx="25">
                  <c:v>45.918367346938751</c:v>
                </c:pt>
                <c:pt idx="26">
                  <c:v>47.755102040816297</c:v>
                </c:pt>
                <c:pt idx="27">
                  <c:v>49.59183673469385</c:v>
                </c:pt>
                <c:pt idx="28">
                  <c:v>51.428571428570997</c:v>
                </c:pt>
                <c:pt idx="29">
                  <c:v>53.2653061224485</c:v>
                </c:pt>
                <c:pt idx="30">
                  <c:v>55.1020408163265</c:v>
                </c:pt>
                <c:pt idx="31">
                  <c:v>56.938775510204003</c:v>
                </c:pt>
                <c:pt idx="32">
                  <c:v>58.775510204081499</c:v>
                </c:pt>
                <c:pt idx="33">
                  <c:v>60.612244897959002</c:v>
                </c:pt>
                <c:pt idx="34">
                  <c:v>62.448979591836498</c:v>
                </c:pt>
                <c:pt idx="35">
                  <c:v>64.285714285713993</c:v>
                </c:pt>
                <c:pt idx="36">
                  <c:v>66.122448979591496</c:v>
                </c:pt>
                <c:pt idx="37">
                  <c:v>67.959183673468999</c:v>
                </c:pt>
                <c:pt idx="38">
                  <c:v>69.795918367346502</c:v>
                </c:pt>
                <c:pt idx="39">
                  <c:v>71.632653061224005</c:v>
                </c:pt>
                <c:pt idx="40">
                  <c:v>73.469387755102005</c:v>
                </c:pt>
                <c:pt idx="41">
                  <c:v>75.306122448979494</c:v>
                </c:pt>
                <c:pt idx="42">
                  <c:v>77.142857142856997</c:v>
                </c:pt>
                <c:pt idx="43">
                  <c:v>78.9795918367345</c:v>
                </c:pt>
                <c:pt idx="44">
                  <c:v>80.816326530612002</c:v>
                </c:pt>
                <c:pt idx="45">
                  <c:v>82.653061224489505</c:v>
                </c:pt>
                <c:pt idx="46">
                  <c:v>84.489795918366994</c:v>
                </c:pt>
                <c:pt idx="47">
                  <c:v>86.326530612244497</c:v>
                </c:pt>
                <c:pt idx="48">
                  <c:v>88.163265306122</c:v>
                </c:pt>
                <c:pt idx="49">
                  <c:v>90</c:v>
                </c:pt>
              </c:numCache>
            </c:numRef>
          </c:xVal>
          <c:yVal>
            <c:numRef>
              <c:f>'1'!$V$42:$V$91</c:f>
              <c:numCache>
                <c:formatCode>0.00</c:formatCode>
                <c:ptCount val="50"/>
                <c:pt idx="0">
                  <c:v>-0.23384264490000001</c:v>
                </c:pt>
                <c:pt idx="1">
                  <c:v>3.0625770466132862</c:v>
                </c:pt>
                <c:pt idx="2">
                  <c:v>6.1550844504892614</c:v>
                </c:pt>
                <c:pt idx="3">
                  <c:v>9.084259613823976</c:v>
                </c:pt>
                <c:pt idx="4">
                  <c:v>11.883593206823305</c:v>
                </c:pt>
                <c:pt idx="5">
                  <c:v>14.580139824168533</c:v>
                </c:pt>
                <c:pt idx="6">
                  <c:v>17.195141795457989</c:v>
                </c:pt>
                <c:pt idx="7">
                  <c:v>19.744623504724707</c:v>
                </c:pt>
                <c:pt idx="8">
                  <c:v>22.239956219030152</c:v>
                </c:pt>
                <c:pt idx="9">
                  <c:v>24.688393426134034</c:v>
                </c:pt>
                <c:pt idx="10">
                  <c:v>27.093576681240116</c:v>
                </c:pt>
                <c:pt idx="11">
                  <c:v>29.456011962818074</c:v>
                </c:pt>
                <c:pt idx="12">
                  <c:v>31.773516537501518</c:v>
                </c:pt>
                <c:pt idx="13">
                  <c:v>34.041636334061884</c:v>
                </c:pt>
                <c:pt idx="14">
                  <c:v>36.25403382645856</c:v>
                </c:pt>
                <c:pt idx="15">
                  <c:v>38.402846425964889</c:v>
                </c:pt>
                <c:pt idx="16">
                  <c:v>40.479015382370434</c:v>
                </c:pt>
                <c:pt idx="17">
                  <c:v>42.472585194259082</c:v>
                </c:pt>
                <c:pt idx="18">
                  <c:v>44.372973528363303</c:v>
                </c:pt>
                <c:pt idx="19">
                  <c:v>46.169211647994537</c:v>
                </c:pt>
                <c:pt idx="20">
                  <c:v>47.850155350549407</c:v>
                </c:pt>
                <c:pt idx="21">
                  <c:v>49.404666414092198</c:v>
                </c:pt>
                <c:pt idx="22">
                  <c:v>50.821764553013466</c:v>
                </c:pt>
                <c:pt idx="23">
                  <c:v>52.090749882764236</c:v>
                </c:pt>
                <c:pt idx="24">
                  <c:v>53.201295893666774</c:v>
                </c:pt>
                <c:pt idx="25">
                  <c:v>54.143512933801212</c:v>
                </c:pt>
                <c:pt idx="26">
                  <c:v>54.907982200968178</c:v>
                </c:pt>
                <c:pt idx="27">
                  <c:v>55.485760243727448</c:v>
                </c:pt>
                <c:pt idx="28">
                  <c:v>55.868353971512718</c:v>
                </c:pt>
                <c:pt idx="29">
                  <c:v>56.047666173822641</c:v>
                </c:pt>
                <c:pt idx="30">
                  <c:v>56.015911548487466</c:v>
                </c:pt>
                <c:pt idx="31">
                  <c:v>55.765503239011892</c:v>
                </c:pt>
                <c:pt idx="32">
                  <c:v>55.288909880994375</c:v>
                </c:pt>
                <c:pt idx="33">
                  <c:v>54.578483157622024</c:v>
                </c:pt>
                <c:pt idx="34">
                  <c:v>53.626255864241315</c:v>
                </c:pt>
                <c:pt idx="35">
                  <c:v>52.423710482006115</c:v>
                </c:pt>
                <c:pt idx="36">
                  <c:v>50.961518260599675</c:v>
                </c:pt>
                <c:pt idx="37">
                  <c:v>49.229248810035102</c:v>
                </c:pt>
                <c:pt idx="38">
                  <c:v>47.215050201529564</c:v>
                </c:pt>
                <c:pt idx="39">
                  <c:v>44.90529957745602</c:v>
                </c:pt>
                <c:pt idx="40">
                  <c:v>42.284224270370913</c:v>
                </c:pt>
                <c:pt idx="41">
                  <c:v>39.333493431118342</c:v>
                </c:pt>
                <c:pt idx="42">
                  <c:v>36.031780166007451</c:v>
                </c:pt>
                <c:pt idx="43">
                  <c:v>32.354294183069499</c:v>
                </c:pt>
                <c:pt idx="44">
                  <c:v>28.272284947388755</c:v>
                </c:pt>
                <c:pt idx="45">
                  <c:v>23.752515345511767</c:v>
                </c:pt>
                <c:pt idx="46">
                  <c:v>18.756705858928228</c:v>
                </c:pt>
                <c:pt idx="47">
                  <c:v>13.240949246633363</c:v>
                </c:pt>
                <c:pt idx="48">
                  <c:v>7.1550957367625756</c:v>
                </c:pt>
                <c:pt idx="49">
                  <c:v>0.44210872730172923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69-4388-B01A-FF180903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'1'!$AS$5:$AS$15</c:f>
              <c:numCache>
                <c:formatCode>0.000</c:formatCode>
                <c:ptCount val="11"/>
                <c:pt idx="0">
                  <c:v>24.357800309999998</c:v>
                </c:pt>
                <c:pt idx="1">
                  <c:v>24.727571785231017</c:v>
                </c:pt>
                <c:pt idx="2">
                  <c:v>24.343985564899459</c:v>
                </c:pt>
                <c:pt idx="3">
                  <c:v>23.536758588908963</c:v>
                </c:pt>
                <c:pt idx="4">
                  <c:v>22.375577298249542</c:v>
                </c:pt>
                <c:pt idx="5">
                  <c:v>20.772094087316177</c:v>
                </c:pt>
                <c:pt idx="6">
                  <c:v>18.559702557098717</c:v>
                </c:pt>
                <c:pt idx="7">
                  <c:v>15.551100588191181</c:v>
                </c:pt>
                <c:pt idx="8">
                  <c:v>11.57363670242416</c:v>
                </c:pt>
                <c:pt idx="9">
                  <c:v>6.4824396032827583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2-49AD-AF86-4D3E0BABB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'1'!$AS$16:$AS$26</c:f>
              <c:numCache>
                <c:formatCode>0.000</c:formatCode>
                <c:ptCount val="11"/>
                <c:pt idx="0">
                  <c:v>6.0894500774999996</c:v>
                </c:pt>
                <c:pt idx="1">
                  <c:v>6.1818929463077543</c:v>
                </c:pt>
                <c:pt idx="2">
                  <c:v>6.0859963912248647</c:v>
                </c:pt>
                <c:pt idx="3">
                  <c:v>5.8841896472272408</c:v>
                </c:pt>
                <c:pt idx="4">
                  <c:v>5.5938943245623856</c:v>
                </c:pt>
                <c:pt idx="5">
                  <c:v>5.1930235218290441</c:v>
                </c:pt>
                <c:pt idx="6">
                  <c:v>4.6399256392746793</c:v>
                </c:pt>
                <c:pt idx="7">
                  <c:v>3.8877751470477953</c:v>
                </c:pt>
                <c:pt idx="8">
                  <c:v>2.8934091756060401</c:v>
                </c:pt>
                <c:pt idx="9">
                  <c:v>1.6206099008206896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A-410E-8F51-195087EAE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'1'!$AT$5:$AT$15</c:f>
              <c:numCache>
                <c:formatCode>0.000</c:formatCode>
                <c:ptCount val="11"/>
                <c:pt idx="0">
                  <c:v>0.35854094120000002</c:v>
                </c:pt>
                <c:pt idx="1">
                  <c:v>0.35764794185779786</c:v>
                </c:pt>
                <c:pt idx="2">
                  <c:v>0.37119675646979738</c:v>
                </c:pt>
                <c:pt idx="3">
                  <c:v>0.38128379332574663</c:v>
                </c:pt>
                <c:pt idx="4">
                  <c:v>0.38791015222054243</c:v>
                </c:pt>
                <c:pt idx="5">
                  <c:v>0.39573294645834456</c:v>
                </c:pt>
                <c:pt idx="6">
                  <c:v>0.40649995820505708</c:v>
                </c:pt>
                <c:pt idx="7">
                  <c:v>0.41716586789060328</c:v>
                </c:pt>
                <c:pt idx="8">
                  <c:v>0.42368227681577242</c:v>
                </c:pt>
                <c:pt idx="9">
                  <c:v>0.43048739220339016</c:v>
                </c:pt>
                <c:pt idx="10">
                  <c:v>0.46566508850130506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54</c:v>
                </c:pt>
                <c:pt idx="4">
                  <c:v>72</c:v>
                </c:pt>
                <c:pt idx="5">
                  <c:v>90</c:v>
                </c:pt>
                <c:pt idx="6">
                  <c:v>108</c:v>
                </c:pt>
                <c:pt idx="7">
                  <c:v>126</c:v>
                </c:pt>
                <c:pt idx="8">
                  <c:v>144</c:v>
                </c:pt>
                <c:pt idx="9">
                  <c:v>162</c:v>
                </c:pt>
                <c:pt idx="10">
                  <c:v>180</c:v>
                </c:pt>
              </c:numCache>
            </c:numRef>
          </c:xVal>
          <c:yVal>
            <c:numRef>
              <c:f>'1'!$AU$5:$AU$15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AE-400F-984F-5DF17F9B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'1'!$AT$16:$AT$26</c:f>
              <c:numCache>
                <c:formatCode>0.000</c:formatCode>
                <c:ptCount val="11"/>
                <c:pt idx="0">
                  <c:v>4.4817617650000002E-2</c:v>
                </c:pt>
                <c:pt idx="1">
                  <c:v>4.4705992732224732E-2</c:v>
                </c:pt>
                <c:pt idx="2">
                  <c:v>4.6399594558724673E-2</c:v>
                </c:pt>
                <c:pt idx="3">
                  <c:v>4.7660474165718329E-2</c:v>
                </c:pt>
                <c:pt idx="4">
                  <c:v>4.8488769027567803E-2</c:v>
                </c:pt>
                <c:pt idx="5">
                  <c:v>4.946661830729307E-2</c:v>
                </c:pt>
                <c:pt idx="6">
                  <c:v>5.0812494775632135E-2</c:v>
                </c:pt>
                <c:pt idx="7">
                  <c:v>5.214573348632541E-2</c:v>
                </c:pt>
                <c:pt idx="8">
                  <c:v>5.2960284601971552E-2</c:v>
                </c:pt>
                <c:pt idx="9">
                  <c:v>5.381092402542377E-2</c:v>
                </c:pt>
                <c:pt idx="10">
                  <c:v>5.8208136062663132E-2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27</c:v>
                </c:pt>
                <c:pt idx="4">
                  <c:v>36</c:v>
                </c:pt>
                <c:pt idx="5">
                  <c:v>45</c:v>
                </c:pt>
                <c:pt idx="6">
                  <c:v>54</c:v>
                </c:pt>
                <c:pt idx="7">
                  <c:v>63</c:v>
                </c:pt>
                <c:pt idx="8">
                  <c:v>72</c:v>
                </c:pt>
                <c:pt idx="9">
                  <c:v>81</c:v>
                </c:pt>
                <c:pt idx="10">
                  <c:v>90</c:v>
                </c:pt>
              </c:numCache>
            </c:numRef>
          </c:xVal>
          <c:yVal>
            <c:numRef>
              <c:f>'1'!$AU$16:$AU$26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0.14314875836725277</c:v>
                </c:pt>
                <c:pt idx="2">
                  <c:v>0.26615883923872907</c:v>
                </c:pt>
                <c:pt idx="3">
                  <c:v>0.37765114418455764</c:v>
                </c:pt>
                <c:pt idx="4">
                  <c:v>0.47192153179695667</c:v>
                </c:pt>
                <c:pt idx="5">
                  <c:v>0.53694063855753171</c:v>
                </c:pt>
                <c:pt idx="6">
                  <c:v>0.56060847286755611</c:v>
                </c:pt>
                <c:pt idx="7">
                  <c:v>0.53292413746247391</c:v>
                </c:pt>
                <c:pt idx="8">
                  <c:v>0.44407054804676954</c:v>
                </c:pt>
                <c:pt idx="9">
                  <c:v>0.27841435546781468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A-476B-8A64-1BC09A5B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6-49C8-B423-342F36409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3-4F34-AE46-17474EEEE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'68'!$C$42:$C$91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05-4549-8AD6-E58DCE915357}"/>
            </c:ext>
          </c:extLst>
        </c:ser>
        <c:ser>
          <c:idx val="1"/>
          <c:order val="1"/>
          <c:tx>
            <c:strRef>
              <c:f>'68'!$G$41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'68'!$G$42:$G$91</c:f>
              <c:numCache>
                <c:formatCode>0.000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8.0131832611441549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7.6282587086591098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05-4549-8AD6-E58DCE915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'68'!$D$42:$D$91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F-40F2-BCA1-7361AAA07092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'68'!$K$42:$K$91</c:f>
              <c:numCache>
                <c:formatCode>0.000</c:formatCode>
                <c:ptCount val="50"/>
                <c:pt idx="0">
                  <c:v>1.1661356230000001E-3</c:v>
                </c:pt>
                <c:pt idx="1">
                  <c:v>3.4116159368759343E-2</c:v>
                </c:pt>
                <c:pt idx="2">
                  <c:v>6.6701262010969833E-2</c:v>
                </c:pt>
                <c:pt idx="3">
                  <c:v>9.8863026039005944E-2</c:v>
                </c:pt>
                <c:pt idx="4">
                  <c:v>0.13054252477821385</c:v>
                </c:pt>
                <c:pt idx="5">
                  <c:v>0.16168032238990426</c:v>
                </c:pt>
                <c:pt idx="6">
                  <c:v>0.19221647387135987</c:v>
                </c:pt>
                <c:pt idx="7">
                  <c:v>0.22209052505583199</c:v>
                </c:pt>
                <c:pt idx="8">
                  <c:v>0.25124151261253841</c:v>
                </c:pt>
                <c:pt idx="9">
                  <c:v>0.27960796404666832</c:v>
                </c:pt>
                <c:pt idx="10">
                  <c:v>0.30712789769937943</c:v>
                </c:pt>
                <c:pt idx="11">
                  <c:v>0.33373882274779637</c:v>
                </c:pt>
                <c:pt idx="12">
                  <c:v>0.35937773920501465</c:v>
                </c:pt>
                <c:pt idx="13">
                  <c:v>0.38398113792009836</c:v>
                </c:pt>
                <c:pt idx="14">
                  <c:v>0.4074850005780789</c:v>
                </c:pt>
                <c:pt idx="15">
                  <c:v>0.42982479969995813</c:v>
                </c:pt>
                <c:pt idx="16">
                  <c:v>0.45093549864270671</c:v>
                </c:pt>
                <c:pt idx="17">
                  <c:v>0.47075155159926269</c:v>
                </c:pt>
                <c:pt idx="18">
                  <c:v>0.48920690359853425</c:v>
                </c:pt>
                <c:pt idx="19">
                  <c:v>0.50623499050539844</c:v>
                </c:pt>
                <c:pt idx="20">
                  <c:v>0.5217687390207002</c:v>
                </c:pt>
                <c:pt idx="21">
                  <c:v>0.53574056668125403</c:v>
                </c:pt>
                <c:pt idx="22">
                  <c:v>0.5480823818598437</c:v>
                </c:pt>
                <c:pt idx="23">
                  <c:v>0.55872558376522041</c:v>
                </c:pt>
                <c:pt idx="24">
                  <c:v>0.56760106244210551</c:v>
                </c:pt>
                <c:pt idx="25">
                  <c:v>0.57463919877118852</c:v>
                </c:pt>
                <c:pt idx="26">
                  <c:v>0.57976986446912793</c:v>
                </c:pt>
                <c:pt idx="27">
                  <c:v>0.58292242208855116</c:v>
                </c:pt>
                <c:pt idx="28">
                  <c:v>0.5840257250180545</c:v>
                </c:pt>
                <c:pt idx="29">
                  <c:v>0.58300811748220338</c:v>
                </c:pt>
                <c:pt idx="30">
                  <c:v>0.57979743454153188</c:v>
                </c:pt>
                <c:pt idx="31">
                  <c:v>0.57432100209254133</c:v>
                </c:pt>
                <c:pt idx="32">
                  <c:v>0.5665056368677035</c:v>
                </c:pt>
                <c:pt idx="33">
                  <c:v>0.55627764643546218</c:v>
                </c:pt>
                <c:pt idx="34">
                  <c:v>0.54356282920022092</c:v>
                </c:pt>
                <c:pt idx="35">
                  <c:v>0.52828647440236065</c:v>
                </c:pt>
                <c:pt idx="36">
                  <c:v>0.51037336211823281</c:v>
                </c:pt>
                <c:pt idx="37">
                  <c:v>0.48974776326014408</c:v>
                </c:pt>
                <c:pt idx="38">
                  <c:v>0.46633343957638312</c:v>
                </c:pt>
                <c:pt idx="39">
                  <c:v>0.44005364365121069</c:v>
                </c:pt>
                <c:pt idx="40">
                  <c:v>0.41083111890483559</c:v>
                </c:pt>
                <c:pt idx="41">
                  <c:v>0.37858809959346429</c:v>
                </c:pt>
                <c:pt idx="42">
                  <c:v>0.34324631080923962</c:v>
                </c:pt>
                <c:pt idx="43">
                  <c:v>0.30472696848029818</c:v>
                </c:pt>
                <c:pt idx="44">
                  <c:v>0.26295077937074957</c:v>
                </c:pt>
                <c:pt idx="45">
                  <c:v>0.21783794108063845</c:v>
                </c:pt>
                <c:pt idx="46">
                  <c:v>0.1693081420460095</c:v>
                </c:pt>
                <c:pt idx="47">
                  <c:v>0.11728056153888256</c:v>
                </c:pt>
                <c:pt idx="48">
                  <c:v>6.1673869667202223E-2</c:v>
                </c:pt>
                <c:pt idx="49">
                  <c:v>2.4062273749239438E-3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CF-40F2-BCA1-7361AAA07092}"/>
            </c:ext>
          </c:extLst>
        </c:ser>
        <c:ser>
          <c:idx val="2"/>
          <c:order val="2"/>
          <c:tx>
            <c:strRef>
              <c:f>'68'!$N$41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'68'!$N$42:$N$91</c:f>
              <c:numCache>
                <c:formatCode>0.000</c:formatCode>
                <c:ptCount val="50"/>
                <c:pt idx="0">
                  <c:v>0</c:v>
                </c:pt>
                <c:pt idx="1">
                  <c:v>3.3489642232815427E-2</c:v>
                </c:pt>
                <c:pt idx="2">
                  <c:v>6.6272007883071901E-2</c:v>
                </c:pt>
                <c:pt idx="3">
                  <c:v>9.8460469516284566E-2</c:v>
                </c:pt>
                <c:pt idx="4">
                  <c:v>0.13011439322590976</c:v>
                </c:pt>
                <c:pt idx="5">
                  <c:v>0.16125041709694299</c:v>
                </c:pt>
                <c:pt idx="6">
                  <c:v>0.19185179265301763</c:v>
                </c:pt>
                <c:pt idx="7">
                  <c:v>0.22187616117599479</c:v>
                </c:pt>
                <c:pt idx="8">
                  <c:v>0.25126204697197785</c:v>
                </c:pt>
                <c:pt idx="9">
                  <c:v>0.27993428300092288</c:v>
                </c:pt>
                <c:pt idx="10">
                  <c:v>0.30780853462861618</c:v>
                </c:pt>
                <c:pt idx="11">
                  <c:v>0.33479505022643274</c:v>
                </c:pt>
                <c:pt idx="12">
                  <c:v>0.36080173978785302</c:v>
                </c:pt>
                <c:pt idx="13">
                  <c:v>0.38573666235108256</c:v>
                </c:pt>
                <c:pt idx="14">
                  <c:v>0.40950998810618638</c:v>
                </c:pt>
                <c:pt idx="15">
                  <c:v>0.4320354903315467</c:v>
                </c:pt>
                <c:pt idx="16">
                  <c:v>0.45323161475357632</c:v>
                </c:pt>
                <c:pt idx="17">
                  <c:v>0.47302216877478154</c:v>
                </c:pt>
                <c:pt idx="18">
                  <c:v>0.4913366696451264</c:v>
                </c:pt>
                <c:pt idx="19">
                  <c:v>0.50811038855544266</c:v>
                </c:pt>
                <c:pt idx="20">
                  <c:v>0.5232841263975353</c:v>
                </c:pt>
                <c:pt idx="21">
                  <c:v>0.53680375622683851</c:v>
                </c:pt>
                <c:pt idx="22">
                  <c:v>0.54861956700721737</c:v>
                </c:pt>
                <c:pt idx="23">
                  <c:v>0.55868544279692312</c:v>
                </c:pt>
                <c:pt idx="24">
                  <c:v>0.56695791098330928</c:v>
                </c:pt>
                <c:pt idx="25">
                  <c:v>0.57339509237147757</c:v>
                </c:pt>
                <c:pt idx="26">
                  <c:v>0.57795558480003228</c:v>
                </c:pt>
                <c:pt idx="27">
                  <c:v>0.58059731045539231</c:v>
                </c:pt>
                <c:pt idx="28">
                  <c:v>0.58127635517726983</c:v>
                </c:pt>
                <c:pt idx="29">
                  <c:v>0.57994582581383036</c:v>
                </c:pt>
                <c:pt idx="30">
                  <c:v>0.5765547491397881</c:v>
                </c:pt>
                <c:pt idx="31">
                  <c:v>0.57104703305693372</c:v>
                </c:pt>
                <c:pt idx="32">
                  <c:v>0.5633605078276771</c:v>
                </c:pt>
                <c:pt idx="33">
                  <c:v>0.55342606202948308</c:v>
                </c:pt>
                <c:pt idx="34">
                  <c:v>0.5411668848427984</c:v>
                </c:pt>
                <c:pt idx="35">
                  <c:v>0.52649782327692007</c:v>
                </c:pt>
                <c:pt idx="36">
                  <c:v>0.50932486006973976</c:v>
                </c:pt>
                <c:pt idx="37">
                  <c:v>0.48954471533154903</c:v>
                </c:pt>
                <c:pt idx="38">
                  <c:v>0.46704457259258164</c:v>
                </c:pt>
                <c:pt idx="39">
                  <c:v>0.44170192779867828</c:v>
                </c:pt>
                <c:pt idx="40">
                  <c:v>0.4133845580069177</c:v>
                </c:pt>
                <c:pt idx="41">
                  <c:v>0.38195060507910711</c:v>
                </c:pt>
                <c:pt idx="42">
                  <c:v>0.34724876856072218</c:v>
                </c:pt>
                <c:pt idx="43">
                  <c:v>0.30911860116141043</c:v>
                </c:pt>
                <c:pt idx="44">
                  <c:v>0.2673908998087256</c:v>
                </c:pt>
                <c:pt idx="45">
                  <c:v>0.22188818511134326</c:v>
                </c:pt>
                <c:pt idx="46">
                  <c:v>0.1724252622200122</c:v>
                </c:pt>
                <c:pt idx="47">
                  <c:v>0.11880985649065455</c:v>
                </c:pt>
                <c:pt idx="48">
                  <c:v>6.084331801088548E-2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CF-40F2-BCA1-7361AAA0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0.105743517605454</c:v>
                </c:pt>
                <c:pt idx="2">
                  <c:v>0.108639213059238</c:v>
                </c:pt>
                <c:pt idx="3">
                  <c:v>0.110453042975256</c:v>
                </c:pt>
                <c:pt idx="4">
                  <c:v>0.11204593169820801</c:v>
                </c:pt>
                <c:pt idx="5">
                  <c:v>0.113577342876248</c:v>
                </c:pt>
                <c:pt idx="6">
                  <c:v>0.11508949679048799</c:v>
                </c:pt>
                <c:pt idx="7">
                  <c:v>0.116593027529429</c:v>
                </c:pt>
                <c:pt idx="8">
                  <c:v>0.11808843299150699</c:v>
                </c:pt>
                <c:pt idx="9">
                  <c:v>0.119573081669439</c:v>
                </c:pt>
                <c:pt idx="10">
                  <c:v>0.12104386698807</c:v>
                </c:pt>
                <c:pt idx="11">
                  <c:v>0.122498283251312</c:v>
                </c:pt>
                <c:pt idx="12">
                  <c:v>0.12393485215115101</c:v>
                </c:pt>
                <c:pt idx="13">
                  <c:v>0.125353257724063</c:v>
                </c:pt>
                <c:pt idx="14">
                  <c:v>0.126754342853757</c:v>
                </c:pt>
                <c:pt idx="15">
                  <c:v>0.12814003828857301</c:v>
                </c:pt>
                <c:pt idx="16">
                  <c:v>0.12951325916718601</c:v>
                </c:pt>
                <c:pt idx="17">
                  <c:v>0.13087778712603301</c:v>
                </c:pt>
                <c:pt idx="18">
                  <c:v>0.13223814762449199</c:v>
                </c:pt>
                <c:pt idx="19">
                  <c:v>0.13359948770736699</c:v>
                </c:pt>
                <c:pt idx="20">
                  <c:v>0.13496745701610399</c:v>
                </c:pt>
                <c:pt idx="21">
                  <c:v>0.13634809350035501</c:v>
                </c:pt>
                <c:pt idx="22">
                  <c:v>0.137747714488479</c:v>
                </c:pt>
                <c:pt idx="23">
                  <c:v>0.13917281329681699</c:v>
                </c:pt>
                <c:pt idx="24">
                  <c:v>0.14062996125470101</c:v>
                </c:pt>
                <c:pt idx="25">
                  <c:v>0.14212571481512001</c:v>
                </c:pt>
                <c:pt idx="26">
                  <c:v>0.143666527260078</c:v>
                </c:pt>
                <c:pt idx="27">
                  <c:v>0.145258664360044</c:v>
                </c:pt>
                <c:pt idx="28">
                  <c:v>0.14690812317906801</c:v>
                </c:pt>
                <c:pt idx="29">
                  <c:v>0.148620552999987</c:v>
                </c:pt>
                <c:pt idx="30">
                  <c:v>0.15040117703766301</c:v>
                </c:pt>
                <c:pt idx="31">
                  <c:v>0.152254713153788</c:v>
                </c:pt>
                <c:pt idx="32">
                  <c:v>0.15418529109174001</c:v>
                </c:pt>
                <c:pt idx="33">
                  <c:v>0.15619636266069101</c:v>
                </c:pt>
                <c:pt idx="34">
                  <c:v>0.158290599550101</c:v>
                </c:pt>
                <c:pt idx="35">
                  <c:v>0.160469770578516</c:v>
                </c:pt>
                <c:pt idx="36">
                  <c:v>0.16273458530752</c:v>
                </c:pt>
                <c:pt idx="37">
                  <c:v>0.16508448242499099</c:v>
                </c:pt>
                <c:pt idx="38">
                  <c:v>0.167517325811916</c:v>
                </c:pt>
                <c:pt idx="39">
                  <c:v>0.17002894181862199</c:v>
                </c:pt>
                <c:pt idx="40">
                  <c:v>0.17261237261427601</c:v>
                </c:pt>
                <c:pt idx="41">
                  <c:v>0.17525659612580599</c:v>
                </c:pt>
                <c:pt idx="42">
                  <c:v>0.17794417973741899</c:v>
                </c:pt>
                <c:pt idx="43">
                  <c:v>0.18064662931038</c:v>
                </c:pt>
                <c:pt idx="44">
                  <c:v>0.18331422926247901</c:v>
                </c:pt>
                <c:pt idx="45">
                  <c:v>0.18585082356375099</c:v>
                </c:pt>
                <c:pt idx="46">
                  <c:v>0.188038850227986</c:v>
                </c:pt>
                <c:pt idx="47">
                  <c:v>0.18924386772810201</c:v>
                </c:pt>
                <c:pt idx="48">
                  <c:v>0.18641340005557699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B1-4273-92E7-7F3B2B9180E0}"/>
            </c:ext>
          </c:extLst>
        </c:ser>
        <c:ser>
          <c:idx val="1"/>
          <c:order val="1"/>
          <c:tx>
            <c:strRef>
              <c:f>'68'!$I$41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'68'!$I$42:$I$91</c:f>
              <c:numCache>
                <c:formatCode>0.000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B1-4273-92E7-7F3B2B9180E0}"/>
            </c:ext>
          </c:extLst>
        </c:ser>
        <c:ser>
          <c:idx val="2"/>
          <c:order val="2"/>
          <c:tx>
            <c:strRef>
              <c:f>'68'!$M$41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'68'!$B$42:$B$91</c:f>
              <c:numCache>
                <c:formatCode>0</c:formatCode>
                <c:ptCount val="50"/>
                <c:pt idx="0">
                  <c:v>0</c:v>
                </c:pt>
                <c:pt idx="1">
                  <c:v>3.77551020408163</c:v>
                </c:pt>
                <c:pt idx="2">
                  <c:v>7.5510204081632599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83.061224489795904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94.387755102040799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0.10584788361870232</c:v>
                </c:pt>
                <c:pt idx="2">
                  <c:v>0.10874643704616577</c:v>
                </c:pt>
                <c:pt idx="3">
                  <c:v>0.11056205716361986</c:v>
                </c:pt>
                <c:pt idx="4">
                  <c:v>0.11215651802498112</c:v>
                </c:pt>
                <c:pt idx="5">
                  <c:v>0.11368944066474437</c:v>
                </c:pt>
                <c:pt idx="6">
                  <c:v>0.11520308703430454</c:v>
                </c:pt>
                <c:pt idx="7">
                  <c:v>0.11670810171772322</c:v>
                </c:pt>
                <c:pt idx="8">
                  <c:v>0.11820498310484856</c:v>
                </c:pt>
                <c:pt idx="9">
                  <c:v>0.11969109709117118</c:v>
                </c:pt>
                <c:pt idx="10">
                  <c:v>0.12116333403542988</c:v>
                </c:pt>
                <c:pt idx="11">
                  <c:v>0.1226191857684804</c:v>
                </c:pt>
                <c:pt idx="12">
                  <c:v>0.12405717252325917</c:v>
                </c:pt>
                <c:pt idx="13">
                  <c:v>0.12547697802439498</c:v>
                </c:pt>
                <c:pt idx="14">
                  <c:v>0.1268794459875015</c:v>
                </c:pt>
                <c:pt idx="15">
                  <c:v>0.12826650906651274</c:v>
                </c:pt>
                <c:pt idx="16">
                  <c:v>0.12964108527727025</c:v>
                </c:pt>
                <c:pt idx="17">
                  <c:v>0.13100695998858189</c:v>
                </c:pt>
                <c:pt idx="18">
                  <c:v>0.13236866312633463</c:v>
                </c:pt>
                <c:pt idx="19">
                  <c:v>0.13373134681532747</c:v>
                </c:pt>
                <c:pt idx="20">
                  <c:v>0.13510066627304954</c:v>
                </c:pt>
                <c:pt idx="21">
                  <c:v>0.13648266540844842</c:v>
                </c:pt>
                <c:pt idx="22">
                  <c:v>0.13788366778491562</c:v>
                </c:pt>
                <c:pt idx="23">
                  <c:v>0.13931017312752134</c:v>
                </c:pt>
                <c:pt idx="24">
                  <c:v>0.1407687592513229</c:v>
                </c:pt>
                <c:pt idx="25">
                  <c:v>0.14226598908035343</c:v>
                </c:pt>
                <c:pt idx="26">
                  <c:v>0.14380832226583201</c:v>
                </c:pt>
                <c:pt idx="27">
                  <c:v>0.14540203076237596</c:v>
                </c:pt>
                <c:pt idx="28">
                  <c:v>0.14705311755297501</c:v>
                </c:pt>
                <c:pt idx="29">
                  <c:v>0.14876723749615792</c:v>
                </c:pt>
                <c:pt idx="30">
                  <c:v>0.15054961896195809</c:v>
                </c:pt>
                <c:pt idx="31">
                  <c:v>0.152404984468473</c:v>
                </c:pt>
                <c:pt idx="32">
                  <c:v>0.15433746783502555</c:v>
                </c:pt>
                <c:pt idx="33">
                  <c:v>0.15635052427762727</c:v>
                </c:pt>
                <c:pt idx="34">
                  <c:v>0.15844682812262889</c:v>
                </c:pt>
                <c:pt idx="35">
                  <c:v>0.16062814993435062</c:v>
                </c:pt>
                <c:pt idx="36">
                  <c:v>0.16289519997469315</c:v>
                </c:pt>
                <c:pt idx="37">
                  <c:v>0.16524741637753818</c:v>
                </c:pt>
                <c:pt idx="38">
                  <c:v>0.16768266091557882</c:v>
                </c:pt>
                <c:pt idx="39">
                  <c:v>0.17019675581985802</c:v>
                </c:pt>
                <c:pt idx="40">
                  <c:v>0.17278273639235728</c:v>
                </c:pt>
                <c:pt idx="41">
                  <c:v>0.17542956968150755</c:v>
                </c:pt>
                <c:pt idx="42">
                  <c:v>0.17811980586599963</c:v>
                </c:pt>
                <c:pt idx="43">
                  <c:v>0.18082492268414543</c:v>
                </c:pt>
                <c:pt idx="44">
                  <c:v>0.18349515548578052</c:v>
                </c:pt>
                <c:pt idx="45">
                  <c:v>0.18603425333753626</c:v>
                </c:pt>
                <c:pt idx="46">
                  <c:v>0.18822443952535731</c:v>
                </c:pt>
                <c:pt idx="47">
                  <c:v>0.18943064634538084</c:v>
                </c:pt>
                <c:pt idx="48">
                  <c:v>0.18659738507724619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B1-4273-92E7-7F3B2B918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B4-4771-B5BA-58DBE19F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92-4BC6-B6AA-AC3E1093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'68'!$Q$42:$Q$91</c:f>
              <c:numCache>
                <c:formatCode>General</c:formatCode>
                <c:ptCount val="50"/>
                <c:pt idx="0">
                  <c:v>8.3927395929999999</c:v>
                </c:pt>
                <c:pt idx="1">
                  <c:v>8.42386503598253</c:v>
                </c:pt>
                <c:pt idx="2">
                  <c:v>8.4603470548442097</c:v>
                </c:pt>
                <c:pt idx="3">
                  <c:v>8.4993916552975897</c:v>
                </c:pt>
                <c:pt idx="4">
                  <c:v>8.5385793995425896</c:v>
                </c:pt>
                <c:pt idx="5">
                  <c:v>8.57583425251614</c:v>
                </c:pt>
                <c:pt idx="6">
                  <c:v>8.6093935216277302</c:v>
                </c:pt>
                <c:pt idx="7">
                  <c:v>8.6377788899805594</c:v>
                </c:pt>
                <c:pt idx="8">
                  <c:v>8.6597685430785205</c:v>
                </c:pt>
                <c:pt idx="9">
                  <c:v>8.6743703890188808</c:v>
                </c:pt>
                <c:pt idx="10">
                  <c:v>8.6807963721707804</c:v>
                </c:pt>
                <c:pt idx="11">
                  <c:v>8.6784378803394304</c:v>
                </c:pt>
                <c:pt idx="12">
                  <c:v>8.6668422454161007</c:v>
                </c:pt>
                <c:pt idx="13">
                  <c:v>8.6456903375138001</c:v>
                </c:pt>
                <c:pt idx="14">
                  <c:v>8.6147752525887995</c:v>
                </c:pt>
                <c:pt idx="15">
                  <c:v>8.5739820935477908</c:v>
                </c:pt>
                <c:pt idx="16">
                  <c:v>8.5232688448409295</c:v>
                </c:pt>
                <c:pt idx="17">
                  <c:v>8.4626483405405093</c:v>
                </c:pt>
                <c:pt idx="18">
                  <c:v>8.3921713259054798</c:v>
                </c:pt>
                <c:pt idx="19">
                  <c:v>8.31191061243163</c:v>
                </c:pt>
                <c:pt idx="20">
                  <c:v>8.22194632638762</c:v>
                </c:pt>
                <c:pt idx="21">
                  <c:v>8.1223522508367001</c:v>
                </c:pt>
                <c:pt idx="22">
                  <c:v>8.0131832611441496</c:v>
                </c:pt>
                <c:pt idx="23">
                  <c:v>7.8944638539706</c:v>
                </c:pt>
                <c:pt idx="24">
                  <c:v>7.7661777697509304</c:v>
                </c:pt>
                <c:pt idx="25">
                  <c:v>7.6282587086591098</c:v>
                </c:pt>
                <c:pt idx="26">
                  <c:v>7.4805821400585701</c:v>
                </c:pt>
                <c:pt idx="27">
                  <c:v>7.3229582054385798</c:v>
                </c:pt>
                <c:pt idx="28">
                  <c:v>7.1551257148361298</c:v>
                </c:pt>
                <c:pt idx="29">
                  <c:v>6.9767472367437504</c:v>
                </c:pt>
                <c:pt idx="30">
                  <c:v>6.7874052815029797</c:v>
                </c:pt>
                <c:pt idx="31">
                  <c:v>6.5865995781836304</c:v>
                </c:pt>
                <c:pt idx="32">
                  <c:v>6.3737454449487796</c:v>
                </c:pt>
                <c:pt idx="33">
                  <c:v>6.1481732529055302</c:v>
                </c:pt>
                <c:pt idx="34">
                  <c:v>5.9091289834415397</c:v>
                </c:pt>
                <c:pt idx="35">
                  <c:v>5.6557758790472397</c:v>
                </c:pt>
                <c:pt idx="36">
                  <c:v>5.38719718762386</c:v>
                </c:pt>
                <c:pt idx="37">
                  <c:v>5.1024000002772096</c:v>
                </c:pt>
                <c:pt idx="38">
                  <c:v>4.80032018259719</c:v>
                </c:pt>
                <c:pt idx="39">
                  <c:v>4.4798283994229999</c:v>
                </c:pt>
                <c:pt idx="40">
                  <c:v>4.1397372330942499</c:v>
                </c:pt>
                <c:pt idx="41">
                  <c:v>3.7788093951876802</c:v>
                </c:pt>
                <c:pt idx="42">
                  <c:v>3.3957670317396502</c:v>
                </c:pt>
                <c:pt idx="43">
                  <c:v>2.9893021219545002</c:v>
                </c:pt>
                <c:pt idx="44">
                  <c:v>2.5580879703984798</c:v>
                </c:pt>
                <c:pt idx="45">
                  <c:v>2.10079179267959</c:v>
                </c:pt>
                <c:pt idx="46">
                  <c:v>1.6160883946130999</c:v>
                </c:pt>
                <c:pt idx="47">
                  <c:v>1.10267494487273</c:v>
                </c:pt>
                <c:pt idx="48">
                  <c:v>0.55928684112794202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8-4845-A2B3-E59F5FC19F20}"/>
            </c:ext>
          </c:extLst>
        </c:ser>
        <c:ser>
          <c:idx val="1"/>
          <c:order val="1"/>
          <c:tx>
            <c:strRef>
              <c:f>'68'!$T$41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'68'!$T$42:$T$91</c:f>
              <c:numCache>
                <c:formatCode>0.00</c:formatCode>
                <c:ptCount val="50"/>
                <c:pt idx="0">
                  <c:v>8.3927395929999999</c:v>
                </c:pt>
                <c:pt idx="1">
                  <c:v>8.4238650359825318</c:v>
                </c:pt>
                <c:pt idx="2">
                  <c:v>8.4603470548442168</c:v>
                </c:pt>
                <c:pt idx="3">
                  <c:v>8.4993916552975985</c:v>
                </c:pt>
                <c:pt idx="4">
                  <c:v>8.5385793995425896</c:v>
                </c:pt>
                <c:pt idx="5">
                  <c:v>8.5758342525161382</c:v>
                </c:pt>
                <c:pt idx="6">
                  <c:v>8.6093935216277337</c:v>
                </c:pt>
                <c:pt idx="7">
                  <c:v>8.6377788899805683</c:v>
                </c:pt>
                <c:pt idx="8">
                  <c:v>8.6597685430785258</c:v>
                </c:pt>
                <c:pt idx="9">
                  <c:v>8.6743703890188826</c:v>
                </c:pt>
                <c:pt idx="10">
                  <c:v>8.6807963721707821</c:v>
                </c:pt>
                <c:pt idx="11">
                  <c:v>8.6784378803394375</c:v>
                </c:pt>
                <c:pt idx="12">
                  <c:v>8.6668422454161043</c:v>
                </c:pt>
                <c:pt idx="13">
                  <c:v>8.645690337513809</c:v>
                </c:pt>
                <c:pt idx="14">
                  <c:v>8.6147752525888013</c:v>
                </c:pt>
                <c:pt idx="15">
                  <c:v>8.5739820935477979</c:v>
                </c:pt>
                <c:pt idx="16">
                  <c:v>8.5232688448409331</c:v>
                </c:pt>
                <c:pt idx="17">
                  <c:v>8.4626483405405146</c:v>
                </c:pt>
                <c:pt idx="18">
                  <c:v>8.3921713259054833</c:v>
                </c:pt>
                <c:pt idx="19">
                  <c:v>8.3119106124316335</c:v>
                </c:pt>
                <c:pt idx="20">
                  <c:v>8.2219463263876325</c:v>
                </c:pt>
                <c:pt idx="21">
                  <c:v>8.1223522508367054</c:v>
                </c:pt>
                <c:pt idx="22">
                  <c:v>8.0131832611441567</c:v>
                </c:pt>
                <c:pt idx="23">
                  <c:v>7.8944638539706036</c:v>
                </c:pt>
                <c:pt idx="24">
                  <c:v>7.7661777697509429</c:v>
                </c:pt>
                <c:pt idx="25">
                  <c:v>7.6282587086591107</c:v>
                </c:pt>
                <c:pt idx="26">
                  <c:v>7.4805821400585799</c:v>
                </c:pt>
                <c:pt idx="27">
                  <c:v>7.3229582054385842</c:v>
                </c:pt>
                <c:pt idx="28">
                  <c:v>7.1551257148361671</c:v>
                </c:pt>
                <c:pt idx="29">
                  <c:v>6.9767472367437691</c:v>
                </c:pt>
                <c:pt idx="30">
                  <c:v>6.7874052815030321</c:v>
                </c:pt>
                <c:pt idx="31">
                  <c:v>6.5865995781836659</c:v>
                </c:pt>
                <c:pt idx="32">
                  <c:v>6.3737454449487956</c:v>
                </c:pt>
                <c:pt idx="33">
                  <c:v>6.1481732529055906</c:v>
                </c:pt>
                <c:pt idx="34">
                  <c:v>5.9091289834415806</c:v>
                </c:pt>
                <c:pt idx="35">
                  <c:v>5.6557758790472574</c:v>
                </c:pt>
                <c:pt idx="36">
                  <c:v>5.3871971876239249</c:v>
                </c:pt>
                <c:pt idx="37">
                  <c:v>5.1024000002772505</c:v>
                </c:pt>
                <c:pt idx="38">
                  <c:v>4.8003201825971846</c:v>
                </c:pt>
                <c:pt idx="39">
                  <c:v>4.4798283994230514</c:v>
                </c:pt>
                <c:pt idx="40">
                  <c:v>4.1397372330942783</c:v>
                </c:pt>
                <c:pt idx="41">
                  <c:v>3.7788093951877739</c:v>
                </c:pt>
                <c:pt idx="42">
                  <c:v>3.3957670317397213</c:v>
                </c:pt>
                <c:pt idx="43">
                  <c:v>2.9893021219545322</c:v>
                </c:pt>
                <c:pt idx="44">
                  <c:v>2.5580879703985726</c:v>
                </c:pt>
                <c:pt idx="45">
                  <c:v>2.1007917926796491</c:v>
                </c:pt>
                <c:pt idx="46">
                  <c:v>1.6160883946130937</c:v>
                </c:pt>
                <c:pt idx="47">
                  <c:v>1.1026749448728381</c:v>
                </c:pt>
                <c:pt idx="48">
                  <c:v>0.55928684112799587</c:v>
                </c:pt>
                <c:pt idx="49">
                  <c:v>-1.5285330333593805E-2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C8-4845-A2B3-E59F5FC1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'68'!$S$42:$S$91</c:f>
              <c:numCache>
                <c:formatCode>General</c:formatCode>
                <c:ptCount val="50"/>
                <c:pt idx="0">
                  <c:v>0.1061379239</c:v>
                </c:pt>
                <c:pt idx="1">
                  <c:v>0.10782806341368184</c:v>
                </c:pt>
                <c:pt idx="2">
                  <c:v>0.10945080467417877</c:v>
                </c:pt>
                <c:pt idx="3">
                  <c:v>0.11101409113720706</c:v>
                </c:pt>
                <c:pt idx="4">
                  <c:v>0.11252556054958242</c:v>
                </c:pt>
                <c:pt idx="5">
                  <c:v>0.11399254494922009</c:v>
                </c:pt>
                <c:pt idx="6">
                  <c:v>0.11542207066513482</c:v>
                </c:pt>
                <c:pt idx="7">
                  <c:v>0.11682085831744103</c:v>
                </c:pt>
                <c:pt idx="8">
                  <c:v>0.11819532281735247</c:v>
                </c:pt>
                <c:pt idx="9">
                  <c:v>0.11955157336718256</c:v>
                </c:pt>
                <c:pt idx="10">
                  <c:v>0.12089541346034426</c:v>
                </c:pt>
                <c:pt idx="11">
                  <c:v>0.12223234088134992</c:v>
                </c:pt>
                <c:pt idx="12">
                  <c:v>0.12356754770581158</c:v>
                </c:pt>
                <c:pt idx="13">
                  <c:v>0.1249059203004408</c:v>
                </c:pt>
                <c:pt idx="14">
                  <c:v>0.12625203932304854</c:v>
                </c:pt>
                <c:pt idx="15">
                  <c:v>0.1276101797225454</c:v>
                </c:pt>
                <c:pt idx="16">
                  <c:v>0.12898431073894154</c:v>
                </c:pt>
                <c:pt idx="17">
                  <c:v>0.13037809590334654</c:v>
                </c:pt>
                <c:pt idx="18">
                  <c:v>0.13179489303796962</c:v>
                </c:pt>
                <c:pt idx="19">
                  <c:v>0.13323775425611945</c:v>
                </c:pt>
                <c:pt idx="20">
                  <c:v>0.13470942596220425</c:v>
                </c:pt>
                <c:pt idx="21">
                  <c:v>0.13621234885173183</c:v>
                </c:pt>
                <c:pt idx="22">
                  <c:v>0.13774865791130955</c:v>
                </c:pt>
                <c:pt idx="23">
                  <c:v>0.13932018241864411</c:v>
                </c:pt>
                <c:pt idx="24">
                  <c:v>0.140928445942542</c:v>
                </c:pt>
                <c:pt idx="25">
                  <c:v>0.14257466634290908</c:v>
                </c:pt>
                <c:pt idx="26">
                  <c:v>0.14425975577075076</c:v>
                </c:pt>
                <c:pt idx="27">
                  <c:v>0.14598432066817199</c:v>
                </c:pt>
                <c:pt idx="28">
                  <c:v>0.14774866176837703</c:v>
                </c:pt>
                <c:pt idx="29">
                  <c:v>0.14955277409567058</c:v>
                </c:pt>
                <c:pt idx="30">
                  <c:v>0.1513963469654554</c:v>
                </c:pt>
                <c:pt idx="31">
                  <c:v>0.1532787639842354</c:v>
                </c:pt>
                <c:pt idx="32">
                  <c:v>0.15519910304961279</c:v>
                </c:pt>
                <c:pt idx="33">
                  <c:v>0.15715613635028927</c:v>
                </c:pt>
                <c:pt idx="34">
                  <c:v>0.15914833036606751</c:v>
                </c:pt>
                <c:pt idx="35">
                  <c:v>0.16117384586784814</c:v>
                </c:pt>
                <c:pt idx="36">
                  <c:v>0.16323053791763154</c:v>
                </c:pt>
                <c:pt idx="37">
                  <c:v>0.16531595586851894</c:v>
                </c:pt>
                <c:pt idx="38">
                  <c:v>0.16742734336470963</c:v>
                </c:pt>
                <c:pt idx="39">
                  <c:v>0.16956163834150248</c:v>
                </c:pt>
                <c:pt idx="40">
                  <c:v>0.17171547302529747</c:v>
                </c:pt>
                <c:pt idx="41">
                  <c:v>0.17388517393359176</c:v>
                </c:pt>
                <c:pt idx="42">
                  <c:v>0.17606676187498466</c:v>
                </c:pt>
                <c:pt idx="43">
                  <c:v>0.17825595194917296</c:v>
                </c:pt>
                <c:pt idx="44">
                  <c:v>0.18044815354695304</c:v>
                </c:pt>
                <c:pt idx="45">
                  <c:v>0.18263847035022268</c:v>
                </c:pt>
                <c:pt idx="46">
                  <c:v>0.18482170033197742</c:v>
                </c:pt>
                <c:pt idx="47">
                  <c:v>0.18699233575631211</c:v>
                </c:pt>
                <c:pt idx="48">
                  <c:v>0.18914456317842326</c:v>
                </c:pt>
                <c:pt idx="49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'68'!$U$42:$U$91</c:f>
              <c:numCache>
                <c:formatCode>0.00</c:formatCode>
                <c:ptCount val="50"/>
                <c:pt idx="0">
                  <c:v>106.1379239</c:v>
                </c:pt>
                <c:pt idx="1">
                  <c:v>107.82806341368183</c:v>
                </c:pt>
                <c:pt idx="2">
                  <c:v>109.45080467417877</c:v>
                </c:pt>
                <c:pt idx="3">
                  <c:v>111.01409113720706</c:v>
                </c:pt>
                <c:pt idx="4">
                  <c:v>112.52556054958242</c:v>
                </c:pt>
                <c:pt idx="5">
                  <c:v>113.99254494922009</c:v>
                </c:pt>
                <c:pt idx="6">
                  <c:v>115.42207066513483</c:v>
                </c:pt>
                <c:pt idx="7">
                  <c:v>116.82085831744104</c:v>
                </c:pt>
                <c:pt idx="8">
                  <c:v>118.19532281735246</c:v>
                </c:pt>
                <c:pt idx="9">
                  <c:v>119.55157336718256</c:v>
                </c:pt>
                <c:pt idx="10">
                  <c:v>120.89541346034426</c:v>
                </c:pt>
                <c:pt idx="11">
                  <c:v>122.23234088134991</c:v>
                </c:pt>
                <c:pt idx="12">
                  <c:v>123.56754770581158</c:v>
                </c:pt>
                <c:pt idx="13">
                  <c:v>124.9059203004408</c:v>
                </c:pt>
                <c:pt idx="14">
                  <c:v>126.25203932304854</c:v>
                </c:pt>
                <c:pt idx="15">
                  <c:v>127.61017972254541</c:v>
                </c:pt>
                <c:pt idx="16">
                  <c:v>128.98431073894153</c:v>
                </c:pt>
                <c:pt idx="17">
                  <c:v>130.37809590334655</c:v>
                </c:pt>
                <c:pt idx="18">
                  <c:v>131.79489303796962</c:v>
                </c:pt>
                <c:pt idx="19">
                  <c:v>133.23775425611944</c:v>
                </c:pt>
                <c:pt idx="20">
                  <c:v>134.70942596220425</c:v>
                </c:pt>
                <c:pt idx="21">
                  <c:v>136.21234885173183</c:v>
                </c:pt>
                <c:pt idx="22">
                  <c:v>137.74865791130952</c:v>
                </c:pt>
                <c:pt idx="23">
                  <c:v>139.32018241864409</c:v>
                </c:pt>
                <c:pt idx="24">
                  <c:v>140.928445942542</c:v>
                </c:pt>
                <c:pt idx="25">
                  <c:v>142.57466634290907</c:v>
                </c:pt>
                <c:pt idx="26">
                  <c:v>144.25975577075076</c:v>
                </c:pt>
                <c:pt idx="27">
                  <c:v>145.98432066817199</c:v>
                </c:pt>
                <c:pt idx="28">
                  <c:v>147.74866176837702</c:v>
                </c:pt>
                <c:pt idx="29">
                  <c:v>149.55277409567057</c:v>
                </c:pt>
                <c:pt idx="30">
                  <c:v>151.39634696545539</c:v>
                </c:pt>
                <c:pt idx="31">
                  <c:v>153.27876398423541</c:v>
                </c:pt>
                <c:pt idx="32">
                  <c:v>155.1991030496128</c:v>
                </c:pt>
                <c:pt idx="33">
                  <c:v>157.15613635028927</c:v>
                </c:pt>
                <c:pt idx="34">
                  <c:v>159.14833036606751</c:v>
                </c:pt>
                <c:pt idx="35">
                  <c:v>161.17384586784814</c:v>
                </c:pt>
                <c:pt idx="36">
                  <c:v>163.23053791763152</c:v>
                </c:pt>
                <c:pt idx="37">
                  <c:v>165.31595586851893</c:v>
                </c:pt>
                <c:pt idx="38">
                  <c:v>167.42734336470963</c:v>
                </c:pt>
                <c:pt idx="39">
                  <c:v>169.56163834150249</c:v>
                </c:pt>
                <c:pt idx="40">
                  <c:v>171.71547302529746</c:v>
                </c:pt>
                <c:pt idx="41">
                  <c:v>173.88517393359177</c:v>
                </c:pt>
                <c:pt idx="42">
                  <c:v>176.06676187498465</c:v>
                </c:pt>
                <c:pt idx="43">
                  <c:v>178.25595194917295</c:v>
                </c:pt>
                <c:pt idx="44">
                  <c:v>180.44815354695305</c:v>
                </c:pt>
                <c:pt idx="45">
                  <c:v>182.63847035022269</c:v>
                </c:pt>
                <c:pt idx="46">
                  <c:v>184.82170033197741</c:v>
                </c:pt>
                <c:pt idx="47">
                  <c:v>186.99233575631212</c:v>
                </c:pt>
                <c:pt idx="48">
                  <c:v>189.14456317842325</c:v>
                </c:pt>
                <c:pt idx="49">
                  <c:v>191.2722634446049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A1-4B36-AB98-3F8E4EA76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'68'!$R$42:$R$91</c:f>
              <c:numCache>
                <c:formatCode>0.000</c:formatCode>
                <c:ptCount val="50"/>
                <c:pt idx="0">
                  <c:v>1.1661356229999999E-3</c:v>
                </c:pt>
                <c:pt idx="1">
                  <c:v>3.4116159368759301E-2</c:v>
                </c:pt>
                <c:pt idx="2">
                  <c:v>6.6701262010969806E-2</c:v>
                </c:pt>
                <c:pt idx="3">
                  <c:v>9.8863026039006693E-2</c:v>
                </c:pt>
                <c:pt idx="4">
                  <c:v>0.13054252477821399</c:v>
                </c:pt>
                <c:pt idx="5">
                  <c:v>0.16168032238990401</c:v>
                </c:pt>
                <c:pt idx="6">
                  <c:v>0.19221647387136001</c:v>
                </c:pt>
                <c:pt idx="7">
                  <c:v>0.22209052505583199</c:v>
                </c:pt>
                <c:pt idx="8">
                  <c:v>0.25124151261253802</c:v>
                </c:pt>
                <c:pt idx="9">
                  <c:v>0.27960796404666899</c:v>
                </c:pt>
                <c:pt idx="10">
                  <c:v>0.30712789769937898</c:v>
                </c:pt>
                <c:pt idx="11">
                  <c:v>0.33373882274779598</c:v>
                </c:pt>
                <c:pt idx="12">
                  <c:v>0.35937773920501498</c:v>
                </c:pt>
                <c:pt idx="13">
                  <c:v>0.38398113792009803</c:v>
                </c:pt>
                <c:pt idx="14">
                  <c:v>0.40748500057807902</c:v>
                </c:pt>
                <c:pt idx="15">
                  <c:v>0.42982479969995802</c:v>
                </c:pt>
                <c:pt idx="16">
                  <c:v>0.45093549864270599</c:v>
                </c:pt>
                <c:pt idx="17">
                  <c:v>0.47075155159926202</c:v>
                </c:pt>
                <c:pt idx="18">
                  <c:v>0.48920690359853403</c:v>
                </c:pt>
                <c:pt idx="19">
                  <c:v>0.506234990505398</c:v>
                </c:pt>
                <c:pt idx="20">
                  <c:v>0.52176873902069998</c:v>
                </c:pt>
                <c:pt idx="21">
                  <c:v>0.53574056668125403</c:v>
                </c:pt>
                <c:pt idx="22">
                  <c:v>0.54808238185984304</c:v>
                </c:pt>
                <c:pt idx="23">
                  <c:v>0.55872558376521997</c:v>
                </c:pt>
                <c:pt idx="24">
                  <c:v>0.56760106244210495</c:v>
                </c:pt>
                <c:pt idx="25">
                  <c:v>0.57463919877118796</c:v>
                </c:pt>
                <c:pt idx="26">
                  <c:v>0.57976986446912704</c:v>
                </c:pt>
                <c:pt idx="27">
                  <c:v>0.58292242208855105</c:v>
                </c:pt>
                <c:pt idx="28">
                  <c:v>0.58402572501805405</c:v>
                </c:pt>
                <c:pt idx="29">
                  <c:v>0.58300811748220305</c:v>
                </c:pt>
                <c:pt idx="30">
                  <c:v>0.57979743454152999</c:v>
                </c:pt>
                <c:pt idx="31">
                  <c:v>0.57432100209254</c:v>
                </c:pt>
                <c:pt idx="32">
                  <c:v>0.56650563686770194</c:v>
                </c:pt>
                <c:pt idx="33">
                  <c:v>0.55627764643545896</c:v>
                </c:pt>
                <c:pt idx="34">
                  <c:v>0.54356282920021903</c:v>
                </c:pt>
                <c:pt idx="35">
                  <c:v>0.52828647440235899</c:v>
                </c:pt>
                <c:pt idx="36">
                  <c:v>0.51037336211822804</c:v>
                </c:pt>
                <c:pt idx="37">
                  <c:v>0.48974776326014102</c:v>
                </c:pt>
                <c:pt idx="38">
                  <c:v>0.46633343957638201</c:v>
                </c:pt>
                <c:pt idx="39">
                  <c:v>0.44005364365120497</c:v>
                </c:pt>
                <c:pt idx="40">
                  <c:v>0.41083111890483298</c:v>
                </c:pt>
                <c:pt idx="41">
                  <c:v>0.37858809959345602</c:v>
                </c:pt>
                <c:pt idx="42">
                  <c:v>0.34324631080923301</c:v>
                </c:pt>
                <c:pt idx="43">
                  <c:v>0.30472696848029601</c:v>
                </c:pt>
                <c:pt idx="44">
                  <c:v>0.26295077937074002</c:v>
                </c:pt>
                <c:pt idx="45">
                  <c:v>0.21783794108063201</c:v>
                </c:pt>
                <c:pt idx="46">
                  <c:v>0.169308142046008</c:v>
                </c:pt>
                <c:pt idx="47">
                  <c:v>0.11728056153887199</c:v>
                </c:pt>
                <c:pt idx="48">
                  <c:v>6.1673869667196499E-2</c:v>
                </c:pt>
                <c:pt idx="49">
                  <c:v>2.4062273749239399E-3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'68'!$P$42:$P$91</c:f>
              <c:numCache>
                <c:formatCode>0</c:formatCode>
                <c:ptCount val="50"/>
                <c:pt idx="0">
                  <c:v>0</c:v>
                </c:pt>
                <c:pt idx="1">
                  <c:v>3.7755102040816295</c:v>
                </c:pt>
                <c:pt idx="2">
                  <c:v>7.551020408163259</c:v>
                </c:pt>
                <c:pt idx="3">
                  <c:v>11.326530612244801</c:v>
                </c:pt>
                <c:pt idx="4">
                  <c:v>15.1020408163265</c:v>
                </c:pt>
                <c:pt idx="5">
                  <c:v>18.877551020408099</c:v>
                </c:pt>
                <c:pt idx="6">
                  <c:v>22.653061224489701</c:v>
                </c:pt>
                <c:pt idx="7">
                  <c:v>26.428571428571399</c:v>
                </c:pt>
                <c:pt idx="8">
                  <c:v>30.204081632653001</c:v>
                </c:pt>
                <c:pt idx="9">
                  <c:v>33.979591836734599</c:v>
                </c:pt>
                <c:pt idx="10">
                  <c:v>37.755102040816297</c:v>
                </c:pt>
                <c:pt idx="11">
                  <c:v>41.530612244897902</c:v>
                </c:pt>
                <c:pt idx="12">
                  <c:v>45.306122448979501</c:v>
                </c:pt>
                <c:pt idx="13">
                  <c:v>49.081632653061199</c:v>
                </c:pt>
                <c:pt idx="14">
                  <c:v>52.857142857142797</c:v>
                </c:pt>
                <c:pt idx="15">
                  <c:v>56.632653061224403</c:v>
                </c:pt>
                <c:pt idx="16">
                  <c:v>60.408163265306101</c:v>
                </c:pt>
                <c:pt idx="17">
                  <c:v>64.183673469387699</c:v>
                </c:pt>
                <c:pt idx="18">
                  <c:v>67.959183673469298</c:v>
                </c:pt>
                <c:pt idx="19">
                  <c:v>71.734693877550995</c:v>
                </c:pt>
                <c:pt idx="20">
                  <c:v>75.510204081632594</c:v>
                </c:pt>
                <c:pt idx="21">
                  <c:v>79.285714285714207</c:v>
                </c:pt>
                <c:pt idx="22">
                  <c:v>83.06122448979589</c:v>
                </c:pt>
                <c:pt idx="23">
                  <c:v>86.836734693877503</c:v>
                </c:pt>
                <c:pt idx="24">
                  <c:v>90.612244897959101</c:v>
                </c:pt>
                <c:pt idx="25">
                  <c:v>94.387755102040785</c:v>
                </c:pt>
                <c:pt idx="26">
                  <c:v>98.163265306122398</c:v>
                </c:pt>
                <c:pt idx="27">
                  <c:v>101.938775510204</c:v>
                </c:pt>
                <c:pt idx="28">
                  <c:v>105.714285714285</c:v>
                </c:pt>
                <c:pt idx="29">
                  <c:v>109.48979591836699</c:v>
                </c:pt>
                <c:pt idx="30">
                  <c:v>113.265306122448</c:v>
                </c:pt>
                <c:pt idx="31">
                  <c:v>117.04081632653001</c:v>
                </c:pt>
                <c:pt idx="32">
                  <c:v>120.816326530612</c:v>
                </c:pt>
                <c:pt idx="33">
                  <c:v>124.591836734693</c:v>
                </c:pt>
                <c:pt idx="34">
                  <c:v>128.367346938775</c:v>
                </c:pt>
                <c:pt idx="35">
                  <c:v>132.142857142857</c:v>
                </c:pt>
                <c:pt idx="36">
                  <c:v>135.918367346938</c:v>
                </c:pt>
                <c:pt idx="37">
                  <c:v>139.69387755101999</c:v>
                </c:pt>
                <c:pt idx="38">
                  <c:v>143.46938775510199</c:v>
                </c:pt>
                <c:pt idx="39">
                  <c:v>147.24489795918299</c:v>
                </c:pt>
                <c:pt idx="40">
                  <c:v>151.02040816326499</c:v>
                </c:pt>
                <c:pt idx="41">
                  <c:v>154.79591836734599</c:v>
                </c:pt>
                <c:pt idx="42">
                  <c:v>158.57142857142799</c:v>
                </c:pt>
                <c:pt idx="43">
                  <c:v>162.34693877551001</c:v>
                </c:pt>
                <c:pt idx="44">
                  <c:v>166.12244897959101</c:v>
                </c:pt>
                <c:pt idx="45">
                  <c:v>169.89795918367301</c:v>
                </c:pt>
                <c:pt idx="46">
                  <c:v>173.67346938775501</c:v>
                </c:pt>
                <c:pt idx="47">
                  <c:v>177.44897959183601</c:v>
                </c:pt>
                <c:pt idx="48">
                  <c:v>181.224489795918</c:v>
                </c:pt>
                <c:pt idx="49">
                  <c:v>185</c:v>
                </c:pt>
              </c:numCache>
            </c:numRef>
          </c:xVal>
          <c:yVal>
            <c:numRef>
              <c:f>'68'!$V$42:$V$91</c:f>
              <c:numCache>
                <c:formatCode>0.00</c:formatCode>
                <c:ptCount val="50"/>
                <c:pt idx="0">
                  <c:v>0.1166135623</c:v>
                </c:pt>
                <c:pt idx="1">
                  <c:v>3.411615936875934</c:v>
                </c:pt>
                <c:pt idx="2">
                  <c:v>6.6701262010969824</c:v>
                </c:pt>
                <c:pt idx="3">
                  <c:v>9.8863026039005941</c:v>
                </c:pt>
                <c:pt idx="4">
                  <c:v>13.054252477821384</c:v>
                </c:pt>
                <c:pt idx="5">
                  <c:v>16.168032238990428</c:v>
                </c:pt>
                <c:pt idx="6">
                  <c:v>19.221647387135988</c:v>
                </c:pt>
                <c:pt idx="7">
                  <c:v>22.209052505583198</c:v>
                </c:pt>
                <c:pt idx="8">
                  <c:v>25.124151261253843</c:v>
                </c:pt>
                <c:pt idx="9">
                  <c:v>27.96079640466683</c:v>
                </c:pt>
                <c:pt idx="10">
                  <c:v>30.712789769937945</c:v>
                </c:pt>
                <c:pt idx="11">
                  <c:v>33.373882274779639</c:v>
                </c:pt>
                <c:pt idx="12">
                  <c:v>35.937773920501463</c:v>
                </c:pt>
                <c:pt idx="13">
                  <c:v>38.398113792009838</c:v>
                </c:pt>
                <c:pt idx="14">
                  <c:v>40.748500057807888</c:v>
                </c:pt>
                <c:pt idx="15">
                  <c:v>42.982479969995815</c:v>
                </c:pt>
                <c:pt idx="16">
                  <c:v>45.09354986427067</c:v>
                </c:pt>
                <c:pt idx="17">
                  <c:v>47.075155159926268</c:v>
                </c:pt>
                <c:pt idx="18">
                  <c:v>48.920690359853424</c:v>
                </c:pt>
                <c:pt idx="19">
                  <c:v>50.623499050539849</c:v>
                </c:pt>
                <c:pt idx="20">
                  <c:v>52.176873902070021</c:v>
                </c:pt>
                <c:pt idx="21">
                  <c:v>53.574056668125408</c:v>
                </c:pt>
                <c:pt idx="22">
                  <c:v>54.808238185984365</c:v>
                </c:pt>
                <c:pt idx="23">
                  <c:v>55.872558376522043</c:v>
                </c:pt>
                <c:pt idx="24">
                  <c:v>56.760106244210547</c:v>
                </c:pt>
                <c:pt idx="25">
                  <c:v>57.463919877118848</c:v>
                </c:pt>
                <c:pt idx="26">
                  <c:v>57.97698644691279</c:v>
                </c:pt>
                <c:pt idx="27">
                  <c:v>58.292242208855114</c:v>
                </c:pt>
                <c:pt idx="28">
                  <c:v>58.402572501805452</c:v>
                </c:pt>
                <c:pt idx="29">
                  <c:v>58.300811748220333</c:v>
                </c:pt>
                <c:pt idx="30">
                  <c:v>57.979743454153187</c:v>
                </c:pt>
                <c:pt idx="31">
                  <c:v>57.432100209254131</c:v>
                </c:pt>
                <c:pt idx="32">
                  <c:v>56.650563686770347</c:v>
                </c:pt>
                <c:pt idx="33">
                  <c:v>55.627764643546215</c:v>
                </c:pt>
                <c:pt idx="34">
                  <c:v>54.356282920022089</c:v>
                </c:pt>
                <c:pt idx="35">
                  <c:v>52.828647440236068</c:v>
                </c:pt>
                <c:pt idx="36">
                  <c:v>51.037336211823281</c:v>
                </c:pt>
                <c:pt idx="37">
                  <c:v>48.974776326014407</c:v>
                </c:pt>
                <c:pt idx="38">
                  <c:v>46.63334395763831</c:v>
                </c:pt>
                <c:pt idx="39">
                  <c:v>44.005364365121068</c:v>
                </c:pt>
                <c:pt idx="40">
                  <c:v>41.083111890483558</c:v>
                </c:pt>
                <c:pt idx="41">
                  <c:v>37.858809959346431</c:v>
                </c:pt>
                <c:pt idx="42">
                  <c:v>34.324631080923965</c:v>
                </c:pt>
                <c:pt idx="43">
                  <c:v>30.472696848029816</c:v>
                </c:pt>
                <c:pt idx="44">
                  <c:v>26.295077937074957</c:v>
                </c:pt>
                <c:pt idx="45">
                  <c:v>21.783794108063844</c:v>
                </c:pt>
                <c:pt idx="46">
                  <c:v>16.930814204600949</c:v>
                </c:pt>
                <c:pt idx="47">
                  <c:v>11.728056153888256</c:v>
                </c:pt>
                <c:pt idx="48">
                  <c:v>6.1673869667202226</c:v>
                </c:pt>
                <c:pt idx="49">
                  <c:v>0.24062273749239438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D3-4100-98B3-D362EC6DC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'68'!$AS$5:$AS$15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8D-4A0A-AB1F-E9DB8AEB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'68'!$AS$16:$AS$26</c:f>
              <c:numCache>
                <c:formatCode>0.000</c:formatCode>
                <c:ptCount val="11"/>
                <c:pt idx="0">
                  <c:v>8.3927395929999999</c:v>
                </c:pt>
                <c:pt idx="1">
                  <c:v>8.5722069290793588</c:v>
                </c:pt>
                <c:pt idx="2">
                  <c:v>8.6801812279521471</c:v>
                </c:pt>
                <c:pt idx="3">
                  <c:v>8.5872617323178115</c:v>
                </c:pt>
                <c:pt idx="4">
                  <c:v>8.2590920916768571</c:v>
                </c:pt>
                <c:pt idx="5">
                  <c:v>7.6984262980788793</c:v>
                </c:pt>
                <c:pt idx="6">
                  <c:v>6.9023570566737691</c:v>
                </c:pt>
                <c:pt idx="7">
                  <c:v>5.8346886172029615</c:v>
                </c:pt>
                <c:pt idx="8">
                  <c:v>4.4134553038576563</c:v>
                </c:pt>
                <c:pt idx="9">
                  <c:v>2.5135859236059614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9-4178-8E2F-E46804A72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'68'!$AT$5:$AT$15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1-4065-965C-02225BC9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'68'!$AT$16:$AT$26</c:f>
              <c:numCache>
                <c:formatCode>0.000</c:formatCode>
                <c:ptCount val="11"/>
                <c:pt idx="0">
                  <c:v>0.1061379239</c:v>
                </c:pt>
                <c:pt idx="1">
                  <c:v>0.11384780881719848</c:v>
                </c:pt>
                <c:pt idx="2">
                  <c:v>0.12062753178492813</c:v>
                </c:pt>
                <c:pt idx="3">
                  <c:v>0.1272013353122837</c:v>
                </c:pt>
                <c:pt idx="4">
                  <c:v>0.13411716467094512</c:v>
                </c:pt>
                <c:pt idx="5">
                  <c:v>0.14174673533514681</c:v>
                </c:pt>
                <c:pt idx="6">
                  <c:v>0.15028549400019486</c:v>
                </c:pt>
                <c:pt idx="7">
                  <c:v>0.15975262818193106</c:v>
                </c:pt>
                <c:pt idx="8">
                  <c:v>0.16999106615720766</c:v>
                </c:pt>
                <c:pt idx="9">
                  <c:v>0.18066730066945286</c:v>
                </c:pt>
                <c:pt idx="10">
                  <c:v>0.19127226344460491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18.5</c:v>
                </c:pt>
                <c:pt idx="2">
                  <c:v>37</c:v>
                </c:pt>
                <c:pt idx="3">
                  <c:v>55.5</c:v>
                </c:pt>
                <c:pt idx="4">
                  <c:v>74</c:v>
                </c:pt>
                <c:pt idx="5">
                  <c:v>92.5</c:v>
                </c:pt>
                <c:pt idx="6">
                  <c:v>111</c:v>
                </c:pt>
                <c:pt idx="7">
                  <c:v>129.5</c:v>
                </c:pt>
                <c:pt idx="8">
                  <c:v>148</c:v>
                </c:pt>
                <c:pt idx="9">
                  <c:v>166.5</c:v>
                </c:pt>
                <c:pt idx="10">
                  <c:v>185</c:v>
                </c:pt>
              </c:numCache>
            </c:numRef>
          </c:xVal>
          <c:yVal>
            <c:numRef>
              <c:f>'68'!$AU$16:$AU$26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0.15859117838083811</c:v>
                </c:pt>
                <c:pt idx="2">
                  <c:v>0.30169261270292064</c:v>
                </c:pt>
                <c:pt idx="3">
                  <c:v>0.42324710910542324</c:v>
                </c:pt>
                <c:pt idx="4">
                  <c:v>0.51573777387544972</c:v>
                </c:pt>
                <c:pt idx="5">
                  <c:v>0.57135414957708475</c:v>
                </c:pt>
                <c:pt idx="6">
                  <c:v>0.581992215128188</c:v>
                </c:pt>
                <c:pt idx="7">
                  <c:v>0.53925438582017493</c:v>
                </c:pt>
                <c:pt idx="8">
                  <c:v>0.43444951332474463</c:v>
                </c:pt>
                <c:pt idx="9">
                  <c:v>0.25859288569663874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2-4CF1-93B0-1DF1849F6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D-4B9E-885D-E7DD5104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53-412F-9BD6-1BADEB2B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'80'!$C$42:$C$91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B-45F6-ADBF-BED7400516A0}"/>
            </c:ext>
          </c:extLst>
        </c:ser>
        <c:ser>
          <c:idx val="1"/>
          <c:order val="1"/>
          <c:tx>
            <c:strRef>
              <c:f>'80'!$G$41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'80'!$G$42:$G$91</c:f>
              <c:numCache>
                <c:formatCode>0.000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6.5668666625196721</c:v>
                </c:pt>
                <c:pt idx="22">
                  <c:v>6.5637884356760576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5.9258343679374832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3.8368581738094178</c:v>
                </c:pt>
                <c:pt idx="41">
                  <c:v>3.566659306209047</c:v>
                </c:pt>
                <c:pt idx="42">
                  <c:v>3.2784211827663654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CB-45F6-ADBF-BED740051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4-42AC-AF5C-AF3E19181D5D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'80'!$K$42:$K$91</c:f>
              <c:numCache>
                <c:formatCode>0.000</c:formatCode>
                <c:ptCount val="50"/>
                <c:pt idx="0">
                  <c:v>-3.0450620460000001E-3</c:v>
                </c:pt>
                <c:pt idx="1">
                  <c:v>4.2727118978802096E-2</c:v>
                </c:pt>
                <c:pt idx="2">
                  <c:v>8.1789237687907704E-2</c:v>
                </c:pt>
                <c:pt idx="3">
                  <c:v>0.11549390212614624</c:v>
                </c:pt>
                <c:pt idx="4">
                  <c:v>0.14498080631361376</c:v>
                </c:pt>
                <c:pt idx="5">
                  <c:v>0.17119699094482382</c:v>
                </c:pt>
                <c:pt idx="6">
                  <c:v>0.19491619195316731</c:v>
                </c:pt>
                <c:pt idx="7">
                  <c:v>0.21675727694067992</c:v>
                </c:pt>
                <c:pt idx="8">
                  <c:v>0.23720176947312235</c:v>
                </c:pt>
                <c:pt idx="9">
                  <c:v>0.25661046124036824</c:v>
                </c:pt>
                <c:pt idx="10">
                  <c:v>0.27523911208210239</c:v>
                </c:pt>
                <c:pt idx="11">
                  <c:v>0.29325323787882995</c:v>
                </c:pt>
                <c:pt idx="12">
                  <c:v>0.31074198630819327</c:v>
                </c:pt>
                <c:pt idx="13">
                  <c:v>0.32773110046659854</c:v>
                </c:pt>
                <c:pt idx="14">
                  <c:v>0.34419497035615926</c:v>
                </c:pt>
                <c:pt idx="15">
                  <c:v>0.36006777223693459</c:v>
                </c:pt>
                <c:pt idx="16">
                  <c:v>0.37525369584449181</c:v>
                </c:pt>
                <c:pt idx="17">
                  <c:v>0.38963625947277314</c:v>
                </c:pt>
                <c:pt idx="18">
                  <c:v>0.40308671292227038</c:v>
                </c:pt>
                <c:pt idx="19">
                  <c:v>0.41547152831351319</c:v>
                </c:pt>
                <c:pt idx="20">
                  <c:v>0.42665897876586195</c:v>
                </c:pt>
                <c:pt idx="21">
                  <c:v>0.43652480494161877</c:v>
                </c:pt>
                <c:pt idx="22">
                  <c:v>0.44495696945543928</c:v>
                </c:pt>
                <c:pt idx="23">
                  <c:v>0.45185949914905899</c:v>
                </c:pt>
                <c:pt idx="24">
                  <c:v>0.45715541523132897</c:v>
                </c:pt>
                <c:pt idx="25">
                  <c:v>0.46078875128355962</c:v>
                </c:pt>
                <c:pt idx="26">
                  <c:v>0.46272565913017888</c:v>
                </c:pt>
                <c:pt idx="27">
                  <c:v>0.46295460257469218</c:v>
                </c:pt>
                <c:pt idx="28">
                  <c:v>0.46148563900095962</c:v>
                </c:pt>
                <c:pt idx="29">
                  <c:v>0.45834878883977692</c:v>
                </c:pt>
                <c:pt idx="30">
                  <c:v>0.45359149290078077</c:v>
                </c:pt>
                <c:pt idx="31">
                  <c:v>0.44727515756963243</c:v>
                </c:pt>
                <c:pt idx="32">
                  <c:v>0.43947078787054494</c:v>
                </c:pt>
                <c:pt idx="33">
                  <c:v>0.4302537083941107</c:v>
                </c:pt>
                <c:pt idx="34">
                  <c:v>0.41969737209042079</c:v>
                </c:pt>
                <c:pt idx="35">
                  <c:v>0.40786625692751644</c:v>
                </c:pt>
                <c:pt idx="36">
                  <c:v>0.394807850415138</c:v>
                </c:pt>
                <c:pt idx="37">
                  <c:v>0.38054372199378916</c:v>
                </c:pt>
                <c:pt idx="38">
                  <c:v>0.36505968328911481</c:v>
                </c:pt>
                <c:pt idx="39">
                  <c:v>0.34829503623156255</c:v>
                </c:pt>
                <c:pt idx="40">
                  <c:v>0.33013090904140541</c:v>
                </c:pt>
                <c:pt idx="41">
                  <c:v>0.31037768007901034</c:v>
                </c:pt>
                <c:pt idx="42">
                  <c:v>0.28876148956048381</c:v>
                </c:pt>
                <c:pt idx="43">
                  <c:v>0.2649098391385587</c:v>
                </c:pt>
                <c:pt idx="44">
                  <c:v>0.23833627934884474</c:v>
                </c:pt>
                <c:pt idx="45">
                  <c:v>0.20842418492135495</c:v>
                </c:pt>
                <c:pt idx="46">
                  <c:v>0.17440961795741258</c:v>
                </c:pt>
                <c:pt idx="47">
                  <c:v>0.13536327897169032</c:v>
                </c:pt>
                <c:pt idx="48">
                  <c:v>9.0171545799826169E-2</c:v>
                </c:pt>
                <c:pt idx="49">
                  <c:v>3.7516600371056939E-2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24-42AC-AF5C-AF3E19181D5D}"/>
            </c:ext>
          </c:extLst>
        </c:ser>
        <c:ser>
          <c:idx val="2"/>
          <c:order val="2"/>
          <c:tx>
            <c:strRef>
              <c:f>'80'!$N$41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'80'!$N$42:$N$91</c:f>
              <c:numCache>
                <c:formatCode>0.000</c:formatCode>
                <c:ptCount val="50"/>
                <c:pt idx="0">
                  <c:v>0</c:v>
                </c:pt>
                <c:pt idx="1">
                  <c:v>4.0137149734255126E-2</c:v>
                </c:pt>
                <c:pt idx="2">
                  <c:v>7.7068849541738094E-2</c:v>
                </c:pt>
                <c:pt idx="3">
                  <c:v>0.11068639493426057</c:v>
                </c:pt>
                <c:pt idx="4">
                  <c:v>0.14113775922208899</c:v>
                </c:pt>
                <c:pt idx="5">
                  <c:v>0.16872626397551513</c:v>
                </c:pt>
                <c:pt idx="6">
                  <c:v>0.1938341680138157</c:v>
                </c:pt>
                <c:pt idx="7">
                  <c:v>0.21686658087820493</c:v>
                </c:pt>
                <c:pt idx="8">
                  <c:v>0.23821183859873427</c:v>
                </c:pt>
                <c:pt idx="9">
                  <c:v>0.25821508103105151</c:v>
                </c:pt>
                <c:pt idx="10">
                  <c:v>0.27716227560592138</c:v>
                </c:pt>
                <c:pt idx="11">
                  <c:v>0.29527236468512469</c:v>
                </c:pt>
                <c:pt idx="12">
                  <c:v>0.31269558772182621</c:v>
                </c:pt>
                <c:pt idx="13">
                  <c:v>0.32951635490147307</c:v>
                </c:pt>
                <c:pt idx="14">
                  <c:v>0.34575933254622887</c:v>
                </c:pt>
                <c:pt idx="15">
                  <c:v>0.36139764705266836</c:v>
                </c:pt>
                <c:pt idx="16">
                  <c:v>0.37636232716079149</c:v>
                </c:pt>
                <c:pt idx="17">
                  <c:v>0.39055228699784739</c:v>
                </c:pt>
                <c:pt idx="18">
                  <c:v>0.40384430738319366</c:v>
                </c:pt>
                <c:pt idx="19">
                  <c:v>0.41610260295340651</c:v>
                </c:pt>
                <c:pt idx="20">
                  <c:v>0.42718767031570387</c:v>
                </c:pt>
                <c:pt idx="21">
                  <c:v>0.43696420012809845</c:v>
                </c:pt>
                <c:pt idx="22">
                  <c:v>0.4453079061019885</c:v>
                </c:pt>
                <c:pt idx="23">
                  <c:v>0.45211117866183781</c:v>
                </c:pt>
                <c:pt idx="24">
                  <c:v>0.45728751244964461</c:v>
                </c:pt>
                <c:pt idx="25">
                  <c:v>0.46077468691191981</c:v>
                </c:pt>
                <c:pt idx="26">
                  <c:v>0.46253669952747029</c:v>
                </c:pt>
                <c:pt idx="27">
                  <c:v>0.46256446327610967</c:v>
                </c:pt>
                <c:pt idx="28">
                  <c:v>0.46087528493269242</c:v>
                </c:pt>
                <c:pt idx="29">
                  <c:v>0.45751113968619334</c:v>
                </c:pt>
                <c:pt idx="30">
                  <c:v>0.45253575118586808</c:v>
                </c:pt>
                <c:pt idx="31">
                  <c:v>0.4460304749282254</c:v>
                </c:pt>
                <c:pt idx="32">
                  <c:v>0.43808896720611817</c:v>
                </c:pt>
                <c:pt idx="33">
                  <c:v>0.42881060168733265</c:v>
                </c:pt>
                <c:pt idx="34">
                  <c:v>0.41829257085820154</c:v>
                </c:pt>
                <c:pt idx="35">
                  <c:v>0.40662057955701852</c:v>
                </c:pt>
                <c:pt idx="36">
                  <c:v>0.39385800180498787</c:v>
                </c:pt>
                <c:pt idx="37">
                  <c:v>0.38003332890645714</c:v>
                </c:pt>
                <c:pt idx="38">
                  <c:v>0.36512568464800538</c:v>
                </c:pt>
                <c:pt idx="39">
                  <c:v>0.34904812009406477</c:v>
                </c:pt>
                <c:pt idx="40">
                  <c:v>0.33162832289945798</c:v>
                </c:pt>
                <c:pt idx="41">
                  <c:v>0.31258628016919521</c:v>
                </c:pt>
                <c:pt idx="42">
                  <c:v>0.29150831427211049</c:v>
                </c:pt>
                <c:pt idx="43">
                  <c:v>0.26781676040843144</c:v>
                </c:pt>
                <c:pt idx="44">
                  <c:v>0.24073436339525184</c:v>
                </c:pt>
                <c:pt idx="45">
                  <c:v>0.20924222586517963</c:v>
                </c:pt>
                <c:pt idx="46">
                  <c:v>0.17202982284998322</c:v>
                </c:pt>
                <c:pt idx="47">
                  <c:v>0.12743518371656726</c:v>
                </c:pt>
                <c:pt idx="48">
                  <c:v>7.3372797113937085E-2</c:v>
                </c:pt>
                <c:pt idx="49">
                  <c:v>7.2460694693737742E-3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24-42AC-AF5C-AF3E19181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'80'!$E$41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'80'!$E$42:$E$91</c:f>
              <c:numCache>
                <c:formatCode>0.000</c:formatCode>
                <c:ptCount val="50"/>
                <c:pt idx="0">
                  <c:v>0</c:v>
                </c:pt>
                <c:pt idx="1">
                  <c:v>0.14512309916006499</c:v>
                </c:pt>
                <c:pt idx="2">
                  <c:v>0.15095044707237301</c:v>
                </c:pt>
                <c:pt idx="3">
                  <c:v>0.15914543217941801</c:v>
                </c:pt>
                <c:pt idx="4">
                  <c:v>0.16751381282935399</c:v>
                </c:pt>
                <c:pt idx="5">
                  <c:v>0.17567704549647201</c:v>
                </c:pt>
                <c:pt idx="6">
                  <c:v>0.18355702961090001</c:v>
                </c:pt>
                <c:pt idx="7">
                  <c:v>0.19116732668253</c:v>
                </c:pt>
                <c:pt idx="8">
                  <c:v>0.19855793315949</c:v>
                </c:pt>
                <c:pt idx="9">
                  <c:v>0.205793246445795</c:v>
                </c:pt>
                <c:pt idx="10">
                  <c:v>0.21294033320904199</c:v>
                </c:pt>
                <c:pt idx="11">
                  <c:v>0.22006172873173899</c:v>
                </c:pt>
                <c:pt idx="12">
                  <c:v>0.22721100584340101</c:v>
                </c:pt>
                <c:pt idx="13">
                  <c:v>0.23443039074616301</c:v>
                </c:pt>
                <c:pt idx="14">
                  <c:v>0.241749953237437</c:v>
                </c:pt>
                <c:pt idx="15">
                  <c:v>0.249187951553383</c:v>
                </c:pt>
                <c:pt idx="16">
                  <c:v>0.25675194297960702</c:v>
                </c:pt>
                <c:pt idx="17">
                  <c:v>0.26444032376009902</c:v>
                </c:pt>
                <c:pt idx="18">
                  <c:v>0.27224403397746599</c:v>
                </c:pt>
                <c:pt idx="19">
                  <c:v>0.280148241373117</c:v>
                </c:pt>
                <c:pt idx="20">
                  <c:v>0.28813389008009299</c:v>
                </c:pt>
                <c:pt idx="21">
                  <c:v>0.29617905865568001</c:v>
                </c:pt>
                <c:pt idx="22">
                  <c:v>0.304260114315204</c:v>
                </c:pt>
                <c:pt idx="23">
                  <c:v>0.31235267792433002</c:v>
                </c:pt>
                <c:pt idx="24">
                  <c:v>0.32043242976043201</c:v>
                </c:pt>
                <c:pt idx="25">
                  <c:v>0.328475792283417</c:v>
                </c:pt>
                <c:pt idx="26">
                  <c:v>0.33646052570534701</c:v>
                </c:pt>
                <c:pt idx="27">
                  <c:v>0.34436626678142002</c:v>
                </c:pt>
                <c:pt idx="28">
                  <c:v>0.352175031869224</c:v>
                </c:pt>
                <c:pt idx="29">
                  <c:v>0.35987169201951302</c:v>
                </c:pt>
                <c:pt idx="30">
                  <c:v>0.36744441006411999</c:v>
                </c:pt>
                <c:pt idx="31">
                  <c:v>0.37488500613651599</c:v>
                </c:pt>
                <c:pt idx="32">
                  <c:v>0.38218918701379301</c:v>
                </c:pt>
                <c:pt idx="33">
                  <c:v>0.389356533679309</c:v>
                </c:pt>
                <c:pt idx="34">
                  <c:v>0.39639008713511498</c:v>
                </c:pt>
                <c:pt idx="35">
                  <c:v>0.403295299250513</c:v>
                </c:pt>
                <c:pt idx="36">
                  <c:v>0.41007801322995902</c:v>
                </c:pt>
                <c:pt idx="37">
                  <c:v>0.416740986649203</c:v>
                </c:pt>
                <c:pt idx="38">
                  <c:v>0.42327822521049402</c:v>
                </c:pt>
                <c:pt idx="39">
                  <c:v>0.42966596156333298</c:v>
                </c:pt>
                <c:pt idx="40">
                  <c:v>0.43584827574659302</c:v>
                </c:pt>
                <c:pt idx="41">
                  <c:v>0.441713612425643</c:v>
                </c:pt>
                <c:pt idx="42">
                  <c:v>0.44705457803606602</c:v>
                </c:pt>
                <c:pt idx="43">
                  <c:v>0.45149413830462898</c:v>
                </c:pt>
                <c:pt idx="44">
                  <c:v>0.45433707490244202</c:v>
                </c:pt>
                <c:pt idx="45">
                  <c:v>0.45423390005331499</c:v>
                </c:pt>
                <c:pt idx="46">
                  <c:v>0.44829479504393099</c:v>
                </c:pt>
                <c:pt idx="47">
                  <c:v>0.42918634722172899</c:v>
                </c:pt>
                <c:pt idx="48">
                  <c:v>0.37152911177506298</c:v>
                </c:pt>
                <c:pt idx="49">
                  <c:v>8.8182686266150598E-2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E-424E-AB16-EEF68DB5EB38}"/>
            </c:ext>
          </c:extLst>
        </c:ser>
        <c:ser>
          <c:idx val="1"/>
          <c:order val="1"/>
          <c:tx>
            <c:strRef>
              <c:f>'80'!$I$41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'80'!$I$42:$I$91</c:f>
              <c:numCache>
                <c:formatCode>0.000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E-424E-AB16-EEF68DB5EB38}"/>
            </c:ext>
          </c:extLst>
        </c:ser>
        <c:ser>
          <c:idx val="2"/>
          <c:order val="2"/>
          <c:tx>
            <c:strRef>
              <c:f>'80'!$M$41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'80'!$B$42:$B$91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90.918367346938695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173.57142857142799</c:v>
                </c:pt>
                <c:pt idx="22">
                  <c:v>181.83673469387699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239.69387755101999</c:v>
                </c:pt>
                <c:pt idx="30">
                  <c:v>247.959183673469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330.61224489795899</c:v>
                </c:pt>
                <c:pt idx="41">
                  <c:v>338.87755102040802</c:v>
                </c:pt>
                <c:pt idx="42">
                  <c:v>347.142857142857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'80'!$M$42:$M$91</c:f>
              <c:numCache>
                <c:formatCode>0.000</c:formatCode>
                <c:ptCount val="50"/>
                <c:pt idx="0">
                  <c:v>0</c:v>
                </c:pt>
                <c:pt idx="1">
                  <c:v>0.14526633176318343</c:v>
                </c:pt>
                <c:pt idx="2">
                  <c:v>0.15109943111144894</c:v>
                </c:pt>
                <c:pt idx="3">
                  <c:v>0.15930250444880428</c:v>
                </c:pt>
                <c:pt idx="4">
                  <c:v>0.1676791444657979</c:v>
                </c:pt>
                <c:pt idx="5">
                  <c:v>0.17585043402441969</c:v>
                </c:pt>
                <c:pt idx="6">
                  <c:v>0.18373819547163506</c:v>
                </c:pt>
                <c:pt idx="7">
                  <c:v>0.19135600370218078</c:v>
                </c:pt>
                <c:pt idx="8">
                  <c:v>0.19875390450933669</c:v>
                </c:pt>
                <c:pt idx="9">
                  <c:v>0.20599635885562692</c:v>
                </c:pt>
                <c:pt idx="10">
                  <c:v>0.21315049960164964</c:v>
                </c:pt>
                <c:pt idx="11">
                  <c:v>0.2202789237505576</c:v>
                </c:pt>
                <c:pt idx="12">
                  <c:v>0.22743525700680972</c:v>
                </c:pt>
                <c:pt idx="13">
                  <c:v>0.23466176724867041</c:v>
                </c:pt>
                <c:pt idx="14">
                  <c:v>0.24198855395163313</c:v>
                </c:pt>
                <c:pt idx="15">
                  <c:v>0.24943389337224792</c:v>
                </c:pt>
                <c:pt idx="16">
                  <c:v>0.25700535025495852</c:v>
                </c:pt>
                <c:pt idx="17">
                  <c:v>0.26470131926089019</c:v>
                </c:pt>
                <c:pt idx="18">
                  <c:v>0.27251273153075584</c:v>
                </c:pt>
                <c:pt idx="19">
                  <c:v>0.28042474016692098</c:v>
                </c:pt>
                <c:pt idx="20">
                  <c:v>0.28841827049480084</c:v>
                </c:pt>
                <c:pt idx="21">
                  <c:v>0.29647137943580304</c:v>
                </c:pt>
                <c:pt idx="22">
                  <c:v>0.30456041088033192</c:v>
                </c:pt>
                <c:pt idx="23">
                  <c:v>0.31266096163249935</c:v>
                </c:pt>
                <c:pt idx="24">
                  <c:v>0.32074868796676709</c:v>
                </c:pt>
                <c:pt idx="25">
                  <c:v>0.32879998907264302</c:v>
                </c:pt>
                <c:pt idx="26">
                  <c:v>0.33679260321211346</c:v>
                </c:pt>
                <c:pt idx="27">
                  <c:v>0.34470614704240254</c:v>
                </c:pt>
                <c:pt idx="28">
                  <c:v>0.35252261917172623</c:v>
                </c:pt>
                <c:pt idx="29">
                  <c:v>0.36022687571897205</c:v>
                </c:pt>
                <c:pt idx="30">
                  <c:v>0.36780706783300243</c:v>
                </c:pt>
                <c:pt idx="31">
                  <c:v>0.37525500757398167</c:v>
                </c:pt>
                <c:pt idx="32">
                  <c:v>0.38256639748170856</c:v>
                </c:pt>
                <c:pt idx="33">
                  <c:v>0.38974081812597966</c:v>
                </c:pt>
                <c:pt idx="34">
                  <c:v>0.39678131351023604</c:v>
                </c:pt>
                <c:pt idx="35">
                  <c:v>0.40369334088462361</c:v>
                </c:pt>
                <c:pt idx="36">
                  <c:v>0.4104827492206885</c:v>
                </c:pt>
                <c:pt idx="37">
                  <c:v>0.41715229881583477</c:v>
                </c:pt>
                <c:pt idx="38">
                  <c:v>0.42369598945609338</c:v>
                </c:pt>
                <c:pt idx="39">
                  <c:v>0.43009003033323995</c:v>
                </c:pt>
                <c:pt idx="40">
                  <c:v>0.43627844629464169</c:v>
                </c:pt>
                <c:pt idx="41">
                  <c:v>0.44214957190355159</c:v>
                </c:pt>
                <c:pt idx="42">
                  <c:v>0.44749580890364621</c:v>
                </c:pt>
                <c:pt idx="43">
                  <c:v>0.45193975089900407</c:v>
                </c:pt>
                <c:pt idx="44">
                  <c:v>0.4547854933989246</c:v>
                </c:pt>
                <c:pt idx="45">
                  <c:v>0.45468221671901382</c:v>
                </c:pt>
                <c:pt idx="46">
                  <c:v>0.44873724997241415</c:v>
                </c:pt>
                <c:pt idx="47">
                  <c:v>0.42960994262517727</c:v>
                </c:pt>
                <c:pt idx="48">
                  <c:v>0.37189580103484587</c:v>
                </c:pt>
                <c:pt idx="49">
                  <c:v>8.8269720210277847E-2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E-424E-AB16-EEF68DB5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B-45F6-B509-D34D1D8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5-40FE-A347-F3B7051B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'80'!$Q$42:$Q$91</c:f>
              <c:numCache>
                <c:formatCode>General</c:formatCode>
                <c:ptCount val="50"/>
                <c:pt idx="0">
                  <c:v>6.610528854</c:v>
                </c:pt>
                <c:pt idx="1">
                  <c:v>6.6138504699068799</c:v>
                </c:pt>
                <c:pt idx="2">
                  <c:v>6.5843784654941704</c:v>
                </c:pt>
                <c:pt idx="3">
                  <c:v>6.5350090837431196</c:v>
                </c:pt>
                <c:pt idx="4">
                  <c:v>6.4761270581843702</c:v>
                </c:pt>
                <c:pt idx="5">
                  <c:v>6.4158670979208798</c:v>
                </c:pt>
                <c:pt idx="6">
                  <c:v>6.3603630563142897</c:v>
                </c:pt>
                <c:pt idx="7">
                  <c:v>6.3139847833345097</c:v>
                </c:pt>
                <c:pt idx="8">
                  <c:v>6.2795626615726201</c:v>
                </c:pt>
                <c:pt idx="9">
                  <c:v>6.2585998259171101</c:v>
                </c:pt>
                <c:pt idx="10">
                  <c:v>6.2514720668934096</c:v>
                </c:pt>
                <c:pt idx="11">
                  <c:v>6.25761541766669</c:v>
                </c:pt>
                <c:pt idx="12">
                  <c:v>6.2757014247080596</c:v>
                </c:pt>
                <c:pt idx="13">
                  <c:v>6.3038001021239198</c:v>
                </c:pt>
                <c:pt idx="14">
                  <c:v>6.3395305696488098</c:v>
                </c:pt>
                <c:pt idx="15">
                  <c:v>6.3801993743013998</c:v>
                </c:pt>
                <c:pt idx="16">
                  <c:v>6.4229264957038499</c:v>
                </c:pt>
                <c:pt idx="17">
                  <c:v>6.4647590350645396</c:v>
                </c:pt>
                <c:pt idx="18">
                  <c:v>6.50277258782394</c:v>
                </c:pt>
                <c:pt idx="19">
                  <c:v>6.5341602999639896</c:v>
                </c:pt>
                <c:pt idx="20">
                  <c:v>6.55630960798063</c:v>
                </c:pt>
                <c:pt idx="21">
                  <c:v>6.5668666625196703</c:v>
                </c:pt>
                <c:pt idx="22">
                  <c:v>6.5637884356760496</c:v>
                </c:pt>
                <c:pt idx="23">
                  <c:v>6.5453825119562801</c:v>
                </c:pt>
                <c:pt idx="24">
                  <c:v>6.5103345629042799</c:v>
                </c:pt>
                <c:pt idx="25">
                  <c:v>6.4577235053904696</c:v>
                </c:pt>
                <c:pt idx="26">
                  <c:v>6.3870243435642102</c:v>
                </c:pt>
                <c:pt idx="27">
                  <c:v>6.2980986944695001</c:v>
                </c:pt>
                <c:pt idx="28">
                  <c:v>6.1911729973240597</c:v>
                </c:pt>
                <c:pt idx="29">
                  <c:v>6.0668044064615803</c:v>
                </c:pt>
                <c:pt idx="30">
                  <c:v>5.9258343679374397</c:v>
                </c:pt>
                <c:pt idx="31">
                  <c:v>5.7693298797976196</c:v>
                </c:pt>
                <c:pt idx="32">
                  <c:v>5.5985124360109104</c:v>
                </c:pt>
                <c:pt idx="33">
                  <c:v>5.4146746540646404</c:v>
                </c:pt>
                <c:pt idx="34">
                  <c:v>5.2190845862232598</c:v>
                </c:pt>
                <c:pt idx="35">
                  <c:v>5.0128777144507399</c:v>
                </c:pt>
                <c:pt idx="36">
                  <c:v>4.7969366289959599</c:v>
                </c:pt>
                <c:pt idx="37">
                  <c:v>4.5717583906416603</c:v>
                </c:pt>
                <c:pt idx="38">
                  <c:v>4.3373095766160699</c:v>
                </c:pt>
                <c:pt idx="39">
                  <c:v>4.0928690101687897</c:v>
                </c:pt>
                <c:pt idx="40">
                  <c:v>3.8368581738094099</c:v>
                </c:pt>
                <c:pt idx="41">
                  <c:v>3.5666593062090599</c:v>
                </c:pt>
                <c:pt idx="42">
                  <c:v>3.2784211827663698</c:v>
                </c:pt>
                <c:pt idx="43">
                  <c:v>2.96685257983563</c:v>
                </c:pt>
                <c:pt idx="44">
                  <c:v>2.6250034226190402</c:v>
                </c:pt>
                <c:pt idx="45">
                  <c:v>2.24403361672156</c:v>
                </c:pt>
                <c:pt idx="46">
                  <c:v>1.8129695633696401</c:v>
                </c:pt>
                <c:pt idx="47">
                  <c:v>1.3184483582931199</c:v>
                </c:pt>
                <c:pt idx="48">
                  <c:v>0.74444967427027098</c:v>
                </c:pt>
                <c:pt idx="49">
                  <c:v>7.2015327336600807E-2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8-4275-A67F-14EFAE160018}"/>
            </c:ext>
          </c:extLst>
        </c:ser>
        <c:ser>
          <c:idx val="1"/>
          <c:order val="1"/>
          <c:tx>
            <c:strRef>
              <c:f>'80'!$T$41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'80'!$T$42:$T$91</c:f>
              <c:numCache>
                <c:formatCode>0.00</c:formatCode>
                <c:ptCount val="50"/>
                <c:pt idx="0">
                  <c:v>6.610528854</c:v>
                </c:pt>
                <c:pt idx="1">
                  <c:v>6.6138504699068834</c:v>
                </c:pt>
                <c:pt idx="2">
                  <c:v>6.584378465494173</c:v>
                </c:pt>
                <c:pt idx="3">
                  <c:v>6.5350090837431294</c:v>
                </c:pt>
                <c:pt idx="4">
                  <c:v>6.4761270581843755</c:v>
                </c:pt>
                <c:pt idx="5">
                  <c:v>6.4158670979208869</c:v>
                </c:pt>
                <c:pt idx="6">
                  <c:v>6.3603630563142985</c:v>
                </c:pt>
                <c:pt idx="7">
                  <c:v>6.3139847833345133</c:v>
                </c:pt>
                <c:pt idx="8">
                  <c:v>6.2795626615726219</c:v>
                </c:pt>
                <c:pt idx="9">
                  <c:v>6.2585998259171136</c:v>
                </c:pt>
                <c:pt idx="10">
                  <c:v>6.2514720668934105</c:v>
                </c:pt>
                <c:pt idx="11">
                  <c:v>6.257615417666698</c:v>
                </c:pt>
                <c:pt idx="12">
                  <c:v>6.2757014247080614</c:v>
                </c:pt>
                <c:pt idx="13">
                  <c:v>6.3038001021239261</c:v>
                </c:pt>
                <c:pt idx="14">
                  <c:v>6.3395305696488142</c:v>
                </c:pt>
                <c:pt idx="15">
                  <c:v>6.3801993743014007</c:v>
                </c:pt>
                <c:pt idx="16">
                  <c:v>6.4229264957038561</c:v>
                </c:pt>
                <c:pt idx="17">
                  <c:v>6.464759035064537</c:v>
                </c:pt>
                <c:pt idx="18">
                  <c:v>6.5027725878239391</c:v>
                </c:pt>
                <c:pt idx="19">
                  <c:v>6.5341602999639985</c:v>
                </c:pt>
                <c:pt idx="20">
                  <c:v>6.5563096079806318</c:v>
                </c:pt>
                <c:pt idx="21">
                  <c:v>6.5668666625196757</c:v>
                </c:pt>
                <c:pt idx="22">
                  <c:v>6.5637884356760585</c:v>
                </c:pt>
                <c:pt idx="23">
                  <c:v>6.5453825119562925</c:v>
                </c:pt>
                <c:pt idx="24">
                  <c:v>6.5103345629042888</c:v>
                </c:pt>
                <c:pt idx="25">
                  <c:v>6.4577235053904714</c:v>
                </c:pt>
                <c:pt idx="26">
                  <c:v>6.3870243435642182</c:v>
                </c:pt>
                <c:pt idx="27">
                  <c:v>6.2980986944695241</c:v>
                </c:pt>
                <c:pt idx="28">
                  <c:v>6.1911729973240828</c:v>
                </c:pt>
                <c:pt idx="29">
                  <c:v>6.0668044064616051</c:v>
                </c:pt>
                <c:pt idx="30">
                  <c:v>5.925834367937469</c:v>
                </c:pt>
                <c:pt idx="31">
                  <c:v>5.769329879797656</c:v>
                </c:pt>
                <c:pt idx="32">
                  <c:v>5.5985124360109424</c:v>
                </c:pt>
                <c:pt idx="33">
                  <c:v>5.4146746540646333</c:v>
                </c:pt>
                <c:pt idx="34">
                  <c:v>5.2190845862232642</c:v>
                </c:pt>
                <c:pt idx="35">
                  <c:v>5.0128777144507417</c:v>
                </c:pt>
                <c:pt idx="36">
                  <c:v>4.7969366289960149</c:v>
                </c:pt>
                <c:pt idx="37">
                  <c:v>4.5717583906416479</c:v>
                </c:pt>
                <c:pt idx="38">
                  <c:v>4.3373095766161072</c:v>
                </c:pt>
                <c:pt idx="39">
                  <c:v>4.0928690101688332</c:v>
                </c:pt>
                <c:pt idx="40">
                  <c:v>3.8368581738094463</c:v>
                </c:pt>
                <c:pt idx="41">
                  <c:v>3.566659306209047</c:v>
                </c:pt>
                <c:pt idx="42">
                  <c:v>3.2784211827664365</c:v>
                </c:pt>
                <c:pt idx="43">
                  <c:v>2.9668525798356882</c:v>
                </c:pt>
                <c:pt idx="44">
                  <c:v>2.6250034226190735</c:v>
                </c:pt>
                <c:pt idx="45">
                  <c:v>2.2440336167215094</c:v>
                </c:pt>
                <c:pt idx="46">
                  <c:v>1.8129695633696485</c:v>
                </c:pt>
                <c:pt idx="47">
                  <c:v>1.3184483582930682</c:v>
                </c:pt>
                <c:pt idx="48">
                  <c:v>0.74444967427038478</c:v>
                </c:pt>
                <c:pt idx="49">
                  <c:v>7.2015327336629298E-2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8-4275-A67F-14EFAE160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'80'!$S$42:$S$91</c:f>
              <c:numCache>
                <c:formatCode>General</c:formatCode>
                <c:ptCount val="50"/>
                <c:pt idx="0">
                  <c:v>0.149076087</c:v>
                </c:pt>
                <c:pt idx="1">
                  <c:v>0.15464007489207593</c:v>
                </c:pt>
                <c:pt idx="2">
                  <c:v>0.16035411660049576</c:v>
                </c:pt>
                <c:pt idx="3">
                  <c:v>0.1662215836750984</c:v>
                </c:pt>
                <c:pt idx="4">
                  <c:v>0.17224488826108264</c:v>
                </c:pt>
                <c:pt idx="5">
                  <c:v>0.1784254830990073</c:v>
                </c:pt>
                <c:pt idx="6">
                  <c:v>0.18476386152479141</c:v>
                </c:pt>
                <c:pt idx="7">
                  <c:v>0.19125955746971379</c:v>
                </c:pt>
                <c:pt idx="8">
                  <c:v>0.19791114546041355</c:v>
                </c:pt>
                <c:pt idx="9">
                  <c:v>0.20471624061888968</c:v>
                </c:pt>
                <c:pt idx="10">
                  <c:v>0.21167149866250118</c:v>
                </c:pt>
                <c:pt idx="11">
                  <c:v>0.21877261590396718</c:v>
                </c:pt>
                <c:pt idx="12">
                  <c:v>0.22601432925136686</c:v>
                </c:pt>
                <c:pt idx="13">
                  <c:v>0.23339041620813872</c:v>
                </c:pt>
                <c:pt idx="14">
                  <c:v>0.24089369487308332</c:v>
                </c:pt>
                <c:pt idx="15">
                  <c:v>0.24851602394035913</c:v>
                </c:pt>
                <c:pt idx="16">
                  <c:v>0.25624830269948551</c:v>
                </c:pt>
                <c:pt idx="17">
                  <c:v>0.26408047103534193</c:v>
                </c:pt>
                <c:pt idx="18">
                  <c:v>0.27200150942816748</c:v>
                </c:pt>
                <c:pt idx="19">
                  <c:v>0.27999943895356172</c:v>
                </c:pt>
                <c:pt idx="20">
                  <c:v>0.28806132128248407</c:v>
                </c:pt>
                <c:pt idx="21">
                  <c:v>0.2961732586812541</c:v>
                </c:pt>
                <c:pt idx="22">
                  <c:v>0.30432039401155098</c:v>
                </c:pt>
                <c:pt idx="23">
                  <c:v>0.31248691073041468</c:v>
                </c:pt>
                <c:pt idx="24">
                  <c:v>0.32065603289024458</c:v>
                </c:pt>
                <c:pt idx="25">
                  <c:v>0.32881002513880042</c:v>
                </c:pt>
                <c:pt idx="26">
                  <c:v>0.3369301927192016</c:v>
                </c:pt>
                <c:pt idx="27">
                  <c:v>0.34499688146992802</c:v>
                </c:pt>
                <c:pt idx="28">
                  <c:v>0.35298947782481954</c:v>
                </c:pt>
                <c:pt idx="29">
                  <c:v>0.36088640881307554</c:v>
                </c:pt>
                <c:pt idx="30">
                  <c:v>0.36866514205925627</c:v>
                </c:pt>
                <c:pt idx="31">
                  <c:v>0.37630218578328128</c:v>
                </c:pt>
                <c:pt idx="32">
                  <c:v>0.38377308880043065</c:v>
                </c:pt>
                <c:pt idx="33">
                  <c:v>0.39105244052134402</c:v>
                </c:pt>
                <c:pt idx="34">
                  <c:v>0.39811387095202166</c:v>
                </c:pt>
                <c:pt idx="35">
                  <c:v>0.40493005069382343</c:v>
                </c:pt>
                <c:pt idx="36">
                  <c:v>0.41147269094346944</c:v>
                </c:pt>
                <c:pt idx="37">
                  <c:v>0.41771254349303955</c:v>
                </c:pt>
                <c:pt idx="38">
                  <c:v>0.42361940072997417</c:v>
                </c:pt>
                <c:pt idx="39">
                  <c:v>0.42916209563707325</c:v>
                </c:pt>
                <c:pt idx="40">
                  <c:v>0.43430850179249697</c:v>
                </c:pt>
                <c:pt idx="41">
                  <c:v>0.43902553336976563</c:v>
                </c:pt>
                <c:pt idx="42">
                  <c:v>0.44327914513775957</c:v>
                </c:pt>
                <c:pt idx="43">
                  <c:v>0.44703433246071894</c:v>
                </c:pt>
                <c:pt idx="44">
                  <c:v>0.4502551312982439</c:v>
                </c:pt>
                <c:pt idx="45">
                  <c:v>0.45290461820529515</c:v>
                </c:pt>
                <c:pt idx="46">
                  <c:v>0.4549449103321932</c:v>
                </c:pt>
                <c:pt idx="47">
                  <c:v>0.456337165424618</c:v>
                </c:pt>
                <c:pt idx="48">
                  <c:v>0.45704158182361049</c:v>
                </c:pt>
                <c:pt idx="49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'80'!$U$42:$U$91</c:f>
              <c:numCache>
                <c:formatCode>0.00</c:formatCode>
                <c:ptCount val="50"/>
                <c:pt idx="0">
                  <c:v>149.076087</c:v>
                </c:pt>
                <c:pt idx="1">
                  <c:v>154.64007489207592</c:v>
                </c:pt>
                <c:pt idx="2">
                  <c:v>160.35411660049576</c:v>
                </c:pt>
                <c:pt idx="3">
                  <c:v>166.2215836750984</c:v>
                </c:pt>
                <c:pt idx="4">
                  <c:v>172.24488826108265</c:v>
                </c:pt>
                <c:pt idx="5">
                  <c:v>178.42548309900729</c:v>
                </c:pt>
                <c:pt idx="6">
                  <c:v>184.76386152479139</c:v>
                </c:pt>
                <c:pt idx="7">
                  <c:v>191.2595574697138</c:v>
                </c:pt>
                <c:pt idx="8">
                  <c:v>197.91114546041356</c:v>
                </c:pt>
                <c:pt idx="9">
                  <c:v>204.71624061888969</c:v>
                </c:pt>
                <c:pt idx="10">
                  <c:v>211.67149866250116</c:v>
                </c:pt>
                <c:pt idx="11">
                  <c:v>218.77261590396722</c:v>
                </c:pt>
                <c:pt idx="12">
                  <c:v>226.01432925136686</c:v>
                </c:pt>
                <c:pt idx="13">
                  <c:v>233.39041620813873</c:v>
                </c:pt>
                <c:pt idx="14">
                  <c:v>240.89369487308332</c:v>
                </c:pt>
                <c:pt idx="15">
                  <c:v>248.51602394035913</c:v>
                </c:pt>
                <c:pt idx="16">
                  <c:v>256.24830269948552</c:v>
                </c:pt>
                <c:pt idx="17">
                  <c:v>264.08047103534193</c:v>
                </c:pt>
                <c:pt idx="18">
                  <c:v>272.00150942816748</c:v>
                </c:pt>
                <c:pt idx="19">
                  <c:v>279.99943895356171</c:v>
                </c:pt>
                <c:pt idx="20">
                  <c:v>288.06132128248407</c:v>
                </c:pt>
                <c:pt idx="21">
                  <c:v>296.17325868125397</c:v>
                </c:pt>
                <c:pt idx="22">
                  <c:v>304.32039401155106</c:v>
                </c:pt>
                <c:pt idx="23">
                  <c:v>312.48691073041471</c:v>
                </c:pt>
                <c:pt idx="24">
                  <c:v>320.6560328902446</c:v>
                </c:pt>
                <c:pt idx="25">
                  <c:v>328.81002513880043</c:v>
                </c:pt>
                <c:pt idx="26">
                  <c:v>336.93019271920161</c:v>
                </c:pt>
                <c:pt idx="27">
                  <c:v>344.99688146992804</c:v>
                </c:pt>
                <c:pt idx="28">
                  <c:v>352.98947782481952</c:v>
                </c:pt>
                <c:pt idx="29">
                  <c:v>360.88640881307555</c:v>
                </c:pt>
                <c:pt idx="30">
                  <c:v>368.66514205925625</c:v>
                </c:pt>
                <c:pt idx="31">
                  <c:v>376.30218578328129</c:v>
                </c:pt>
                <c:pt idx="32">
                  <c:v>383.77308880043063</c:v>
                </c:pt>
                <c:pt idx="33">
                  <c:v>391.05244052134401</c:v>
                </c:pt>
                <c:pt idx="34">
                  <c:v>398.11387095202167</c:v>
                </c:pt>
                <c:pt idx="35">
                  <c:v>404.93005069382343</c:v>
                </c:pt>
                <c:pt idx="36">
                  <c:v>411.47269094346944</c:v>
                </c:pt>
                <c:pt idx="37">
                  <c:v>417.71254349303956</c:v>
                </c:pt>
                <c:pt idx="38">
                  <c:v>423.61940072997419</c:v>
                </c:pt>
                <c:pt idx="39">
                  <c:v>429.16209563707326</c:v>
                </c:pt>
                <c:pt idx="40">
                  <c:v>434.30850179249694</c:v>
                </c:pt>
                <c:pt idx="41">
                  <c:v>439.02553336976564</c:v>
                </c:pt>
                <c:pt idx="42">
                  <c:v>443.27914513775943</c:v>
                </c:pt>
                <c:pt idx="43">
                  <c:v>447.03433246071893</c:v>
                </c:pt>
                <c:pt idx="44">
                  <c:v>450.2551312982439</c:v>
                </c:pt>
                <c:pt idx="45">
                  <c:v>452.90461820529515</c:v>
                </c:pt>
                <c:pt idx="46">
                  <c:v>454.94491033219322</c:v>
                </c:pt>
                <c:pt idx="47">
                  <c:v>456.33716542461798</c:v>
                </c:pt>
                <c:pt idx="48">
                  <c:v>457.0415818236105</c:v>
                </c:pt>
                <c:pt idx="49">
                  <c:v>457.01739846557092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A-4B63-8313-DF177E04A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4.2727118978801999E-2</c:v>
                </c:pt>
                <c:pt idx="2">
                  <c:v>8.1789237687907898E-2</c:v>
                </c:pt>
                <c:pt idx="3">
                  <c:v>0.11549390212614601</c:v>
                </c:pt>
                <c:pt idx="4">
                  <c:v>0.14498080631361299</c:v>
                </c:pt>
                <c:pt idx="5">
                  <c:v>0.17119699094482399</c:v>
                </c:pt>
                <c:pt idx="6">
                  <c:v>0.19491619195316701</c:v>
                </c:pt>
                <c:pt idx="7">
                  <c:v>0.21675727694068</c:v>
                </c:pt>
                <c:pt idx="8">
                  <c:v>0.23720176947312199</c:v>
                </c:pt>
                <c:pt idx="9">
                  <c:v>0.25661046124036802</c:v>
                </c:pt>
                <c:pt idx="10">
                  <c:v>0.275239112082102</c:v>
                </c:pt>
                <c:pt idx="11">
                  <c:v>0.29325323787883001</c:v>
                </c:pt>
                <c:pt idx="12">
                  <c:v>0.310741986308193</c:v>
                </c:pt>
                <c:pt idx="13">
                  <c:v>0.32773110046659998</c:v>
                </c:pt>
                <c:pt idx="14">
                  <c:v>0.34419497035615998</c:v>
                </c:pt>
                <c:pt idx="15">
                  <c:v>0.36006777223693598</c:v>
                </c:pt>
                <c:pt idx="16">
                  <c:v>0.37525369584449297</c:v>
                </c:pt>
                <c:pt idx="17">
                  <c:v>0.38963625947277403</c:v>
                </c:pt>
                <c:pt idx="18">
                  <c:v>0.403086712922271</c:v>
                </c:pt>
                <c:pt idx="19">
                  <c:v>0.41547152831351303</c:v>
                </c:pt>
                <c:pt idx="20">
                  <c:v>0.42665897876586201</c:v>
                </c:pt>
                <c:pt idx="21">
                  <c:v>0.43652480494161899</c:v>
                </c:pt>
                <c:pt idx="22">
                  <c:v>0.444956969455439</c:v>
                </c:pt>
                <c:pt idx="23">
                  <c:v>0.45185949914905899</c:v>
                </c:pt>
                <c:pt idx="24">
                  <c:v>0.45715541523132902</c:v>
                </c:pt>
                <c:pt idx="25">
                  <c:v>0.46078875128356001</c:v>
                </c:pt>
                <c:pt idx="26">
                  <c:v>0.46272565913017899</c:v>
                </c:pt>
                <c:pt idx="27">
                  <c:v>0.46295460257469101</c:v>
                </c:pt>
                <c:pt idx="28">
                  <c:v>0.46148563900095801</c:v>
                </c:pt>
                <c:pt idx="29">
                  <c:v>0.45834878883977698</c:v>
                </c:pt>
                <c:pt idx="30">
                  <c:v>0.45359149290077899</c:v>
                </c:pt>
                <c:pt idx="31">
                  <c:v>0.44727515756962899</c:v>
                </c:pt>
                <c:pt idx="32">
                  <c:v>0.439470787870543</c:v>
                </c:pt>
                <c:pt idx="33">
                  <c:v>0.43025370839410898</c:v>
                </c:pt>
                <c:pt idx="34">
                  <c:v>0.41969737209042002</c:v>
                </c:pt>
                <c:pt idx="35">
                  <c:v>0.40786625692751399</c:v>
                </c:pt>
                <c:pt idx="36">
                  <c:v>0.394807850415136</c:v>
                </c:pt>
                <c:pt idx="37">
                  <c:v>0.380543721993789</c:v>
                </c:pt>
                <c:pt idx="38">
                  <c:v>0.36505968328911098</c:v>
                </c:pt>
                <c:pt idx="39">
                  <c:v>0.34829503623156099</c:v>
                </c:pt>
                <c:pt idx="40">
                  <c:v>0.33013090904140702</c:v>
                </c:pt>
                <c:pt idx="41">
                  <c:v>0.310377680079018</c:v>
                </c:pt>
                <c:pt idx="42">
                  <c:v>0.28876148956048497</c:v>
                </c:pt>
                <c:pt idx="43">
                  <c:v>0.26490983913855098</c:v>
                </c:pt>
                <c:pt idx="44">
                  <c:v>0.23833627934884</c:v>
                </c:pt>
                <c:pt idx="45">
                  <c:v>0.208424184921361</c:v>
                </c:pt>
                <c:pt idx="46">
                  <c:v>0.174409617957417</c:v>
                </c:pt>
                <c:pt idx="47">
                  <c:v>0.135363278971697</c:v>
                </c:pt>
                <c:pt idx="48">
                  <c:v>9.0171545799816996E-2</c:v>
                </c:pt>
                <c:pt idx="49">
                  <c:v>3.7516600371056898E-2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'80'!$V$41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'80'!$P$42:$P$91</c:f>
              <c:numCache>
                <c:formatCode>0</c:formatCode>
                <c:ptCount val="50"/>
                <c:pt idx="0">
                  <c:v>0</c:v>
                </c:pt>
                <c:pt idx="1">
                  <c:v>8.2653061224489797</c:v>
                </c:pt>
                <c:pt idx="2">
                  <c:v>16.530612244897899</c:v>
                </c:pt>
                <c:pt idx="3">
                  <c:v>24.7959183673469</c:v>
                </c:pt>
                <c:pt idx="4">
                  <c:v>33.061224489795897</c:v>
                </c:pt>
                <c:pt idx="5">
                  <c:v>41.326530612244802</c:v>
                </c:pt>
                <c:pt idx="6">
                  <c:v>49.5918367346938</c:v>
                </c:pt>
                <c:pt idx="7">
                  <c:v>57.857142857142797</c:v>
                </c:pt>
                <c:pt idx="8">
                  <c:v>66.122448979591795</c:v>
                </c:pt>
                <c:pt idx="9">
                  <c:v>74.387755102040799</c:v>
                </c:pt>
                <c:pt idx="10">
                  <c:v>82.653061224489704</c:v>
                </c:pt>
                <c:pt idx="11">
                  <c:v>90.918367346938709</c:v>
                </c:pt>
                <c:pt idx="12">
                  <c:v>99.183673469387699</c:v>
                </c:pt>
                <c:pt idx="13">
                  <c:v>107.44897959183599</c:v>
                </c:pt>
                <c:pt idx="14">
                  <c:v>115.714285714285</c:v>
                </c:pt>
                <c:pt idx="15">
                  <c:v>123.979591836734</c:v>
                </c:pt>
                <c:pt idx="16">
                  <c:v>132.24489795918299</c:v>
                </c:pt>
                <c:pt idx="17">
                  <c:v>140.510204081632</c:v>
                </c:pt>
                <c:pt idx="18">
                  <c:v>148.775510204081</c:v>
                </c:pt>
                <c:pt idx="19">
                  <c:v>157.04081632653001</c:v>
                </c:pt>
                <c:pt idx="20">
                  <c:v>165.30612244897901</c:v>
                </c:pt>
                <c:pt idx="21">
                  <c:v>173.57142857142796</c:v>
                </c:pt>
                <c:pt idx="22">
                  <c:v>181.83673469387702</c:v>
                </c:pt>
                <c:pt idx="23">
                  <c:v>190.102040816326</c:v>
                </c:pt>
                <c:pt idx="24">
                  <c:v>198.367346938775</c:v>
                </c:pt>
                <c:pt idx="25">
                  <c:v>206.632653061224</c:v>
                </c:pt>
                <c:pt idx="26">
                  <c:v>214.89795918367301</c:v>
                </c:pt>
                <c:pt idx="27">
                  <c:v>223.16326530612201</c:v>
                </c:pt>
                <c:pt idx="28">
                  <c:v>231.42857142857099</c:v>
                </c:pt>
                <c:pt idx="29">
                  <c:v>239.69387755101997</c:v>
                </c:pt>
                <c:pt idx="30">
                  <c:v>247.95918367346903</c:v>
                </c:pt>
                <c:pt idx="31">
                  <c:v>256.22448979591798</c:v>
                </c:pt>
                <c:pt idx="32">
                  <c:v>264.48979591836701</c:v>
                </c:pt>
                <c:pt idx="33">
                  <c:v>272.75510204081598</c:v>
                </c:pt>
                <c:pt idx="34">
                  <c:v>281.02040816326502</c:v>
                </c:pt>
                <c:pt idx="35">
                  <c:v>289.28571428571399</c:v>
                </c:pt>
                <c:pt idx="36">
                  <c:v>297.55102040816303</c:v>
                </c:pt>
                <c:pt idx="37">
                  <c:v>305.816326530612</c:v>
                </c:pt>
                <c:pt idx="38">
                  <c:v>314.08163265306098</c:v>
                </c:pt>
                <c:pt idx="39">
                  <c:v>322.34693877551001</c:v>
                </c:pt>
                <c:pt idx="40">
                  <c:v>330.61224489795893</c:v>
                </c:pt>
                <c:pt idx="41">
                  <c:v>338.87755102040796</c:v>
                </c:pt>
                <c:pt idx="42">
                  <c:v>347.14285714285705</c:v>
                </c:pt>
                <c:pt idx="43">
                  <c:v>355.40816326530597</c:v>
                </c:pt>
                <c:pt idx="44">
                  <c:v>363.67346938775501</c:v>
                </c:pt>
                <c:pt idx="45">
                  <c:v>371.93877551020398</c:v>
                </c:pt>
                <c:pt idx="46">
                  <c:v>380.20408163265301</c:v>
                </c:pt>
                <c:pt idx="47">
                  <c:v>388.46938775510199</c:v>
                </c:pt>
                <c:pt idx="48">
                  <c:v>396.73469387755102</c:v>
                </c:pt>
                <c:pt idx="49">
                  <c:v>405</c:v>
                </c:pt>
              </c:numCache>
            </c:numRef>
          </c:xVal>
          <c:yVal>
            <c:numRef>
              <c:f>'80'!$V$42:$V$91</c:f>
              <c:numCache>
                <c:formatCode>0.00</c:formatCode>
                <c:ptCount val="50"/>
                <c:pt idx="0">
                  <c:v>-0.3045062046</c:v>
                </c:pt>
                <c:pt idx="1">
                  <c:v>4.2727118978802094</c:v>
                </c:pt>
                <c:pt idx="2">
                  <c:v>8.1789237687907708</c:v>
                </c:pt>
                <c:pt idx="3">
                  <c:v>11.549390212614624</c:v>
                </c:pt>
                <c:pt idx="4">
                  <c:v>14.498080631361375</c:v>
                </c:pt>
                <c:pt idx="5">
                  <c:v>17.119699094482382</c:v>
                </c:pt>
                <c:pt idx="6">
                  <c:v>19.49161919531673</c:v>
                </c:pt>
                <c:pt idx="7">
                  <c:v>21.675727694067991</c:v>
                </c:pt>
                <c:pt idx="8">
                  <c:v>23.720176947312236</c:v>
                </c:pt>
                <c:pt idx="9">
                  <c:v>25.661046124036822</c:v>
                </c:pt>
                <c:pt idx="10">
                  <c:v>27.523911208210237</c:v>
                </c:pt>
                <c:pt idx="11">
                  <c:v>29.325323787883004</c:v>
                </c:pt>
                <c:pt idx="12">
                  <c:v>31.074198630819328</c:v>
                </c:pt>
                <c:pt idx="13">
                  <c:v>32.773110046659852</c:v>
                </c:pt>
                <c:pt idx="14">
                  <c:v>34.419497035615926</c:v>
                </c:pt>
                <c:pt idx="15">
                  <c:v>36.006777223693462</c:v>
                </c:pt>
                <c:pt idx="16">
                  <c:v>37.52536958444918</c:v>
                </c:pt>
                <c:pt idx="17">
                  <c:v>38.963625947277315</c:v>
                </c:pt>
                <c:pt idx="18">
                  <c:v>40.308671292227039</c:v>
                </c:pt>
                <c:pt idx="19">
                  <c:v>41.547152831351319</c:v>
                </c:pt>
                <c:pt idx="20">
                  <c:v>42.665897876586193</c:v>
                </c:pt>
                <c:pt idx="21">
                  <c:v>43.652480494161878</c:v>
                </c:pt>
                <c:pt idx="22">
                  <c:v>44.495696945543926</c:v>
                </c:pt>
                <c:pt idx="23">
                  <c:v>45.185949914905898</c:v>
                </c:pt>
                <c:pt idx="24">
                  <c:v>45.715541523132899</c:v>
                </c:pt>
                <c:pt idx="25">
                  <c:v>46.078875128355961</c:v>
                </c:pt>
                <c:pt idx="26">
                  <c:v>46.272565913017885</c:v>
                </c:pt>
                <c:pt idx="27">
                  <c:v>46.295460257469216</c:v>
                </c:pt>
                <c:pt idx="28">
                  <c:v>46.148563900095965</c:v>
                </c:pt>
                <c:pt idx="29">
                  <c:v>45.834878883977851</c:v>
                </c:pt>
                <c:pt idx="30">
                  <c:v>45.359149290077852</c:v>
                </c:pt>
                <c:pt idx="31">
                  <c:v>44.727515756963243</c:v>
                </c:pt>
                <c:pt idx="32">
                  <c:v>43.947078787054494</c:v>
                </c:pt>
                <c:pt idx="33">
                  <c:v>43.025370839411067</c:v>
                </c:pt>
                <c:pt idx="34">
                  <c:v>41.96973720904208</c:v>
                </c:pt>
                <c:pt idx="35">
                  <c:v>40.786625692751642</c:v>
                </c:pt>
                <c:pt idx="36">
                  <c:v>39.480785041513798</c:v>
                </c:pt>
                <c:pt idx="37">
                  <c:v>38.054372199378918</c:v>
                </c:pt>
                <c:pt idx="38">
                  <c:v>36.505968328911479</c:v>
                </c:pt>
                <c:pt idx="39">
                  <c:v>34.829503623156256</c:v>
                </c:pt>
                <c:pt idx="40">
                  <c:v>33.013090904140881</c:v>
                </c:pt>
                <c:pt idx="41">
                  <c:v>31.037768007901605</c:v>
                </c:pt>
                <c:pt idx="42">
                  <c:v>28.876148956049065</c:v>
                </c:pt>
                <c:pt idx="43">
                  <c:v>26.490983913855871</c:v>
                </c:pt>
                <c:pt idx="44">
                  <c:v>23.833627934884476</c:v>
                </c:pt>
                <c:pt idx="45">
                  <c:v>20.842418492135494</c:v>
                </c:pt>
                <c:pt idx="46">
                  <c:v>17.440961795741259</c:v>
                </c:pt>
                <c:pt idx="47">
                  <c:v>13.536327897169031</c:v>
                </c:pt>
                <c:pt idx="48">
                  <c:v>9.0171545799826163</c:v>
                </c:pt>
                <c:pt idx="49">
                  <c:v>3.7516600371056938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AE-4281-8A48-C29B6932A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'80'!$AS$5:$AS$15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15-4401-B07B-68E6D1C2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'80'!$AS$16:$AS$26</c:f>
              <c:numCache>
                <c:formatCode>0.000</c:formatCode>
                <c:ptCount val="11"/>
                <c:pt idx="0">
                  <c:v>6.610528854</c:v>
                </c:pt>
                <c:pt idx="1">
                  <c:v>6.4218466909632728</c:v>
                </c:pt>
                <c:pt idx="2">
                  <c:v>6.2517661113853586</c:v>
                </c:pt>
                <c:pt idx="3">
                  <c:v>6.3676764799256089</c:v>
                </c:pt>
                <c:pt idx="4">
                  <c:v>6.5486884185084513</c:v>
                </c:pt>
                <c:pt idx="5">
                  <c:v>6.4862819857652241</c:v>
                </c:pt>
                <c:pt idx="6">
                  <c:v>6.0123433732615528</c:v>
                </c:pt>
                <c:pt idx="7">
                  <c:v>5.1582575038089677</c:v>
                </c:pt>
                <c:pt idx="8">
                  <c:v>4.0427132621920334</c:v>
                </c:pt>
                <c:pt idx="9">
                  <c:v>2.5890533476511512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E1-4757-AA68-1CFA0455F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'80'!$AT$5:$AT$15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0.36401371686972328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'80'!$AR$5:$AR$15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0.3447832194480982</c:v>
                </c:pt>
                <c:pt idx="9">
                  <c:v>0.23552236009731389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C5-4A5A-BD7D-63076D8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'80'!$AT$4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'80'!$AT$16:$AT$26</c:f>
              <c:numCache>
                <c:formatCode>0.000</c:formatCode>
                <c:ptCount val="11"/>
                <c:pt idx="0">
                  <c:v>0.149076087</c:v>
                </c:pt>
                <c:pt idx="1">
                  <c:v>0.17780032173555049</c:v>
                </c:pt>
                <c:pt idx="2">
                  <c:v>0.2102684636917132</c:v>
                </c:pt>
                <c:pt idx="3">
                  <c:v>0.24621705924456647</c:v>
                </c:pt>
                <c:pt idx="4">
                  <c:v>0.28482949839241173</c:v>
                </c:pt>
                <c:pt idx="5">
                  <c:v>0.32473571739031254</c:v>
                </c:pt>
                <c:pt idx="6">
                  <c:v>0.36401371686972334</c:v>
                </c:pt>
                <c:pt idx="7">
                  <c:v>0.40018650265148203</c:v>
                </c:pt>
                <c:pt idx="8">
                  <c:v>0.43022515716134835</c:v>
                </c:pt>
                <c:pt idx="9">
                  <c:v>0.45054730055959891</c:v>
                </c:pt>
                <c:pt idx="10">
                  <c:v>0.45701739846557093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'80'!$AU$4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40.5</c:v>
                </c:pt>
                <c:pt idx="2">
                  <c:v>81</c:v>
                </c:pt>
                <c:pt idx="3">
                  <c:v>121.5</c:v>
                </c:pt>
                <c:pt idx="4">
                  <c:v>162</c:v>
                </c:pt>
                <c:pt idx="5">
                  <c:v>202.5</c:v>
                </c:pt>
                <c:pt idx="6">
                  <c:v>243</c:v>
                </c:pt>
                <c:pt idx="7">
                  <c:v>283.5</c:v>
                </c:pt>
                <c:pt idx="8">
                  <c:v>324</c:v>
                </c:pt>
                <c:pt idx="9">
                  <c:v>364.5</c:v>
                </c:pt>
                <c:pt idx="10">
                  <c:v>405</c:v>
                </c:pt>
              </c:numCache>
            </c:numRef>
          </c:xVal>
          <c:yVal>
            <c:numRef>
              <c:f>'80'!$AU$16:$AU$26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0.16871479874348208</c:v>
                </c:pt>
                <c:pt idx="2">
                  <c:v>0.27156967875298027</c:v>
                </c:pt>
                <c:pt idx="3">
                  <c:v>0.35536983255044385</c:v>
                </c:pt>
                <c:pt idx="4">
                  <c:v>0.42233424573875833</c:v>
                </c:pt>
                <c:pt idx="5">
                  <c:v>0.45918341912277327</c:v>
                </c:pt>
                <c:pt idx="6">
                  <c:v>0.45663662868014437</c:v>
                </c:pt>
                <c:pt idx="7">
                  <c:v>0.41627738225571892</c:v>
                </c:pt>
                <c:pt idx="8">
                  <c:v>0.34478321944809814</c:v>
                </c:pt>
                <c:pt idx="9">
                  <c:v>0.23552236009731392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6B-4AE9-BEFE-CC9B3C636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2-45BC-B7B6-43253E0B9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F-4837-AEAF-9FCC00F6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'84'!$C$42:$C$91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2C-4B94-88D3-70E0C2225F54}"/>
            </c:ext>
          </c:extLst>
        </c:ser>
        <c:ser>
          <c:idx val="1"/>
          <c:order val="1"/>
          <c:tx>
            <c:strRef>
              <c:f>'84'!$G$41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'84'!$G$42:$G$91</c:f>
              <c:numCache>
                <c:formatCode>0.000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6.9450180633984537</c:v>
                </c:pt>
                <c:pt idx="16">
                  <c:v>6.9129206952050826</c:v>
                </c:pt>
                <c:pt idx="17">
                  <c:v>6.8894118587695106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6.0962753928867368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5.1853871219784473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3.5432848286734497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2C-4B94-88D3-70E0C2225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6-42AF-B02F-BBE6B7448359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'84'!$K$42:$K$91</c:f>
              <c:numCache>
                <c:formatCode>0.000</c:formatCode>
                <c:ptCount val="50"/>
                <c:pt idx="0">
                  <c:v>-3.7904627960000002E-4</c:v>
                </c:pt>
                <c:pt idx="1">
                  <c:v>4.2088183078307528E-2</c:v>
                </c:pt>
                <c:pt idx="2">
                  <c:v>8.3322775576792824E-2</c:v>
                </c:pt>
                <c:pt idx="3">
                  <c:v>0.12279603786137459</c:v>
                </c:pt>
                <c:pt idx="4">
                  <c:v>0.16014871828760813</c:v>
                </c:pt>
                <c:pt idx="5">
                  <c:v>0.19516733409486506</c:v>
                </c:pt>
                <c:pt idx="6">
                  <c:v>0.22776181205071638</c:v>
                </c:pt>
                <c:pt idx="7">
                  <c:v>0.25794444256591886</c:v>
                </c:pt>
                <c:pt idx="8">
                  <c:v>0.28581014728000109</c:v>
                </c:pt>
                <c:pt idx="9">
                  <c:v>0.31151806011745953</c:v>
                </c:pt>
                <c:pt idx="10">
                  <c:v>0.33527442181454536</c:v>
                </c:pt>
                <c:pt idx="11">
                  <c:v>0.35731678791666499</c:v>
                </c:pt>
                <c:pt idx="12">
                  <c:v>0.37789955024637734</c:v>
                </c:pt>
                <c:pt idx="13">
                  <c:v>0.39728077184199784</c:v>
                </c:pt>
                <c:pt idx="14">
                  <c:v>0.41571033536679508</c:v>
                </c:pt>
                <c:pt idx="15">
                  <c:v>0.43341940498880782</c:v>
                </c:pt>
                <c:pt idx="16">
                  <c:v>0.45061120173124708</c:v>
                </c:pt>
                <c:pt idx="17">
                  <c:v>0.46745309229351095</c:v>
                </c:pt>
                <c:pt idx="18">
                  <c:v>0.48406999134279749</c:v>
                </c:pt>
                <c:pt idx="19">
                  <c:v>0.50053907727632319</c:v>
                </c:pt>
                <c:pt idx="20">
                  <c:v>0.51688582145414241</c:v>
                </c:pt>
                <c:pt idx="21">
                  <c:v>0.53308133090256971</c:v>
                </c:pt>
                <c:pt idx="22">
                  <c:v>0.54904100448820503</c:v>
                </c:pt>
                <c:pt idx="23">
                  <c:v>0.56462450256256036</c:v>
                </c:pt>
                <c:pt idx="24">
                  <c:v>0.57963703007729206</c:v>
                </c:pt>
                <c:pt idx="25">
                  <c:v>0.59383193317003302</c:v>
                </c:pt>
                <c:pt idx="26">
                  <c:v>0.60691460922082707</c:v>
                </c:pt>
                <c:pt idx="27">
                  <c:v>0.61854773037916533</c:v>
                </c:pt>
                <c:pt idx="28">
                  <c:v>0.62835778056163594</c:v>
                </c:pt>
                <c:pt idx="29">
                  <c:v>0.63594290592015701</c:v>
                </c:pt>
                <c:pt idx="30">
                  <c:v>0.64088207878082637</c:v>
                </c:pt>
                <c:pt idx="31">
                  <c:v>0.64274557505337182</c:v>
                </c:pt>
                <c:pt idx="32">
                  <c:v>0.64110676511120346</c:v>
                </c:pt>
                <c:pt idx="33">
                  <c:v>0.63555521814206339</c:v>
                </c:pt>
                <c:pt idx="34">
                  <c:v>0.62571111996928497</c:v>
                </c:pt>
                <c:pt idx="35">
                  <c:v>0.61124100434365003</c:v>
                </c:pt>
                <c:pt idx="36">
                  <c:v>0.59187479770584961</c:v>
                </c:pt>
                <c:pt idx="37">
                  <c:v>0.56742417741956164</c:v>
                </c:pt>
                <c:pt idx="38">
                  <c:v>0.53780224347509598</c:v>
                </c:pt>
                <c:pt idx="39">
                  <c:v>0.50304450366368203</c:v>
                </c:pt>
                <c:pt idx="40">
                  <c:v>0.46333117222233228</c:v>
                </c:pt>
                <c:pt idx="41">
                  <c:v>0.41901078194931868</c:v>
                </c:pt>
                <c:pt idx="42">
                  <c:v>0.3706251097902532</c:v>
                </c:pt>
                <c:pt idx="43">
                  <c:v>0.31893541589476399</c:v>
                </c:pt>
                <c:pt idx="44">
                  <c:v>0.26494999614377773</c:v>
                </c:pt>
                <c:pt idx="45">
                  <c:v>0.20995304814741075</c:v>
                </c:pt>
                <c:pt idx="46">
                  <c:v>0.15553485071344311</c:v>
                </c:pt>
                <c:pt idx="47">
                  <c:v>0.10362325678644765</c:v>
                </c:pt>
                <c:pt idx="48">
                  <c:v>5.6516499857434607E-2</c:v>
                </c:pt>
                <c:pt idx="49">
                  <c:v>1.691731384416471E-2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56-42AF-B02F-BBE6B7448359}"/>
            </c:ext>
          </c:extLst>
        </c:ser>
        <c:ser>
          <c:idx val="2"/>
          <c:order val="2"/>
          <c:tx>
            <c:strRef>
              <c:f>'84'!$N$41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4.1771799627621765E-2</c:v>
                </c:pt>
                <c:pt idx="2">
                  <c:v>8.4049770110557545E-2</c:v>
                </c:pt>
                <c:pt idx="3">
                  <c:v>0.12509158882328819</c:v>
                </c:pt>
                <c:pt idx="4">
                  <c:v>0.16377014477608895</c:v>
                </c:pt>
                <c:pt idx="5">
                  <c:v>0.1994680605010892</c:v>
                </c:pt>
                <c:pt idx="6">
                  <c:v>0.23196544767344998</c:v>
                </c:pt>
                <c:pt idx="7">
                  <c:v>0.26133291108861229</c:v>
                </c:pt>
                <c:pt idx="8">
                  <c:v>0.28783709893493398</c:v>
                </c:pt>
                <c:pt idx="9">
                  <c:v>0.31186219301320306</c:v>
                </c:pt>
                <c:pt idx="10">
                  <c:v>0.33384792429931243</c:v>
                </c:pt>
                <c:pt idx="11">
                  <c:v>0.35424294159186714</c:v>
                </c:pt>
                <c:pt idx="12">
                  <c:v>0.37347144761202705</c:v>
                </c:pt>
                <c:pt idx="13">
                  <c:v>0.39191069992321065</c:v>
                </c:pt>
                <c:pt idx="14">
                  <c:v>0.40987703034767414</c:v>
                </c:pt>
                <c:pt idx="15">
                  <c:v>0.42761829442139249</c:v>
                </c:pt>
                <c:pt idx="16">
                  <c:v>0.44531100392565681</c:v>
                </c:pt>
                <c:pt idx="17">
                  <c:v>0.46306074786185281</c:v>
                </c:pt>
                <c:pt idx="18">
                  <c:v>0.48090483077098523</c:v>
                </c:pt>
                <c:pt idx="19">
                  <c:v>0.4988163345079013</c:v>
                </c:pt>
                <c:pt idx="20">
                  <c:v>0.51670903632784815</c:v>
                </c:pt>
                <c:pt idx="21">
                  <c:v>0.53444279557993923</c:v>
                </c:pt>
                <c:pt idx="22">
                  <c:v>0.55182915990626935</c:v>
                </c:pt>
                <c:pt idx="23">
                  <c:v>0.56863704706201246</c:v>
                </c:pt>
                <c:pt idx="24">
                  <c:v>0.58459843742895101</c:v>
                </c:pt>
                <c:pt idx="25">
                  <c:v>0.59941407119220058</c:v>
                </c:pt>
                <c:pt idx="26">
                  <c:v>0.61275918803674534</c:v>
                </c:pt>
                <c:pt idx="27">
                  <c:v>0.62428937997560752</c:v>
                </c:pt>
                <c:pt idx="28">
                  <c:v>0.63364665231969752</c:v>
                </c:pt>
                <c:pt idx="29">
                  <c:v>0.64046580559590127</c:v>
                </c:pt>
                <c:pt idx="30">
                  <c:v>0.64438126321826805</c:v>
                </c:pt>
                <c:pt idx="31">
                  <c:v>0.6450344758032871</c:v>
                </c:pt>
                <c:pt idx="32">
                  <c:v>0.64208203216157089</c:v>
                </c:pt>
                <c:pt idx="33">
                  <c:v>0.63520459721707012</c:v>
                </c:pt>
                <c:pt idx="34">
                  <c:v>0.62411677544768152</c:v>
                </c:pt>
                <c:pt idx="35">
                  <c:v>0.60857796097880734</c:v>
                </c:pt>
                <c:pt idx="36">
                  <c:v>0.58840417738171036</c:v>
                </c:pt>
                <c:pt idx="37">
                  <c:v>0.56348082608719119</c:v>
                </c:pt>
                <c:pt idx="38">
                  <c:v>0.53377614657764372</c:v>
                </c:pt>
                <c:pt idx="39">
                  <c:v>0.49935503943788595</c:v>
                </c:pt>
                <c:pt idx="40">
                  <c:v>0.4603927124579909</c:v>
                </c:pt>
                <c:pt idx="41">
                  <c:v>0.4171873821325866</c:v>
                </c:pt>
                <c:pt idx="42">
                  <c:v>0.37017100690046406</c:v>
                </c:pt>
                <c:pt idx="43">
                  <c:v>0.31991676313749445</c:v>
                </c:pt>
                <c:pt idx="44">
                  <c:v>0.26714173199827851</c:v>
                </c:pt>
                <c:pt idx="45">
                  <c:v>0.21270309116397645</c:v>
                </c:pt>
                <c:pt idx="46">
                  <c:v>0.15758606087637472</c:v>
                </c:pt>
                <c:pt idx="47">
                  <c:v>0.10288200783395077</c:v>
                </c:pt>
                <c:pt idx="48">
                  <c:v>4.975553133943475E-2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56-42AF-B02F-BBE6B744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'84'!$E$41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'84'!$E$42:$E$91</c:f>
              <c:numCache>
                <c:formatCode>0.000</c:formatCode>
                <c:ptCount val="50"/>
                <c:pt idx="0">
                  <c:v>0</c:v>
                </c:pt>
                <c:pt idx="1">
                  <c:v>0.260025629257989</c:v>
                </c:pt>
                <c:pt idx="2">
                  <c:v>0.268459781753561</c:v>
                </c:pt>
                <c:pt idx="3">
                  <c:v>0.27616279748942202</c:v>
                </c:pt>
                <c:pt idx="4">
                  <c:v>0.28301022024553202</c:v>
                </c:pt>
                <c:pt idx="5">
                  <c:v>0.28923571819476501</c:v>
                </c:pt>
                <c:pt idx="6">
                  <c:v>0.295080348912865</c:v>
                </c:pt>
                <c:pt idx="7">
                  <c:v>0.30075278186085302</c:v>
                </c:pt>
                <c:pt idx="8">
                  <c:v>0.30642403775829902</c:v>
                </c:pt>
                <c:pt idx="9">
                  <c:v>0.31222765922956602</c:v>
                </c:pt>
                <c:pt idx="10">
                  <c:v>0.318260398978639</c:v>
                </c:pt>
                <c:pt idx="11">
                  <c:v>0.32458272138092797</c:v>
                </c:pt>
                <c:pt idx="12">
                  <c:v>0.33121937190707601</c:v>
                </c:pt>
                <c:pt idx="13">
                  <c:v>0.33816048621876399</c:v>
                </c:pt>
                <c:pt idx="14">
                  <c:v>0.345363693527101</c:v>
                </c:pt>
                <c:pt idx="15">
                  <c:v>0.352757539122946</c:v>
                </c:pt>
                <c:pt idx="16">
                  <c:v>0.36024635133501698</c:v>
                </c:pt>
                <c:pt idx="17">
                  <c:v>0.36771644239037998</c:v>
                </c:pt>
                <c:pt idx="18">
                  <c:v>0.37504330138096698</c:v>
                </c:pt>
                <c:pt idx="19">
                  <c:v>0.38209925493209901</c:v>
                </c:pt>
                <c:pt idx="20">
                  <c:v>0.38876097434106199</c:v>
                </c:pt>
                <c:pt idx="21">
                  <c:v>0.39491621601983001</c:v>
                </c:pt>
                <c:pt idx="22">
                  <c:v>0.400469290107339</c:v>
                </c:pt>
                <c:pt idx="23">
                  <c:v>0.40534493283005102</c:v>
                </c:pt>
                <c:pt idx="24">
                  <c:v>0.40949047066958899</c:v>
                </c:pt>
                <c:pt idx="25">
                  <c:v>0.41287636620503898</c:v>
                </c:pt>
                <c:pt idx="26">
                  <c:v>0.41549539354211101</c:v>
                </c:pt>
                <c:pt idx="27">
                  <c:v>0.417360787973661</c:v>
                </c:pt>
                <c:pt idx="28">
                  <c:v>0.41850374847519101</c:v>
                </c:pt>
                <c:pt idx="29">
                  <c:v>0.41897065360461999</c:v>
                </c:pt>
                <c:pt idx="30">
                  <c:v>0.41882029853423303</c:v>
                </c:pt>
                <c:pt idx="31">
                  <c:v>0.41812139133936099</c:v>
                </c:pt>
                <c:pt idx="32">
                  <c:v>0.416950475309673</c:v>
                </c:pt>
                <c:pt idx="33">
                  <c:v>0.41539038097708397</c:v>
                </c:pt>
                <c:pt idx="34">
                  <c:v>0.41352926141906898</c:v>
                </c:pt>
                <c:pt idx="35">
                  <c:v>0.41146022663857401</c:v>
                </c:pt>
                <c:pt idx="36">
                  <c:v>0.40928156130855398</c:v>
                </c:pt>
                <c:pt idx="37">
                  <c:v>0.40709747059264301</c:v>
                </c:pt>
                <c:pt idx="38">
                  <c:v>0.40501922049428402</c:v>
                </c:pt>
                <c:pt idx="39">
                  <c:v>0.40316635354818697</c:v>
                </c:pt>
                <c:pt idx="40">
                  <c:v>0.40166720353191898</c:v>
                </c:pt>
                <c:pt idx="41">
                  <c:v>0.40065678764575402</c:v>
                </c:pt>
                <c:pt idx="42">
                  <c:v>0.40026719363110702</c:v>
                </c:pt>
                <c:pt idx="43">
                  <c:v>0.40059750862256399</c:v>
                </c:pt>
                <c:pt idx="44">
                  <c:v>0.40162656583121398</c:v>
                </c:pt>
                <c:pt idx="45">
                  <c:v>0.402953717404057</c:v>
                </c:pt>
                <c:pt idx="46">
                  <c:v>0.40295356594832499</c:v>
                </c:pt>
                <c:pt idx="47">
                  <c:v>0.39548360954564599</c:v>
                </c:pt>
                <c:pt idx="48">
                  <c:v>0.35191114929759298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B-426D-B958-28BE7279557B}"/>
            </c:ext>
          </c:extLst>
        </c:ser>
        <c:ser>
          <c:idx val="1"/>
          <c:order val="1"/>
          <c:tx>
            <c:strRef>
              <c:f>'84'!$I$41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'84'!$I$42:$I$91</c:f>
              <c:numCache>
                <c:formatCode>0.000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2B-426D-B958-28BE7279557B}"/>
            </c:ext>
          </c:extLst>
        </c:ser>
        <c:ser>
          <c:idx val="2"/>
          <c:order val="2"/>
          <c:tx>
            <c:strRef>
              <c:f>'84'!$M$41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'84'!$B$42:$B$91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194.08163265306101</c:v>
                </c:pt>
                <c:pt idx="16">
                  <c:v>207.02040816326499</c:v>
                </c:pt>
                <c:pt idx="17">
                  <c:v>219.959183673469</c:v>
                </c:pt>
                <c:pt idx="18">
                  <c:v>232.89795918367301</c:v>
                </c:pt>
                <c:pt idx="19">
                  <c:v>245.83673469387699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388.16326530612201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504.61224489795899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'84'!$M$42:$M$91</c:f>
              <c:numCache>
                <c:formatCode>0.000</c:formatCode>
                <c:ptCount val="50"/>
                <c:pt idx="0">
                  <c:v>0</c:v>
                </c:pt>
                <c:pt idx="1">
                  <c:v>0.26028226757381712</c:v>
                </c:pt>
                <c:pt idx="2">
                  <c:v>0.26872474435149174</c:v>
                </c:pt>
                <c:pt idx="3">
                  <c:v>0.27643536275710073</c:v>
                </c:pt>
                <c:pt idx="4">
                  <c:v>0.28328954373565562</c:v>
                </c:pt>
                <c:pt idx="5">
                  <c:v>0.28952118608424471</c:v>
                </c:pt>
                <c:pt idx="6">
                  <c:v>0.29537158529596641</c:v>
                </c:pt>
                <c:pt idx="7">
                  <c:v>0.30104961678300113</c:v>
                </c:pt>
                <c:pt idx="8">
                  <c:v>0.30672647005777592</c:v>
                </c:pt>
                <c:pt idx="9">
                  <c:v>0.31253581954763981</c:v>
                </c:pt>
                <c:pt idx="10">
                  <c:v>0.31857451344889959</c:v>
                </c:pt>
                <c:pt idx="11">
                  <c:v>0.32490307581367983</c:v>
                </c:pt>
                <c:pt idx="12">
                  <c:v>0.33154627653573965</c:v>
                </c:pt>
                <c:pt idx="13">
                  <c:v>0.33849424154092306</c:v>
                </c:pt>
                <c:pt idx="14">
                  <c:v>0.3457045582215072</c:v>
                </c:pt>
                <c:pt idx="15">
                  <c:v>0.35310570134447145</c:v>
                </c:pt>
                <c:pt idx="16">
                  <c:v>0.36060190481316245</c:v>
                </c:pt>
                <c:pt idx="17">
                  <c:v>0.36807936864786717</c:v>
                </c:pt>
                <c:pt idx="18">
                  <c:v>0.37541345905159157</c:v>
                </c:pt>
                <c:pt idx="19">
                  <c:v>0.38247637663946515</c:v>
                </c:pt>
                <c:pt idx="20">
                  <c:v>0.38914467098665462</c:v>
                </c:pt>
                <c:pt idx="21">
                  <c:v>0.39530598772372577</c:v>
                </c:pt>
                <c:pt idx="22">
                  <c:v>0.40086454254628989</c:v>
                </c:pt>
                <c:pt idx="23">
                  <c:v>0.40574499739748449</c:v>
                </c:pt>
                <c:pt idx="24">
                  <c:v>0.40989462677158489</c:v>
                </c:pt>
                <c:pt idx="25">
                  <c:v>0.41328386409503637</c:v>
                </c:pt>
                <c:pt idx="26">
                  <c:v>0.4159054763417841</c:v>
                </c:pt>
                <c:pt idx="27">
                  <c:v>0.4177727118675626</c:v>
                </c:pt>
                <c:pt idx="28">
                  <c:v>0.41891680044042645</c:v>
                </c:pt>
                <c:pt idx="29">
                  <c:v>0.41938416639268256</c:v>
                </c:pt>
                <c:pt idx="30">
                  <c:v>0.41923366292587766</c:v>
                </c:pt>
                <c:pt idx="31">
                  <c:v>0.41853406592836567</c:v>
                </c:pt>
                <c:pt idx="32">
                  <c:v>0.41736199423598941</c:v>
                </c:pt>
                <c:pt idx="33">
                  <c:v>0.4158003601321747</c:v>
                </c:pt>
                <c:pt idx="34">
                  <c:v>0.41393740369911575</c:v>
                </c:pt>
                <c:pt idx="35">
                  <c:v>0.41186632683683227</c:v>
                </c:pt>
                <c:pt idx="36">
                  <c:v>0.40968551122261671</c:v>
                </c:pt>
                <c:pt idx="37">
                  <c:v>0.4074992648678013</c:v>
                </c:pt>
                <c:pt idx="38">
                  <c:v>0.40541896359238688</c:v>
                </c:pt>
                <c:pt idx="39">
                  <c:v>0.40356426791635402</c:v>
                </c:pt>
                <c:pt idx="40">
                  <c:v>0.40206363827925967</c:v>
                </c:pt>
                <c:pt idx="41">
                  <c:v>0.40105222513974459</c:v>
                </c:pt>
                <c:pt idx="42">
                  <c:v>0.40066224660625682</c:v>
                </c:pt>
                <c:pt idx="43">
                  <c:v>0.40099288760973728</c:v>
                </c:pt>
                <c:pt idx="44">
                  <c:v>0.40202296047022873</c:v>
                </c:pt>
                <c:pt idx="45">
                  <c:v>0.40335142190605133</c:v>
                </c:pt>
                <c:pt idx="46">
                  <c:v>0.40335127030084783</c:v>
                </c:pt>
                <c:pt idx="47">
                  <c:v>0.39587394125173697</c:v>
                </c:pt>
                <c:pt idx="48">
                  <c:v>0.35225847615505301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2B-426D-B958-28BE7279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E4-464B-90B8-DF5A74EE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70-4B72-AC2F-0270E0622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'84'!$Q$42:$Q$91</c:f>
              <c:numCache>
                <c:formatCode>General</c:formatCode>
                <c:ptCount val="50"/>
                <c:pt idx="0">
                  <c:v>7.1882911409999997</c:v>
                </c:pt>
                <c:pt idx="1">
                  <c:v>7.4568656209928399</c:v>
                </c:pt>
                <c:pt idx="2">
                  <c:v>7.6206663621288397</c:v>
                </c:pt>
                <c:pt idx="3">
                  <c:v>7.7020840855305002</c:v>
                </c:pt>
                <c:pt idx="4">
                  <c:v>7.7205026805560699</c:v>
                </c:pt>
                <c:pt idx="5">
                  <c:v>7.6925270499470804</c:v>
                </c:pt>
                <c:pt idx="6">
                  <c:v>7.6322032987463997</c:v>
                </c:pt>
                <c:pt idx="7">
                  <c:v>7.5512312669870401</c:v>
                </c:pt>
                <c:pt idx="8">
                  <c:v>7.4591694061514699</c:v>
                </c:pt>
                <c:pt idx="9">
                  <c:v>7.3636319994017096</c:v>
                </c:pt>
                <c:pt idx="10">
                  <c:v>7.2704787255799701</c:v>
                </c:pt>
                <c:pt idx="11">
                  <c:v>7.1839965669799302</c:v>
                </c:pt>
                <c:pt idx="12">
                  <c:v>7.1070740608886904</c:v>
                </c:pt>
                <c:pt idx="13">
                  <c:v>7.0413678948993299</c:v>
                </c:pt>
                <c:pt idx="14">
                  <c:v>6.9874618459941402</c:v>
                </c:pt>
                <c:pt idx="15">
                  <c:v>6.9450180633984502</c:v>
                </c:pt>
                <c:pt idx="16">
                  <c:v>6.9129206952050799</c:v>
                </c:pt>
                <c:pt idx="17">
                  <c:v>6.8894118587695097</c:v>
                </c:pt>
                <c:pt idx="18">
                  <c:v>6.8722199548756002</c:v>
                </c:pt>
                <c:pt idx="19">
                  <c:v>6.8586803256719904</c:v>
                </c:pt>
                <c:pt idx="20">
                  <c:v>6.8458482563791501</c:v>
                </c:pt>
                <c:pt idx="21">
                  <c:v>6.8306043207669802</c:v>
                </c:pt>
                <c:pt idx="22">
                  <c:v>6.80975207040317</c:v>
                </c:pt>
                <c:pt idx="23">
                  <c:v>6.7801080676721197</c:v>
                </c:pt>
                <c:pt idx="24">
                  <c:v>6.7385842625645198</c:v>
                </c:pt>
                <c:pt idx="25">
                  <c:v>6.6822627132374999</c:v>
                </c:pt>
                <c:pt idx="26">
                  <c:v>6.6084626503455901</c:v>
                </c:pt>
                <c:pt idx="27">
                  <c:v>6.5147998851421001</c:v>
                </c:pt>
                <c:pt idx="28">
                  <c:v>6.3992385613513099</c:v>
                </c:pt>
                <c:pt idx="29">
                  <c:v>6.2601352508111896</c:v>
                </c:pt>
                <c:pt idx="30">
                  <c:v>6.0962753928867599</c:v>
                </c:pt>
                <c:pt idx="31">
                  <c:v>5.9069020776541503</c:v>
                </c:pt>
                <c:pt idx="32">
                  <c:v>5.6917371728553903</c:v>
                </c:pt>
                <c:pt idx="33">
                  <c:v>5.4509947946234103</c:v>
                </c:pt>
                <c:pt idx="34">
                  <c:v>5.1853871219784198</c:v>
                </c:pt>
                <c:pt idx="35">
                  <c:v>4.8961225550940002</c:v>
                </c:pt>
                <c:pt idx="36">
                  <c:v>4.5848962173346504</c:v>
                </c:pt>
                <c:pt idx="37">
                  <c:v>4.25387280106355</c:v>
                </c:pt>
                <c:pt idx="38">
                  <c:v>3.90566175722094</c:v>
                </c:pt>
                <c:pt idx="39">
                  <c:v>3.5432848286734</c:v>
                </c:pt>
                <c:pt idx="40">
                  <c:v>3.17013592733367</c:v>
                </c:pt>
                <c:pt idx="41">
                  <c:v>2.78993335505064</c:v>
                </c:pt>
                <c:pt idx="42">
                  <c:v>2.40666436827083</c:v>
                </c:pt>
                <c:pt idx="43">
                  <c:v>2.0245220864697799</c:v>
                </c:pt>
                <c:pt idx="44">
                  <c:v>1.64783474435486</c:v>
                </c:pt>
                <c:pt idx="45">
                  <c:v>1.28098728783712</c:v>
                </c:pt>
                <c:pt idx="46">
                  <c:v>0.92833531377647205</c:v>
                </c:pt>
                <c:pt idx="47">
                  <c:v>0.59411135349401401</c:v>
                </c:pt>
                <c:pt idx="48">
                  <c:v>0.28232350005859502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84-426C-AD19-A466E5FC1BBC}"/>
            </c:ext>
          </c:extLst>
        </c:ser>
        <c:ser>
          <c:idx val="1"/>
          <c:order val="1"/>
          <c:tx>
            <c:strRef>
              <c:f>'84'!$T$41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'84'!$T$42:$T$91</c:f>
              <c:numCache>
                <c:formatCode>0.00</c:formatCode>
                <c:ptCount val="50"/>
                <c:pt idx="0">
                  <c:v>7.1882911409999997</c:v>
                </c:pt>
                <c:pt idx="1">
                  <c:v>7.4568656209928452</c:v>
                </c:pt>
                <c:pt idx="2">
                  <c:v>7.6206663621288468</c:v>
                </c:pt>
                <c:pt idx="3">
                  <c:v>7.7020840855304993</c:v>
                </c:pt>
                <c:pt idx="4">
                  <c:v>7.7205026805560708</c:v>
                </c:pt>
                <c:pt idx="5">
                  <c:v>7.6925270499470813</c:v>
                </c:pt>
                <c:pt idx="6">
                  <c:v>7.6322032987464068</c:v>
                </c:pt>
                <c:pt idx="7">
                  <c:v>7.5512312669870401</c:v>
                </c:pt>
                <c:pt idx="8">
                  <c:v>7.4591694061514744</c:v>
                </c:pt>
                <c:pt idx="9">
                  <c:v>7.3636319994017203</c:v>
                </c:pt>
                <c:pt idx="10">
                  <c:v>7.2704787255799825</c:v>
                </c:pt>
                <c:pt idx="11">
                  <c:v>7.183996566979939</c:v>
                </c:pt>
                <c:pt idx="12">
                  <c:v>7.1070740608886975</c:v>
                </c:pt>
                <c:pt idx="13">
                  <c:v>7.0413678948993361</c:v>
                </c:pt>
                <c:pt idx="14">
                  <c:v>6.98746184599415</c:v>
                </c:pt>
                <c:pt idx="15">
                  <c:v>6.9450180633984528</c:v>
                </c:pt>
                <c:pt idx="16">
                  <c:v>6.9129206952050826</c:v>
                </c:pt>
                <c:pt idx="17">
                  <c:v>6.8894118587695123</c:v>
                </c:pt>
                <c:pt idx="18">
                  <c:v>6.8722199548756002</c:v>
                </c:pt>
                <c:pt idx="19">
                  <c:v>6.8586803256719975</c:v>
                </c:pt>
                <c:pt idx="20">
                  <c:v>6.8458482563791545</c:v>
                </c:pt>
                <c:pt idx="21">
                  <c:v>6.8306043207669855</c:v>
                </c:pt>
                <c:pt idx="22">
                  <c:v>6.8097520704031762</c:v>
                </c:pt>
                <c:pt idx="23">
                  <c:v>6.7801080676721313</c:v>
                </c:pt>
                <c:pt idx="24">
                  <c:v>6.7385842625645154</c:v>
                </c:pt>
                <c:pt idx="25">
                  <c:v>6.6822627132374937</c:v>
                </c:pt>
                <c:pt idx="26">
                  <c:v>6.6084626503455919</c:v>
                </c:pt>
                <c:pt idx="27">
                  <c:v>6.5147998851421249</c:v>
                </c:pt>
                <c:pt idx="28">
                  <c:v>6.3992385613513179</c:v>
                </c:pt>
                <c:pt idx="29">
                  <c:v>6.2601352508111736</c:v>
                </c:pt>
                <c:pt idx="30">
                  <c:v>6.0962753928867377</c:v>
                </c:pt>
                <c:pt idx="31">
                  <c:v>5.9069020776541805</c:v>
                </c:pt>
                <c:pt idx="32">
                  <c:v>5.6917371728553814</c:v>
                </c:pt>
                <c:pt idx="33">
                  <c:v>5.4509947946234814</c:v>
                </c:pt>
                <c:pt idx="34">
                  <c:v>5.1853871219784899</c:v>
                </c:pt>
                <c:pt idx="35">
                  <c:v>4.8961225550940135</c:v>
                </c:pt>
                <c:pt idx="36">
                  <c:v>4.5848962173346948</c:v>
                </c:pt>
                <c:pt idx="37">
                  <c:v>4.2538728010635296</c:v>
                </c:pt>
                <c:pt idx="38">
                  <c:v>3.9056617572209404</c:v>
                </c:pt>
                <c:pt idx="39">
                  <c:v>3.5432848286734711</c:v>
                </c:pt>
                <c:pt idx="40">
                  <c:v>3.1701359273336323</c:v>
                </c:pt>
                <c:pt idx="41">
                  <c:v>2.7899333550506213</c:v>
                </c:pt>
                <c:pt idx="42">
                  <c:v>2.4066643682708246</c:v>
                </c:pt>
                <c:pt idx="43">
                  <c:v>2.0245220864698581</c:v>
                </c:pt>
                <c:pt idx="44">
                  <c:v>1.6478347443549097</c:v>
                </c:pt>
                <c:pt idx="45">
                  <c:v>1.2809872878371777</c:v>
                </c:pt>
                <c:pt idx="46">
                  <c:v>0.92833531377652889</c:v>
                </c:pt>
                <c:pt idx="47">
                  <c:v>0.59411135349395749</c:v>
                </c:pt>
                <c:pt idx="48">
                  <c:v>0.28232350005848161</c:v>
                </c:pt>
                <c:pt idx="49">
                  <c:v>-3.3536206589133144E-3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84-426C-AD19-A466E5FC1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'84'!$S$42:$S$91</c:f>
              <c:numCache>
                <c:formatCode>General</c:formatCode>
                <c:ptCount val="50"/>
                <c:pt idx="0">
                  <c:v>0.2590423429</c:v>
                </c:pt>
                <c:pt idx="1">
                  <c:v>0.26225366939756972</c:v>
                </c:pt>
                <c:pt idx="2">
                  <c:v>0.26640039034107765</c:v>
                </c:pt>
                <c:pt idx="3">
                  <c:v>0.2713625079884206</c:v>
                </c:pt>
                <c:pt idx="4">
                  <c:v>0.27702520136118558</c:v>
                </c:pt>
                <c:pt idx="5">
                  <c:v>0.28327882624465001</c:v>
                </c:pt>
                <c:pt idx="6">
                  <c:v>0.29001891518778145</c:v>
                </c:pt>
                <c:pt idx="7">
                  <c:v>0.29714617750323807</c:v>
                </c:pt>
                <c:pt idx="8">
                  <c:v>0.30456649926736756</c:v>
                </c:pt>
                <c:pt idx="9">
                  <c:v>0.31219094332020958</c:v>
                </c:pt>
                <c:pt idx="10">
                  <c:v>0.3199357492654924</c:v>
                </c:pt>
                <c:pt idx="11">
                  <c:v>0.32772233347063551</c:v>
                </c:pt>
                <c:pt idx="12">
                  <c:v>0.33547728906674862</c:v>
                </c:pt>
                <c:pt idx="13">
                  <c:v>0.34313238594863182</c:v>
                </c:pt>
                <c:pt idx="14">
                  <c:v>0.35062457077477449</c:v>
                </c:pt>
                <c:pt idx="15">
                  <c:v>0.35789596696735765</c:v>
                </c:pt>
                <c:pt idx="16">
                  <c:v>0.36489387471225226</c:v>
                </c:pt>
                <c:pt idx="17">
                  <c:v>0.37157077095901936</c:v>
                </c:pt>
                <c:pt idx="18">
                  <c:v>0.37788430942091056</c:v>
                </c:pt>
                <c:pt idx="19">
                  <c:v>0.38379732057486754</c:v>
                </c:pt>
                <c:pt idx="20">
                  <c:v>0.38927781166152264</c:v>
                </c:pt>
                <c:pt idx="21">
                  <c:v>0.39429896668519815</c:v>
                </c:pt>
                <c:pt idx="22">
                  <c:v>0.39883914641390694</c:v>
                </c:pt>
                <c:pt idx="23">
                  <c:v>0.40288188837935202</c:v>
                </c:pt>
                <c:pt idx="24">
                  <c:v>0.40641590687692697</c:v>
                </c:pt>
                <c:pt idx="25">
                  <c:v>0.40943509296571551</c:v>
                </c:pt>
                <c:pt idx="26">
                  <c:v>0.41193851446849133</c:v>
                </c:pt>
                <c:pt idx="27">
                  <c:v>0.41393041597171915</c:v>
                </c:pt>
                <c:pt idx="28">
                  <c:v>0.41542021882555341</c:v>
                </c:pt>
                <c:pt idx="29">
                  <c:v>0.41642252114383921</c:v>
                </c:pt>
                <c:pt idx="30">
                  <c:v>0.41695709780411216</c:v>
                </c:pt>
                <c:pt idx="31">
                  <c:v>0.41704890044759735</c:v>
                </c:pt>
                <c:pt idx="32">
                  <c:v>0.41672805747921132</c:v>
                </c:pt>
                <c:pt idx="33">
                  <c:v>0.41602987406755992</c:v>
                </c:pt>
                <c:pt idx="34">
                  <c:v>0.41499483214493993</c:v>
                </c:pt>
                <c:pt idx="35">
                  <c:v>0.41366859040733833</c:v>
                </c:pt>
                <c:pt idx="36">
                  <c:v>0.41210198431443201</c:v>
                </c:pt>
                <c:pt idx="37">
                  <c:v>0.41035102608958912</c:v>
                </c:pt>
                <c:pt idx="38">
                  <c:v>0.40847690471986697</c:v>
                </c:pt>
                <c:pt idx="39">
                  <c:v>0.40654598595601377</c:v>
                </c:pt>
                <c:pt idx="40">
                  <c:v>0.40462981231246864</c:v>
                </c:pt>
                <c:pt idx="41">
                  <c:v>0.40280510306735984</c:v>
                </c:pt>
                <c:pt idx="42">
                  <c:v>0.40115375426250671</c:v>
                </c:pt>
                <c:pt idx="43">
                  <c:v>0.39976283870341844</c:v>
                </c:pt>
                <c:pt idx="44">
                  <c:v>0.3987246059592951</c:v>
                </c:pt>
                <c:pt idx="45">
                  <c:v>0.39813648236302673</c:v>
                </c:pt>
                <c:pt idx="46">
                  <c:v>0.39810107101119413</c:v>
                </c:pt>
                <c:pt idx="47">
                  <c:v>0.3987261517640675</c:v>
                </c:pt>
                <c:pt idx="48">
                  <c:v>0.4001246812456079</c:v>
                </c:pt>
                <c:pt idx="49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'84'!$U$42:$U$91</c:f>
              <c:numCache>
                <c:formatCode>0.00</c:formatCode>
                <c:ptCount val="50"/>
                <c:pt idx="0">
                  <c:v>259.04234289999999</c:v>
                </c:pt>
                <c:pt idx="1">
                  <c:v>262.25366939756969</c:v>
                </c:pt>
                <c:pt idx="2">
                  <c:v>266.40039034107764</c:v>
                </c:pt>
                <c:pt idx="3">
                  <c:v>271.36250798842059</c:v>
                </c:pt>
                <c:pt idx="4">
                  <c:v>277.02520136118557</c:v>
                </c:pt>
                <c:pt idx="5">
                  <c:v>283.27882624465002</c:v>
                </c:pt>
                <c:pt idx="6">
                  <c:v>290.01891518778143</c:v>
                </c:pt>
                <c:pt idx="7">
                  <c:v>297.14617750323805</c:v>
                </c:pt>
                <c:pt idx="8">
                  <c:v>304.56649926736759</c:v>
                </c:pt>
                <c:pt idx="9">
                  <c:v>312.19094332020956</c:v>
                </c:pt>
                <c:pt idx="10">
                  <c:v>319.9357492654924</c:v>
                </c:pt>
                <c:pt idx="11">
                  <c:v>327.72233347063553</c:v>
                </c:pt>
                <c:pt idx="12">
                  <c:v>335.4772890667486</c:v>
                </c:pt>
                <c:pt idx="13">
                  <c:v>343.13238594863185</c:v>
                </c:pt>
                <c:pt idx="14">
                  <c:v>350.6245707747745</c:v>
                </c:pt>
                <c:pt idx="15">
                  <c:v>357.89596696735771</c:v>
                </c:pt>
                <c:pt idx="16">
                  <c:v>364.89387471225228</c:v>
                </c:pt>
                <c:pt idx="17">
                  <c:v>371.57077095901934</c:v>
                </c:pt>
                <c:pt idx="18">
                  <c:v>377.88430942091054</c:v>
                </c:pt>
                <c:pt idx="19">
                  <c:v>383.79732057486763</c:v>
                </c:pt>
                <c:pt idx="20">
                  <c:v>389.27781166152266</c:v>
                </c:pt>
                <c:pt idx="21">
                  <c:v>394.29896668519814</c:v>
                </c:pt>
                <c:pt idx="22">
                  <c:v>398.83914641390692</c:v>
                </c:pt>
                <c:pt idx="23">
                  <c:v>402.88188837935201</c:v>
                </c:pt>
                <c:pt idx="24">
                  <c:v>406.41590687692695</c:v>
                </c:pt>
                <c:pt idx="25">
                  <c:v>409.43509296571551</c:v>
                </c:pt>
                <c:pt idx="26">
                  <c:v>411.93851446849135</c:v>
                </c:pt>
                <c:pt idx="27">
                  <c:v>413.93041597171913</c:v>
                </c:pt>
                <c:pt idx="28">
                  <c:v>415.42021882555343</c:v>
                </c:pt>
                <c:pt idx="29">
                  <c:v>416.42252114383922</c:v>
                </c:pt>
                <c:pt idx="30">
                  <c:v>416.9570978041121</c:v>
                </c:pt>
                <c:pt idx="31">
                  <c:v>417.04890044759736</c:v>
                </c:pt>
                <c:pt idx="32">
                  <c:v>416.72805747921132</c:v>
                </c:pt>
                <c:pt idx="33">
                  <c:v>416.02987406755994</c:v>
                </c:pt>
                <c:pt idx="34">
                  <c:v>414.99483214493995</c:v>
                </c:pt>
                <c:pt idx="35">
                  <c:v>413.66859040733834</c:v>
                </c:pt>
                <c:pt idx="36">
                  <c:v>412.101984314432</c:v>
                </c:pt>
                <c:pt idx="37">
                  <c:v>410.35102608958914</c:v>
                </c:pt>
                <c:pt idx="38">
                  <c:v>408.47690471986698</c:v>
                </c:pt>
                <c:pt idx="39">
                  <c:v>406.54598595601379</c:v>
                </c:pt>
                <c:pt idx="40">
                  <c:v>404.62981231246863</c:v>
                </c:pt>
                <c:pt idx="41">
                  <c:v>402.80510306735982</c:v>
                </c:pt>
                <c:pt idx="42">
                  <c:v>401.15375426250671</c:v>
                </c:pt>
                <c:pt idx="43">
                  <c:v>399.76283870341842</c:v>
                </c:pt>
                <c:pt idx="44">
                  <c:v>398.7246059592951</c:v>
                </c:pt>
                <c:pt idx="45">
                  <c:v>398.13648236302674</c:v>
                </c:pt>
                <c:pt idx="46">
                  <c:v>398.10107101119411</c:v>
                </c:pt>
                <c:pt idx="47">
                  <c:v>398.72615176406748</c:v>
                </c:pt>
                <c:pt idx="48">
                  <c:v>400.12468124560792</c:v>
                </c:pt>
                <c:pt idx="49">
                  <c:v>402.41479284346678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6-4873-BCAE-F698F60DD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4.2088183078307702E-2</c:v>
                </c:pt>
                <c:pt idx="2">
                  <c:v>8.3322775576792907E-2</c:v>
                </c:pt>
                <c:pt idx="3">
                  <c:v>0.122796037861374</c:v>
                </c:pt>
                <c:pt idx="4">
                  <c:v>0.16014871828760799</c:v>
                </c:pt>
                <c:pt idx="5">
                  <c:v>0.195167334094865</c:v>
                </c:pt>
                <c:pt idx="6">
                  <c:v>0.22776181205071599</c:v>
                </c:pt>
                <c:pt idx="7">
                  <c:v>0.25794444256591897</c:v>
                </c:pt>
                <c:pt idx="8">
                  <c:v>0.28581014728000198</c:v>
                </c:pt>
                <c:pt idx="9">
                  <c:v>0.31151806011746003</c:v>
                </c:pt>
                <c:pt idx="10">
                  <c:v>0.33527442181454598</c:v>
                </c:pt>
                <c:pt idx="11">
                  <c:v>0.35731678791666599</c:v>
                </c:pt>
                <c:pt idx="12">
                  <c:v>0.377899550246378</c:v>
                </c:pt>
                <c:pt idx="13">
                  <c:v>0.397280771841997</c:v>
                </c:pt>
                <c:pt idx="14">
                  <c:v>0.41571033536679503</c:v>
                </c:pt>
                <c:pt idx="15">
                  <c:v>0.43341940498880699</c:v>
                </c:pt>
                <c:pt idx="16">
                  <c:v>0.45061120173124702</c:v>
                </c:pt>
                <c:pt idx="17">
                  <c:v>0.46745309229351101</c:v>
                </c:pt>
                <c:pt idx="18">
                  <c:v>0.48406999134279799</c:v>
                </c:pt>
                <c:pt idx="19">
                  <c:v>0.50053907727632396</c:v>
                </c:pt>
                <c:pt idx="20">
                  <c:v>0.51688582145414297</c:v>
                </c:pt>
                <c:pt idx="21">
                  <c:v>0.53308133090257004</c:v>
                </c:pt>
                <c:pt idx="22">
                  <c:v>0.54904100448820503</c:v>
                </c:pt>
                <c:pt idx="23">
                  <c:v>0.56462450256256003</c:v>
                </c:pt>
                <c:pt idx="24">
                  <c:v>0.57963703007729195</c:v>
                </c:pt>
                <c:pt idx="25">
                  <c:v>0.59383193317003302</c:v>
                </c:pt>
                <c:pt idx="26">
                  <c:v>0.60691460922082696</c:v>
                </c:pt>
                <c:pt idx="27">
                  <c:v>0.61854773037916599</c:v>
                </c:pt>
                <c:pt idx="28">
                  <c:v>0.62835778056163705</c:v>
                </c:pt>
                <c:pt idx="29">
                  <c:v>0.63594290592015601</c:v>
                </c:pt>
                <c:pt idx="30">
                  <c:v>0.64088207878082504</c:v>
                </c:pt>
                <c:pt idx="31">
                  <c:v>0.64274557505337204</c:v>
                </c:pt>
                <c:pt idx="32">
                  <c:v>0.64110676511120301</c:v>
                </c:pt>
                <c:pt idx="33">
                  <c:v>0.63555521814206495</c:v>
                </c:pt>
                <c:pt idx="34">
                  <c:v>0.62571111996928497</c:v>
                </c:pt>
                <c:pt idx="35">
                  <c:v>0.61124100434364603</c:v>
                </c:pt>
                <c:pt idx="36">
                  <c:v>0.59187479770584595</c:v>
                </c:pt>
                <c:pt idx="37">
                  <c:v>0.56742417741955997</c:v>
                </c:pt>
                <c:pt idx="38">
                  <c:v>0.53780224347509598</c:v>
                </c:pt>
                <c:pt idx="39">
                  <c:v>0.50304450366368303</c:v>
                </c:pt>
                <c:pt idx="40">
                  <c:v>0.46333117222233</c:v>
                </c:pt>
                <c:pt idx="41">
                  <c:v>0.41901078194932301</c:v>
                </c:pt>
                <c:pt idx="42">
                  <c:v>0.37062510979024998</c:v>
                </c:pt>
                <c:pt idx="43">
                  <c:v>0.31893541589475699</c:v>
                </c:pt>
                <c:pt idx="44">
                  <c:v>0.26494999614377301</c:v>
                </c:pt>
                <c:pt idx="45">
                  <c:v>0.20995304814740801</c:v>
                </c:pt>
                <c:pt idx="46">
                  <c:v>0.155534850713445</c:v>
                </c:pt>
                <c:pt idx="47">
                  <c:v>0.103623256786452</c:v>
                </c:pt>
                <c:pt idx="48">
                  <c:v>5.651649985743E-2</c:v>
                </c:pt>
                <c:pt idx="49">
                  <c:v>1.69173138441692E-2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'84'!$V$41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'84'!$P$42:$P$91</c:f>
              <c:numCache>
                <c:formatCode>0</c:formatCode>
                <c:ptCount val="50"/>
                <c:pt idx="0">
                  <c:v>0</c:v>
                </c:pt>
                <c:pt idx="1">
                  <c:v>12.938775510204</c:v>
                </c:pt>
                <c:pt idx="2">
                  <c:v>25.877551020408099</c:v>
                </c:pt>
                <c:pt idx="3">
                  <c:v>38.816326530612201</c:v>
                </c:pt>
                <c:pt idx="4">
                  <c:v>51.755102040816297</c:v>
                </c:pt>
                <c:pt idx="5">
                  <c:v>64.693877551020407</c:v>
                </c:pt>
                <c:pt idx="6">
                  <c:v>77.632653061224403</c:v>
                </c:pt>
                <c:pt idx="7">
                  <c:v>90.571428571428498</c:v>
                </c:pt>
                <c:pt idx="8">
                  <c:v>103.510204081632</c:v>
                </c:pt>
                <c:pt idx="9">
                  <c:v>116.44897959183599</c:v>
                </c:pt>
                <c:pt idx="10">
                  <c:v>129.38775510203999</c:v>
                </c:pt>
                <c:pt idx="11">
                  <c:v>142.326530612244</c:v>
                </c:pt>
                <c:pt idx="12">
                  <c:v>155.26530612244801</c:v>
                </c:pt>
                <c:pt idx="13">
                  <c:v>168.20408163265299</c:v>
                </c:pt>
                <c:pt idx="14">
                  <c:v>181.142857142857</c:v>
                </c:pt>
                <c:pt idx="15">
                  <c:v>194.08163265306104</c:v>
                </c:pt>
                <c:pt idx="16">
                  <c:v>207.02040816326499</c:v>
                </c:pt>
                <c:pt idx="17">
                  <c:v>219.95918367346903</c:v>
                </c:pt>
                <c:pt idx="18">
                  <c:v>232.89795918367301</c:v>
                </c:pt>
                <c:pt idx="19">
                  <c:v>245.83673469387702</c:v>
                </c:pt>
                <c:pt idx="20">
                  <c:v>258.775510204081</c:v>
                </c:pt>
                <c:pt idx="21">
                  <c:v>271.71428571428498</c:v>
                </c:pt>
                <c:pt idx="22">
                  <c:v>284.65306122448902</c:v>
                </c:pt>
                <c:pt idx="23">
                  <c:v>297.591836734693</c:v>
                </c:pt>
                <c:pt idx="24">
                  <c:v>310.53061224489699</c:v>
                </c:pt>
                <c:pt idx="25">
                  <c:v>323.46938775510199</c:v>
                </c:pt>
                <c:pt idx="26">
                  <c:v>336.40816326530597</c:v>
                </c:pt>
                <c:pt idx="27">
                  <c:v>349.34693877551001</c:v>
                </c:pt>
                <c:pt idx="28">
                  <c:v>362.28571428571399</c:v>
                </c:pt>
                <c:pt idx="29">
                  <c:v>375.22448979591798</c:v>
                </c:pt>
                <c:pt idx="30">
                  <c:v>388.16326530612207</c:v>
                </c:pt>
                <c:pt idx="31">
                  <c:v>401.102040816326</c:v>
                </c:pt>
                <c:pt idx="32">
                  <c:v>414.04081632652998</c:v>
                </c:pt>
                <c:pt idx="33">
                  <c:v>426.97959183673402</c:v>
                </c:pt>
                <c:pt idx="34">
                  <c:v>439.91836734693806</c:v>
                </c:pt>
                <c:pt idx="35">
                  <c:v>452.85714285714198</c:v>
                </c:pt>
                <c:pt idx="36">
                  <c:v>465.79591836734602</c:v>
                </c:pt>
                <c:pt idx="37">
                  <c:v>478.73469387755102</c:v>
                </c:pt>
                <c:pt idx="38">
                  <c:v>491.67346938775501</c:v>
                </c:pt>
                <c:pt idx="39">
                  <c:v>504.61224489795893</c:v>
                </c:pt>
                <c:pt idx="40">
                  <c:v>517.55102040816303</c:v>
                </c:pt>
                <c:pt idx="41">
                  <c:v>530.48979591836701</c:v>
                </c:pt>
                <c:pt idx="42">
                  <c:v>543.42857142857099</c:v>
                </c:pt>
                <c:pt idx="43">
                  <c:v>556.36734693877497</c:v>
                </c:pt>
                <c:pt idx="44">
                  <c:v>569.30612244897895</c:v>
                </c:pt>
                <c:pt idx="45">
                  <c:v>582.24489795918305</c:v>
                </c:pt>
                <c:pt idx="46">
                  <c:v>595.18367346938703</c:v>
                </c:pt>
                <c:pt idx="47">
                  <c:v>608.12244897959101</c:v>
                </c:pt>
                <c:pt idx="48">
                  <c:v>621.06122448979499</c:v>
                </c:pt>
                <c:pt idx="49">
                  <c:v>634</c:v>
                </c:pt>
              </c:numCache>
            </c:numRef>
          </c:xVal>
          <c:yVal>
            <c:numRef>
              <c:f>'84'!$V$42:$V$91</c:f>
              <c:numCache>
                <c:formatCode>0.00</c:formatCode>
                <c:ptCount val="50"/>
                <c:pt idx="0">
                  <c:v>-3.7904627959999999E-2</c:v>
                </c:pt>
                <c:pt idx="1">
                  <c:v>4.2088183078307528</c:v>
                </c:pt>
                <c:pt idx="2">
                  <c:v>8.3322775576792818</c:v>
                </c:pt>
                <c:pt idx="3">
                  <c:v>12.279603786137459</c:v>
                </c:pt>
                <c:pt idx="4">
                  <c:v>16.014871828760814</c:v>
                </c:pt>
                <c:pt idx="5">
                  <c:v>19.516733409486505</c:v>
                </c:pt>
                <c:pt idx="6">
                  <c:v>22.776181205071637</c:v>
                </c:pt>
                <c:pt idx="7">
                  <c:v>25.794444256591888</c:v>
                </c:pt>
                <c:pt idx="8">
                  <c:v>28.58101472800011</c:v>
                </c:pt>
                <c:pt idx="9">
                  <c:v>31.151806011745954</c:v>
                </c:pt>
                <c:pt idx="10">
                  <c:v>33.527442181454539</c:v>
                </c:pt>
                <c:pt idx="11">
                  <c:v>35.731678791666496</c:v>
                </c:pt>
                <c:pt idx="12">
                  <c:v>37.789955024637734</c:v>
                </c:pt>
                <c:pt idx="13">
                  <c:v>39.728077184199783</c:v>
                </c:pt>
                <c:pt idx="14">
                  <c:v>41.571033536679508</c:v>
                </c:pt>
                <c:pt idx="15">
                  <c:v>43.341940498880774</c:v>
                </c:pt>
                <c:pt idx="16">
                  <c:v>45.061120173124706</c:v>
                </c:pt>
                <c:pt idx="17">
                  <c:v>46.745309229351079</c:v>
                </c:pt>
                <c:pt idx="18">
                  <c:v>48.406999134279751</c:v>
                </c:pt>
                <c:pt idx="19">
                  <c:v>50.05390772763235</c:v>
                </c:pt>
                <c:pt idx="20">
                  <c:v>51.688582145414237</c:v>
                </c:pt>
                <c:pt idx="21">
                  <c:v>53.308133090256973</c:v>
                </c:pt>
                <c:pt idx="22">
                  <c:v>54.9041004488205</c:v>
                </c:pt>
                <c:pt idx="23">
                  <c:v>56.462450256256034</c:v>
                </c:pt>
                <c:pt idx="24">
                  <c:v>57.963703007729208</c:v>
                </c:pt>
                <c:pt idx="25">
                  <c:v>59.383193317003304</c:v>
                </c:pt>
                <c:pt idx="26">
                  <c:v>60.691460922082705</c:v>
                </c:pt>
                <c:pt idx="27">
                  <c:v>61.85477303791653</c:v>
                </c:pt>
                <c:pt idx="28">
                  <c:v>62.835778056163591</c:v>
                </c:pt>
                <c:pt idx="29">
                  <c:v>63.594290592015696</c:v>
                </c:pt>
                <c:pt idx="30">
                  <c:v>64.088207878082585</c:v>
                </c:pt>
                <c:pt idx="31">
                  <c:v>64.274557505337185</c:v>
                </c:pt>
                <c:pt idx="32">
                  <c:v>64.110676511120346</c:v>
                </c:pt>
                <c:pt idx="33">
                  <c:v>63.555521814206344</c:v>
                </c:pt>
                <c:pt idx="34">
                  <c:v>62.571111996928266</c:v>
                </c:pt>
                <c:pt idx="35">
                  <c:v>61.124100434365005</c:v>
                </c:pt>
                <c:pt idx="36">
                  <c:v>59.187479770584957</c:v>
                </c:pt>
                <c:pt idx="37">
                  <c:v>56.74241774195616</c:v>
                </c:pt>
                <c:pt idx="38">
                  <c:v>53.780224347509602</c:v>
                </c:pt>
                <c:pt idx="39">
                  <c:v>50.304450366368428</c:v>
                </c:pt>
                <c:pt idx="40">
                  <c:v>46.333117222233227</c:v>
                </c:pt>
                <c:pt idx="41">
                  <c:v>41.90107819493187</c:v>
                </c:pt>
                <c:pt idx="42">
                  <c:v>37.062510979025319</c:v>
                </c:pt>
                <c:pt idx="43">
                  <c:v>31.893541589476399</c:v>
                </c:pt>
                <c:pt idx="44">
                  <c:v>26.494999614377775</c:v>
                </c:pt>
                <c:pt idx="45">
                  <c:v>20.995304814741075</c:v>
                </c:pt>
                <c:pt idx="46">
                  <c:v>15.553485071344312</c:v>
                </c:pt>
                <c:pt idx="47">
                  <c:v>10.362325678644766</c:v>
                </c:pt>
                <c:pt idx="48">
                  <c:v>5.651649985743461</c:v>
                </c:pt>
                <c:pt idx="49">
                  <c:v>1.691731384416471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3-40C1-8DE8-92A9EE5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'84'!$AS$5:$AS$15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</c:v>
                </c:pt>
                <c:pt idx="8">
                  <c:v>3.469289085858271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0-4125-A015-EEF122BB6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'84'!$AS$16:$AS$26</c:f>
              <c:numCache>
                <c:formatCode>0.000</c:formatCode>
                <c:ptCount val="11"/>
                <c:pt idx="0">
                  <c:v>7.1882911409999997</c:v>
                </c:pt>
                <c:pt idx="1">
                  <c:v>7.6972794816019974</c:v>
                </c:pt>
                <c:pt idx="2">
                  <c:v>7.2888887705995842</c:v>
                </c:pt>
                <c:pt idx="3">
                  <c:v>6.9565443840795602</c:v>
                </c:pt>
                <c:pt idx="4">
                  <c:v>6.8509929768467392</c:v>
                </c:pt>
                <c:pt idx="5">
                  <c:v>6.7124574928558447</c:v>
                </c:pt>
                <c:pt idx="6">
                  <c:v>6.1976449837691874</c:v>
                </c:pt>
                <c:pt idx="7">
                  <c:v>5.1009919648642779</c:v>
                </c:pt>
                <c:pt idx="8">
                  <c:v>3.4692890858582697</c:v>
                </c:pt>
                <c:pt idx="9">
                  <c:v>1.6105297507335703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A9-412A-A886-676848D8F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'84'!$AT$5:$AT$15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0.4281738507065157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0.49548277102106136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EE-4B94-8901-387DB554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'84'!$AT$4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'84'!$AT$16:$AT$26</c:f>
              <c:numCache>
                <c:formatCode>0.000</c:formatCode>
                <c:ptCount val="11"/>
                <c:pt idx="0">
                  <c:v>0.2590423429</c:v>
                </c:pt>
                <c:pt idx="1">
                  <c:v>0.28262747815608602</c:v>
                </c:pt>
                <c:pt idx="2">
                  <c:v>0.31838189889698676</c:v>
                </c:pt>
                <c:pt idx="3">
                  <c:v>0.35573964820771298</c:v>
                </c:pt>
                <c:pt idx="4">
                  <c:v>0.3871391140204537</c:v>
                </c:pt>
                <c:pt idx="5">
                  <c:v>0.4079902374151716</c:v>
                </c:pt>
                <c:pt idx="6">
                  <c:v>0.41669099178759045</c:v>
                </c:pt>
                <c:pt idx="7">
                  <c:v>0.41462405749384867</c:v>
                </c:pt>
                <c:pt idx="8">
                  <c:v>0.40616135745456777</c:v>
                </c:pt>
                <c:pt idx="9">
                  <c:v>0.39864152069337194</c:v>
                </c:pt>
                <c:pt idx="10">
                  <c:v>0.40241479284346676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'84'!$AU$4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'84'!$AR$16:$AR$26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63.4</c:v>
                </c:pt>
                <c:pt idx="2">
                  <c:v>126.8</c:v>
                </c:pt>
                <c:pt idx="3">
                  <c:v>190.2</c:v>
                </c:pt>
                <c:pt idx="4">
                  <c:v>253.6</c:v>
                </c:pt>
                <c:pt idx="5">
                  <c:v>317</c:v>
                </c:pt>
                <c:pt idx="6">
                  <c:v>380.4</c:v>
                </c:pt>
                <c:pt idx="7">
                  <c:v>443.8</c:v>
                </c:pt>
                <c:pt idx="8">
                  <c:v>507.2</c:v>
                </c:pt>
                <c:pt idx="9">
                  <c:v>570.6</c:v>
                </c:pt>
                <c:pt idx="10">
                  <c:v>634</c:v>
                </c:pt>
              </c:numCache>
            </c:numRef>
          </c:xVal>
          <c:yVal>
            <c:numRef>
              <c:f>'84'!$AU$16:$AU$26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0.19177324586022487</c:v>
                </c:pt>
                <c:pt idx="2">
                  <c:v>0.33067631094038052</c:v>
                </c:pt>
                <c:pt idx="3">
                  <c:v>0.42817385070651565</c:v>
                </c:pt>
                <c:pt idx="4">
                  <c:v>0.51036050196184846</c:v>
                </c:pt>
                <c:pt idx="5">
                  <c:v>0.5868521540961722</c:v>
                </c:pt>
                <c:pt idx="6">
                  <c:v>0.63826673010238255</c:v>
                </c:pt>
                <c:pt idx="7">
                  <c:v>0.62187937701806417</c:v>
                </c:pt>
                <c:pt idx="8">
                  <c:v>0.4954827710210612</c:v>
                </c:pt>
                <c:pt idx="9">
                  <c:v>0.25946530037833182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BB-4163-B363-3A5A3A04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7-4E45-A553-608612B2B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25-47A3-8EE9-2F40B249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'86'!$C$42:$C$91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9-43EE-85C8-E8A642E5398A}"/>
            </c:ext>
          </c:extLst>
        </c:ser>
        <c:ser>
          <c:idx val="1"/>
          <c:order val="1"/>
          <c:tx>
            <c:strRef>
              <c:f>'86'!$G$41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'86'!$G$42:$G$91</c:f>
              <c:numCache>
                <c:formatCode>0.000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6.8447396981118471</c:v>
                </c:pt>
                <c:pt idx="8">
                  <c:v>6.8030440360558044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6.4189850821297192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5.2918825522043331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5.0795092261759969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4.8910217019197813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2.4464247717426062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9-43EE-85C8-E8A642E53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7-41D7-B477-7892FD495C37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'86'!$K$42:$K$91</c:f>
              <c:numCache>
                <c:formatCode>0.000</c:formatCode>
                <c:ptCount val="50"/>
                <c:pt idx="0">
                  <c:v>-4.5085906239999999E-3</c:v>
                </c:pt>
                <c:pt idx="1">
                  <c:v>3.3667970938259073E-2</c:v>
                </c:pt>
                <c:pt idx="2">
                  <c:v>6.8328495779272774E-2</c:v>
                </c:pt>
                <c:pt idx="3">
                  <c:v>9.9880452787667662E-2</c:v>
                </c:pt>
                <c:pt idx="4">
                  <c:v>0.12870660912489704</c:v>
                </c:pt>
                <c:pt idx="5">
                  <c:v>0.15516503022524067</c:v>
                </c:pt>
                <c:pt idx="6">
                  <c:v>0.1795890797958053</c:v>
                </c:pt>
                <c:pt idx="7">
                  <c:v>0.20228741981652321</c:v>
                </c:pt>
                <c:pt idx="8">
                  <c:v>0.22354401054015521</c:v>
                </c:pt>
                <c:pt idx="9">
                  <c:v>0.24361811049228532</c:v>
                </c:pt>
                <c:pt idx="10">
                  <c:v>0.26274427647132864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0.31641021264645397</c:v>
                </c:pt>
                <c:pt idx="14">
                  <c:v>0.33359617617380055</c:v>
                </c:pt>
                <c:pt idx="15">
                  <c:v>0.35063646381252106</c:v>
                </c:pt>
                <c:pt idx="16">
                  <c:v>0.36761742199798647</c:v>
                </c:pt>
                <c:pt idx="17">
                  <c:v>0.38460069543839492</c:v>
                </c:pt>
                <c:pt idx="18">
                  <c:v>0.40162322711477072</c:v>
                </c:pt>
                <c:pt idx="19">
                  <c:v>0.41869725828096693</c:v>
                </c:pt>
                <c:pt idx="20">
                  <c:v>0.43581032846366058</c:v>
                </c:pt>
                <c:pt idx="21">
                  <c:v>0.45292527546235639</c:v>
                </c:pt>
                <c:pt idx="22">
                  <c:v>0.46998023534938532</c:v>
                </c:pt>
                <c:pt idx="23">
                  <c:v>0.48688864246990393</c:v>
                </c:pt>
                <c:pt idx="24">
                  <c:v>0.50353922944189844</c:v>
                </c:pt>
                <c:pt idx="25">
                  <c:v>0.51979602715617856</c:v>
                </c:pt>
                <c:pt idx="26">
                  <c:v>0.53549836477638146</c:v>
                </c:pt>
                <c:pt idx="27">
                  <c:v>0.5504608697389709</c:v>
                </c:pt>
                <c:pt idx="28">
                  <c:v>0.56447346775323648</c:v>
                </c:pt>
                <c:pt idx="29">
                  <c:v>0.57730138280129706</c:v>
                </c:pt>
                <c:pt idx="30">
                  <c:v>0.58868513713809423</c:v>
                </c:pt>
                <c:pt idx="31">
                  <c:v>0.59834055129139851</c:v>
                </c:pt>
                <c:pt idx="32">
                  <c:v>0.60595874406180594</c:v>
                </c:pt>
                <c:pt idx="33">
                  <c:v>0.61120613252274092</c:v>
                </c:pt>
                <c:pt idx="34">
                  <c:v>0.61372443202045102</c:v>
                </c:pt>
                <c:pt idx="35">
                  <c:v>0.6131306561740143</c:v>
                </c:pt>
                <c:pt idx="36">
                  <c:v>0.60901711687533289</c:v>
                </c:pt>
                <c:pt idx="37">
                  <c:v>0.60095142428913395</c:v>
                </c:pt>
                <c:pt idx="38">
                  <c:v>0.58847648685297604</c:v>
                </c:pt>
                <c:pt idx="39">
                  <c:v>0.57111051127723922</c:v>
                </c:pt>
                <c:pt idx="40">
                  <c:v>0.54834700254513447</c:v>
                </c:pt>
                <c:pt idx="41">
                  <c:v>0.51965476391269649</c:v>
                </c:pt>
                <c:pt idx="42">
                  <c:v>0.48447789690878496</c:v>
                </c:pt>
                <c:pt idx="43">
                  <c:v>0.44223580133508961</c:v>
                </c:pt>
                <c:pt idx="44">
                  <c:v>0.39232317526612576</c:v>
                </c:pt>
                <c:pt idx="45">
                  <c:v>0.33411001504923943</c:v>
                </c:pt>
                <c:pt idx="46">
                  <c:v>0.26694161530458926</c:v>
                </c:pt>
                <c:pt idx="47">
                  <c:v>0.19013856892517653</c:v>
                </c:pt>
                <c:pt idx="48">
                  <c:v>0.10299676707681783</c:v>
                </c:pt>
                <c:pt idx="49">
                  <c:v>4.7873991981646213E-3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7-41D7-B477-7892FD495C37}"/>
            </c:ext>
          </c:extLst>
        </c:ser>
        <c:ser>
          <c:idx val="2"/>
          <c:order val="2"/>
          <c:tx>
            <c:strRef>
              <c:f>'86'!$N$41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'86'!$N$42:$N$91</c:f>
              <c:numCache>
                <c:formatCode>0.000</c:formatCode>
                <c:ptCount val="50"/>
                <c:pt idx="0">
                  <c:v>0</c:v>
                </c:pt>
                <c:pt idx="1">
                  <c:v>3.1385190701827652E-2</c:v>
                </c:pt>
                <c:pt idx="2">
                  <c:v>6.0071844700078168E-2</c:v>
                </c:pt>
                <c:pt idx="3">
                  <c:v>8.7021530304107239E-2</c:v>
                </c:pt>
                <c:pt idx="4">
                  <c:v>0.11286306742890456</c:v>
                </c:pt>
                <c:pt idx="5">
                  <c:v>0.13799803593202986</c:v>
                </c:pt>
                <c:pt idx="6">
                  <c:v>0.16266880029575984</c:v>
                </c:pt>
                <c:pt idx="7">
                  <c:v>0.18700414086276496</c:v>
                </c:pt>
                <c:pt idx="8">
                  <c:v>0.21105109107832543</c:v>
                </c:pt>
                <c:pt idx="9">
                  <c:v>0.23479806130790298</c:v>
                </c:pt>
                <c:pt idx="10">
                  <c:v>0.25819233620478216</c:v>
                </c:pt>
                <c:pt idx="11">
                  <c:v>0.28115385507649765</c:v>
                </c:pt>
                <c:pt idx="12">
                  <c:v>0.3035864601183107</c:v>
                </c:pt>
                <c:pt idx="13">
                  <c:v>0.32538733318853963</c:v>
                </c:pt>
                <c:pt idx="14">
                  <c:v>0.34645503329626426</c:v>
                </c:pt>
                <c:pt idx="15">
                  <c:v>0.36669633655560474</c:v>
                </c:pt>
                <c:pt idx="16">
                  <c:v>0.3860319364974531</c:v>
                </c:pt>
                <c:pt idx="17">
                  <c:v>0.40440096841019318</c:v>
                </c:pt>
                <c:pt idx="18">
                  <c:v>0.4217642678753466</c:v>
                </c:pt>
                <c:pt idx="19">
                  <c:v>0.43810625576380174</c:v>
                </c:pt>
                <c:pt idx="20">
                  <c:v>0.45343535562725296</c:v>
                </c:pt>
                <c:pt idx="21">
                  <c:v>0.46778288989499328</c:v>
                </c:pt>
                <c:pt idx="22">
                  <c:v>0.48120046207461203</c:v>
                </c:pt>
                <c:pt idx="23">
                  <c:v>0.49375590478234688</c:v>
                </c:pt>
                <c:pt idx="24">
                  <c:v>0.50552794789286426</c:v>
                </c:pt>
                <c:pt idx="25">
                  <c:v>0.51659982688658201</c:v>
                </c:pt>
                <c:pt idx="26">
                  <c:v>0.52705209889874027</c:v>
                </c:pt>
                <c:pt idx="27">
                  <c:v>0.53695495550854622</c:v>
                </c:pt>
                <c:pt idx="28">
                  <c:v>0.54636031257151241</c:v>
                </c:pt>
                <c:pt idx="29">
                  <c:v>0.55529391756863444</c:v>
                </c:pt>
                <c:pt idx="30">
                  <c:v>0.56374764644042175</c:v>
                </c:pt>
                <c:pt idx="31">
                  <c:v>0.57167206937800341</c:v>
                </c:pt>
                <c:pt idx="32">
                  <c:v>0.57896925405025967</c:v>
                </c:pt>
                <c:pt idx="33">
                  <c:v>0.58548564984516738</c:v>
                </c:pt>
                <c:pt idx="34">
                  <c:v>0.5910047598323297</c:v>
                </c:pt>
                <c:pt idx="35">
                  <c:v>0.59523915589211362</c:v>
                </c:pt>
                <c:pt idx="36">
                  <c:v>0.5978212182721393</c:v>
                </c:pt>
                <c:pt idx="37">
                  <c:v>0.59829176692470765</c:v>
                </c:pt>
                <c:pt idx="38">
                  <c:v>0.59608547006423251</c:v>
                </c:pt>
                <c:pt idx="39">
                  <c:v>0.59051152025943798</c:v>
                </c:pt>
                <c:pt idx="40">
                  <c:v>0.58072748830529963</c:v>
                </c:pt>
                <c:pt idx="41">
                  <c:v>0.56570338450058499</c:v>
                </c:pt>
                <c:pt idx="42">
                  <c:v>0.54417158463715931</c:v>
                </c:pt>
                <c:pt idx="43">
                  <c:v>0.51455608823299126</c:v>
                </c:pt>
                <c:pt idx="44">
                  <c:v>0.47487099593846799</c:v>
                </c:pt>
                <c:pt idx="45">
                  <c:v>0.42257207710098804</c:v>
                </c:pt>
                <c:pt idx="46">
                  <c:v>0.3543348721652152</c:v>
                </c:pt>
                <c:pt idx="47">
                  <c:v>0.26571404572518847</c:v>
                </c:pt>
                <c:pt idx="48">
                  <c:v>0.15060363643945171</c:v>
                </c:pt>
                <c:pt idx="49">
                  <c:v>3.489195549995808E-4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B7-41D7-B477-7892FD495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'86'!$E$42:$E$91</c:f>
              <c:numCache>
                <c:formatCode>0.000</c:formatCode>
                <c:ptCount val="50"/>
                <c:pt idx="0">
                  <c:v>0</c:v>
                </c:pt>
                <c:pt idx="1">
                  <c:v>0.38472196415459398</c:v>
                </c:pt>
                <c:pt idx="2">
                  <c:v>0.37445476631893099</c:v>
                </c:pt>
                <c:pt idx="3">
                  <c:v>0.38062583807113198</c:v>
                </c:pt>
                <c:pt idx="4">
                  <c:v>0.390913570476491</c:v>
                </c:pt>
                <c:pt idx="5">
                  <c:v>0.40280252561317098</c:v>
                </c:pt>
                <c:pt idx="6">
                  <c:v>0.41526011750601799</c:v>
                </c:pt>
                <c:pt idx="7">
                  <c:v>0.42767263630942498</c:v>
                </c:pt>
                <c:pt idx="8">
                  <c:v>0.43959788359262902</c:v>
                </c:pt>
                <c:pt idx="9">
                  <c:v>0.45069096539564502</c:v>
                </c:pt>
                <c:pt idx="10">
                  <c:v>0.46067994766597198</c:v>
                </c:pt>
                <c:pt idx="11">
                  <c:v>0.46935823954221101</c:v>
                </c:pt>
                <c:pt idx="12">
                  <c:v>0.47658253095943198</c:v>
                </c:pt>
                <c:pt idx="13">
                  <c:v>0.48227184279172902</c:v>
                </c:pt>
                <c:pt idx="14">
                  <c:v>0.48640574980093998</c:v>
                </c:pt>
                <c:pt idx="15">
                  <c:v>0.48902096255093103</c:v>
                </c:pt>
                <c:pt idx="16">
                  <c:v>0.49020606159239599</c:v>
                </c:pt>
                <c:pt idx="17">
                  <c:v>0.49009454670124403</c:v>
                </c:pt>
                <c:pt idx="18">
                  <c:v>0.48885659212670102</c:v>
                </c:pt>
                <c:pt idx="19">
                  <c:v>0.48669002164476499</c:v>
                </c:pt>
                <c:pt idx="20">
                  <c:v>0.483811053725826</c:v>
                </c:pt>
                <c:pt idx="21">
                  <c:v>0.48044533446138799</c:v>
                </c:pt>
                <c:pt idx="22">
                  <c:v>0.47681969320055401</c:v>
                </c:pt>
                <c:pt idx="23">
                  <c:v>0.473154943482755</c:v>
                </c:pt>
                <c:pt idx="24">
                  <c:v>0.46965992908274601</c:v>
                </c:pt>
                <c:pt idx="25">
                  <c:v>0.46652689775570699</c:v>
                </c:pt>
                <c:pt idx="26">
                  <c:v>0.46392818485460902</c:v>
                </c:pt>
                <c:pt idx="27">
                  <c:v>0.46201411165399198</c:v>
                </c:pt>
                <c:pt idx="28">
                  <c:v>0.46091195075157498</c:v>
                </c:pt>
                <c:pt idx="29">
                  <c:v>0.46072578172258799</c:v>
                </c:pt>
                <c:pt idx="30">
                  <c:v>0.46153705048930799</c:v>
                </c:pt>
                <c:pt idx="31">
                  <c:v>0.46340565081797103</c:v>
                </c:pt>
                <c:pt idx="32">
                  <c:v>0.46637136097287701</c:v>
                </c:pt>
                <c:pt idx="33">
                  <c:v>0.47045548821573302</c:v>
                </c:pt>
                <c:pt idx="34">
                  <c:v>0.47566259448225401</c:v>
                </c:pt>
                <c:pt idx="35">
                  <c:v>0.48198219459937403</c:v>
                </c:pt>
                <c:pt idx="36">
                  <c:v>0.48939033020880801</c:v>
                </c:pt>
                <c:pt idx="37">
                  <c:v>0.49785092349410298</c:v>
                </c:pt>
                <c:pt idx="38">
                  <c:v>0.50731679713318201</c:v>
                </c:pt>
                <c:pt idx="39">
                  <c:v>0.51773019526555497</c:v>
                </c:pt>
                <c:pt idx="40">
                  <c:v>0.529022520941407</c:v>
                </c:pt>
                <c:pt idx="41">
                  <c:v>0.54111273849567698</c:v>
                </c:pt>
                <c:pt idx="42">
                  <c:v>0.55390326913005405</c:v>
                </c:pt>
                <c:pt idx="43">
                  <c:v>0.56727065472521299</c:v>
                </c:pt>
                <c:pt idx="44">
                  <c:v>0.58104393331770299</c:v>
                </c:pt>
                <c:pt idx="45">
                  <c:v>0.59494969663115504</c:v>
                </c:pt>
                <c:pt idx="46">
                  <c:v>0.60844753566665499</c:v>
                </c:pt>
                <c:pt idx="47">
                  <c:v>0.62008120550069301</c:v>
                </c:pt>
                <c:pt idx="48">
                  <c:v>0.62310498246220403</c:v>
                </c:pt>
                <c:pt idx="49">
                  <c:v>2.95440644279793E-2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E-45DE-9DA4-5E0FACCA967B}"/>
            </c:ext>
          </c:extLst>
        </c:ser>
        <c:ser>
          <c:idx val="1"/>
          <c:order val="1"/>
          <c:tx>
            <c:strRef>
              <c:f>'86'!$I$41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'86'!$I$42:$I$91</c:f>
              <c:numCache>
                <c:formatCode>0.000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EE-45DE-9DA4-5E0FACCA967B}"/>
            </c:ext>
          </c:extLst>
        </c:ser>
        <c:ser>
          <c:idx val="2"/>
          <c:order val="2"/>
          <c:tx>
            <c:strRef>
              <c:f>'86'!$M$41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'86'!$B$42:$B$91</c:f>
              <c:numCache>
                <c:formatCode>0</c:formatCode>
                <c:ptCount val="50"/>
                <c:pt idx="0">
                  <c:v>0</c:v>
                </c:pt>
                <c:pt idx="1">
                  <c:v>15.9183673469387</c:v>
                </c:pt>
                <c:pt idx="2">
                  <c:v>31.836734693877499</c:v>
                </c:pt>
                <c:pt idx="3">
                  <c:v>47.755102040816297</c:v>
                </c:pt>
                <c:pt idx="4">
                  <c:v>63.673469387755098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</c:v>
                </c:pt>
                <c:pt idx="8">
                  <c:v>127.34693877551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206.93877551020401</c:v>
                </c:pt>
                <c:pt idx="14">
                  <c:v>222.85714285714201</c:v>
                </c:pt>
                <c:pt idx="15">
                  <c:v>238.775510204081</c:v>
                </c:pt>
                <c:pt idx="16">
                  <c:v>254.69387755101999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413.87755102040802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461.632653061224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509.38775510203999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716.32653061224403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'86'!$M$42:$M$91</c:f>
              <c:numCache>
                <c:formatCode>0.000</c:formatCode>
                <c:ptCount val="50"/>
                <c:pt idx="0">
                  <c:v>0</c:v>
                </c:pt>
                <c:pt idx="1">
                  <c:v>0.3851016744055582</c:v>
                </c:pt>
                <c:pt idx="2">
                  <c:v>0.37482434312124902</c:v>
                </c:pt>
                <c:pt idx="3">
                  <c:v>0.38100150555560963</c:v>
                </c:pt>
                <c:pt idx="4">
                  <c:v>0.39129939167668487</c:v>
                </c:pt>
                <c:pt idx="5">
                  <c:v>0.40320008089293158</c:v>
                </c:pt>
                <c:pt idx="6">
                  <c:v>0.41566996809455919</c:v>
                </c:pt>
                <c:pt idx="7">
                  <c:v>0.42809473772081735</c:v>
                </c:pt>
                <c:pt idx="8">
                  <c:v>0.44003175490296381</c:v>
                </c:pt>
                <c:pt idx="9">
                  <c:v>0.45113578527993076</c:v>
                </c:pt>
                <c:pt idx="10">
                  <c:v>0.46113462640760955</c:v>
                </c:pt>
                <c:pt idx="11">
                  <c:v>0.46982148352496589</c:v>
                </c:pt>
                <c:pt idx="12">
                  <c:v>0.47705290512388376</c:v>
                </c:pt>
                <c:pt idx="13">
                  <c:v>0.48274783215423306</c:v>
                </c:pt>
                <c:pt idx="14">
                  <c:v>0.4868858192186889</c:v>
                </c:pt>
                <c:pt idx="15">
                  <c:v>0.48950361311346041</c:v>
                </c:pt>
                <c:pt idx="16">
                  <c:v>0.4906898818158667</c:v>
                </c:pt>
                <c:pt idx="17">
                  <c:v>0.49057825686251044</c:v>
                </c:pt>
                <c:pt idx="18">
                  <c:v>0.48933908046003421</c:v>
                </c:pt>
                <c:pt idx="19">
                  <c:v>0.48717037163119264</c:v>
                </c:pt>
                <c:pt idx="20">
                  <c:v>0.48428856224820155</c:v>
                </c:pt>
                <c:pt idx="21">
                  <c:v>0.48091952110920172</c:v>
                </c:pt>
                <c:pt idx="22">
                  <c:v>0.47729030143777201</c:v>
                </c:pt>
                <c:pt idx="23">
                  <c:v>0.47362193471037989</c:v>
                </c:pt>
                <c:pt idx="24">
                  <c:v>0.47012347082497929</c:v>
                </c:pt>
                <c:pt idx="25">
                  <c:v>0.46698734728012448</c:v>
                </c:pt>
                <c:pt idx="26">
                  <c:v>0.46438606951915518</c:v>
                </c:pt>
                <c:pt idx="27">
                  <c:v>0.46247010717967119</c:v>
                </c:pt>
                <c:pt idx="28">
                  <c:v>0.46136685847403003</c:v>
                </c:pt>
                <c:pt idx="29">
                  <c:v>0.46118050570120905</c:v>
                </c:pt>
                <c:pt idx="30">
                  <c:v>0.4619925751684244</c:v>
                </c:pt>
                <c:pt idx="31">
                  <c:v>0.46386301975544947</c:v>
                </c:pt>
                <c:pt idx="32">
                  <c:v>0.46683165698666601</c:v>
                </c:pt>
                <c:pt idx="33">
                  <c:v>0.47091981515347314</c:v>
                </c:pt>
                <c:pt idx="34">
                  <c:v>0.47613206069409791</c:v>
                </c:pt>
                <c:pt idx="35">
                  <c:v>0.48245789808688727</c:v>
                </c:pt>
                <c:pt idx="36">
                  <c:v>0.48987334532729976</c:v>
                </c:pt>
                <c:pt idx="37">
                  <c:v>0.49834228899104671</c:v>
                </c:pt>
                <c:pt idx="38">
                  <c:v>0.50781750519330271</c:v>
                </c:pt>
                <c:pt idx="39">
                  <c:v>0.51824118107009021</c:v>
                </c:pt>
                <c:pt idx="40">
                  <c:v>0.52954465196824696</c:v>
                </c:pt>
                <c:pt idx="41">
                  <c:v>0.54164680224268402</c:v>
                </c:pt>
                <c:pt idx="42">
                  <c:v>0.55444995678744602</c:v>
                </c:pt>
                <c:pt idx="43">
                  <c:v>0.56783053563334396</c:v>
                </c:pt>
                <c:pt idx="44">
                  <c:v>0.58161740808207141</c:v>
                </c:pt>
                <c:pt idx="45">
                  <c:v>0.59553689601061421</c:v>
                </c:pt>
                <c:pt idx="46">
                  <c:v>0.60904805705089915</c:v>
                </c:pt>
                <c:pt idx="47">
                  <c:v>0.620693209004756</c:v>
                </c:pt>
                <c:pt idx="48">
                  <c:v>0.6237199703529579</c:v>
                </c:pt>
                <c:pt idx="49">
                  <c:v>2.9573223626474937E-2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EE-45DE-9DA4-5E0FACCA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43-4415-B97B-2DF4A9EEB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B-4242-94A3-483192C93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'86'!$Q$42:$Q$91</c:f>
              <c:numCache>
                <c:formatCode>General</c:formatCode>
                <c:ptCount val="50"/>
                <c:pt idx="0">
                  <c:v>7.2921954849999997</c:v>
                </c:pt>
                <c:pt idx="1">
                  <c:v>7.1736232279565701</c:v>
                </c:pt>
                <c:pt idx="2">
                  <c:v>7.0850980595597504</c:v>
                </c:pt>
                <c:pt idx="3">
                  <c:v>7.0183036141940898</c:v>
                </c:pt>
                <c:pt idx="4">
                  <c:v>6.9662048691932599</c:v>
                </c:pt>
                <c:pt idx="5">
                  <c:v>6.9229416156725296</c:v>
                </c:pt>
                <c:pt idx="6">
                  <c:v>6.8837253660293198</c:v>
                </c:pt>
                <c:pt idx="7">
                  <c:v>6.84473969811184</c:v>
                </c:pt>
                <c:pt idx="8">
                  <c:v>6.8030440360558</c:v>
                </c:pt>
                <c:pt idx="9">
                  <c:v>6.7564808677891497</c:v>
                </c:pt>
                <c:pt idx="10">
                  <c:v>6.7035863992049398</c:v>
                </c:pt>
                <c:pt idx="11">
                  <c:v>6.6435046450022499</c:v>
                </c:pt>
                <c:pt idx="12">
                  <c:v>6.5759049561951803</c:v>
                </c:pt>
                <c:pt idx="13">
                  <c:v>6.5009029842898798</c:v>
                </c:pt>
                <c:pt idx="14">
                  <c:v>6.4189850821297103</c:v>
                </c:pt>
                <c:pt idx="15">
                  <c:v>6.33093614140844</c:v>
                </c:pt>
                <c:pt idx="16">
                  <c:v>6.2377708668515499</c:v>
                </c:pt>
                <c:pt idx="17">
                  <c:v>6.1406684870655202</c:v>
                </c:pt>
                <c:pt idx="18">
                  <c:v>6.04091090205534</c:v>
                </c:pt>
                <c:pt idx="19">
                  <c:v>5.9398242674099198</c:v>
                </c:pt>
                <c:pt idx="20">
                  <c:v>5.8387240151557203</c:v>
                </c:pt>
                <c:pt idx="21">
                  <c:v>5.7388633112783598</c:v>
                </c:pt>
                <c:pt idx="22">
                  <c:v>5.6413849499123403</c:v>
                </c:pt>
                <c:pt idx="23">
                  <c:v>5.5472766841988204</c:v>
                </c:pt>
                <c:pt idx="24">
                  <c:v>5.4573299938114799</c:v>
                </c:pt>
                <c:pt idx="25">
                  <c:v>5.3721022891504502</c:v>
                </c:pt>
                <c:pt idx="26">
                  <c:v>5.2918825522043296</c:v>
                </c:pt>
                <c:pt idx="27">
                  <c:v>5.21666041408022</c:v>
                </c:pt>
                <c:pt idx="28">
                  <c:v>5.1460986692018897</c:v>
                </c:pt>
                <c:pt idx="29">
                  <c:v>5.0795092261760102</c:v>
                </c:pt>
                <c:pt idx="30">
                  <c:v>5.0158324953264497</c:v>
                </c:pt>
                <c:pt idx="31">
                  <c:v>4.9536202128965803</c:v>
                </c:pt>
                <c:pt idx="32">
                  <c:v>4.8910217019197901</c:v>
                </c:pt>
                <c:pt idx="33">
                  <c:v>4.8257735697579296</c:v>
                </c:pt>
                <c:pt idx="34">
                  <c:v>4.7551928423079097</c:v>
                </c:pt>
                <c:pt idx="35">
                  <c:v>4.6761735348763702</c:v>
                </c:pt>
                <c:pt idx="36">
                  <c:v>4.5851866597224298</c:v>
                </c:pt>
                <c:pt idx="37">
                  <c:v>4.4782836702683397</c:v>
                </c:pt>
                <c:pt idx="38">
                  <c:v>4.3511033419786198</c:v>
                </c:pt>
                <c:pt idx="39">
                  <c:v>4.1988820899067001</c:v>
                </c:pt>
                <c:pt idx="40">
                  <c:v>4.0164677229101304</c:v>
                </c:pt>
                <c:pt idx="41">
                  <c:v>3.7983366345335501</c:v>
                </c:pt>
                <c:pt idx="42">
                  <c:v>3.53861443056004</c:v>
                </c:pt>
                <c:pt idx="43">
                  <c:v>3.2310999932300901</c:v>
                </c:pt>
                <c:pt idx="44">
                  <c:v>2.86929298212916</c:v>
                </c:pt>
                <c:pt idx="45">
                  <c:v>2.4464247717426701</c:v>
                </c:pt>
                <c:pt idx="46">
                  <c:v>1.9554928256800099</c:v>
                </c:pt>
                <c:pt idx="47">
                  <c:v>1.3892985075656401</c:v>
                </c:pt>
                <c:pt idx="48">
                  <c:v>0.74048832859858005</c:v>
                </c:pt>
                <c:pt idx="49">
                  <c:v>1.59863178068064E-3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90-43DA-AAEB-3D9145706425}"/>
            </c:ext>
          </c:extLst>
        </c:ser>
        <c:ser>
          <c:idx val="1"/>
          <c:order val="1"/>
          <c:tx>
            <c:strRef>
              <c:f>'86'!$T$41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'86'!$T$42:$T$91</c:f>
              <c:numCache>
                <c:formatCode>0.00</c:formatCode>
                <c:ptCount val="50"/>
                <c:pt idx="0">
                  <c:v>7.2921954849999997</c:v>
                </c:pt>
                <c:pt idx="1">
                  <c:v>7.1736232279565719</c:v>
                </c:pt>
                <c:pt idx="2">
                  <c:v>7.0850980595597521</c:v>
                </c:pt>
                <c:pt idx="3">
                  <c:v>7.0183036141940951</c:v>
                </c:pt>
                <c:pt idx="4">
                  <c:v>6.9662048691932643</c:v>
                </c:pt>
                <c:pt idx="5">
                  <c:v>6.9229416156725305</c:v>
                </c:pt>
                <c:pt idx="6">
                  <c:v>6.8837253660293198</c:v>
                </c:pt>
                <c:pt idx="7">
                  <c:v>6.8447396981118462</c:v>
                </c:pt>
                <c:pt idx="8">
                  <c:v>6.8030440360558035</c:v>
                </c:pt>
                <c:pt idx="9">
                  <c:v>6.7564808677891532</c:v>
                </c:pt>
                <c:pt idx="10">
                  <c:v>6.7035863992049443</c:v>
                </c:pt>
                <c:pt idx="11">
                  <c:v>6.6435046450022623</c:v>
                </c:pt>
                <c:pt idx="12">
                  <c:v>6.5759049561951883</c:v>
                </c:pt>
                <c:pt idx="13">
                  <c:v>6.5009029842898851</c:v>
                </c:pt>
                <c:pt idx="14">
                  <c:v>6.4189850821297174</c:v>
                </c:pt>
                <c:pt idx="15">
                  <c:v>6.3309361414084533</c:v>
                </c:pt>
                <c:pt idx="16">
                  <c:v>6.2377708668515552</c:v>
                </c:pt>
                <c:pt idx="17">
                  <c:v>6.1406684870655281</c:v>
                </c:pt>
                <c:pt idx="18">
                  <c:v>6.040910902055348</c:v>
                </c:pt>
                <c:pt idx="19">
                  <c:v>5.9398242674099304</c:v>
                </c:pt>
                <c:pt idx="20">
                  <c:v>5.8387240151557309</c:v>
                </c:pt>
                <c:pt idx="21">
                  <c:v>5.7388633112783669</c:v>
                </c:pt>
                <c:pt idx="22">
                  <c:v>5.6413849499123447</c:v>
                </c:pt>
                <c:pt idx="23">
                  <c:v>5.5472766841988266</c:v>
                </c:pt>
                <c:pt idx="24">
                  <c:v>5.4573299938114799</c:v>
                </c:pt>
                <c:pt idx="25">
                  <c:v>5.372102289150452</c:v>
                </c:pt>
                <c:pt idx="26">
                  <c:v>5.291882552204326</c:v>
                </c:pt>
                <c:pt idx="27">
                  <c:v>5.21666041408022</c:v>
                </c:pt>
                <c:pt idx="28">
                  <c:v>5.1460986692018871</c:v>
                </c:pt>
                <c:pt idx="29">
                  <c:v>5.0795092261760058</c:v>
                </c:pt>
                <c:pt idx="30">
                  <c:v>5.0158324953264399</c:v>
                </c:pt>
                <c:pt idx="31">
                  <c:v>4.9536202128965767</c:v>
                </c:pt>
                <c:pt idx="32">
                  <c:v>4.8910217019197848</c:v>
                </c:pt>
                <c:pt idx="33">
                  <c:v>4.8257735697579047</c:v>
                </c:pt>
                <c:pt idx="34">
                  <c:v>4.7551928423078946</c:v>
                </c:pt>
                <c:pt idx="35">
                  <c:v>4.6761735348763551</c:v>
                </c:pt>
                <c:pt idx="36">
                  <c:v>4.5851866597223871</c:v>
                </c:pt>
                <c:pt idx="37">
                  <c:v>4.4782836702683344</c:v>
                </c:pt>
                <c:pt idx="38">
                  <c:v>4.3511033419785754</c:v>
                </c:pt>
                <c:pt idx="39">
                  <c:v>4.1988820899066539</c:v>
                </c:pt>
                <c:pt idx="40">
                  <c:v>4.0164677229100292</c:v>
                </c:pt>
                <c:pt idx="41">
                  <c:v>3.7983366345335163</c:v>
                </c:pt>
                <c:pt idx="42">
                  <c:v>3.5386144305599743</c:v>
                </c:pt>
                <c:pt idx="43">
                  <c:v>3.2310999932300213</c:v>
                </c:pt>
                <c:pt idx="44">
                  <c:v>2.8692929821290392</c:v>
                </c:pt>
                <c:pt idx="45">
                  <c:v>2.446424771742592</c:v>
                </c:pt>
                <c:pt idx="46">
                  <c:v>1.9554928256798902</c:v>
                </c:pt>
                <c:pt idx="47">
                  <c:v>1.3892985075654778</c:v>
                </c:pt>
                <c:pt idx="48">
                  <c:v>0.74048832859837432</c:v>
                </c:pt>
                <c:pt idx="49">
                  <c:v>1.5986317804674854E-3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90-43DA-AAEB-3D914570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'86'!$S$42:$S$91</c:f>
              <c:numCache>
                <c:formatCode>General</c:formatCode>
                <c:ptCount val="50"/>
                <c:pt idx="0">
                  <c:v>0.39735478669999996</c:v>
                </c:pt>
                <c:pt idx="1">
                  <c:v>0.41311177954404515</c:v>
                </c:pt>
                <c:pt idx="2">
                  <c:v>0.42634255156968109</c:v>
                </c:pt>
                <c:pt idx="3">
                  <c:v>0.43730100763214541</c:v>
                </c:pt>
                <c:pt idx="4">
                  <c:v>0.4462293910899236</c:v>
                </c:pt>
                <c:pt idx="5">
                  <c:v>0.45335828380474946</c:v>
                </c:pt>
                <c:pt idx="6">
                  <c:v>0.45890660614160483</c:v>
                </c:pt>
                <c:pt idx="7">
                  <c:v>0.46308161696871941</c:v>
                </c:pt>
                <c:pt idx="8">
                  <c:v>0.4660789136575717</c:v>
                </c:pt>
                <c:pt idx="9">
                  <c:v>0.46808243208288719</c:v>
                </c:pt>
                <c:pt idx="10">
                  <c:v>0.46926444662264039</c:v>
                </c:pt>
                <c:pt idx="11">
                  <c:v>0.46978557015805328</c:v>
                </c:pt>
                <c:pt idx="12">
                  <c:v>0.46979475407359644</c:v>
                </c:pt>
                <c:pt idx="13">
                  <c:v>0.46942928825698788</c:v>
                </c:pt>
                <c:pt idx="14">
                  <c:v>0.46881480109919449</c:v>
                </c:pt>
                <c:pt idx="15">
                  <c:v>0.46806525949443051</c:v>
                </c:pt>
                <c:pt idx="16">
                  <c:v>0.46728296884015891</c:v>
                </c:pt>
                <c:pt idx="17">
                  <c:v>0.46655857303709003</c:v>
                </c:pt>
                <c:pt idx="18">
                  <c:v>0.46597105448918275</c:v>
                </c:pt>
                <c:pt idx="19">
                  <c:v>0.46558773410364435</c:v>
                </c:pt>
                <c:pt idx="20">
                  <c:v>0.46546427129092927</c:v>
                </c:pt>
                <c:pt idx="21">
                  <c:v>0.46564466396474125</c:v>
                </c:pt>
                <c:pt idx="22">
                  <c:v>0.46616124854203056</c:v>
                </c:pt>
                <c:pt idx="23">
                  <c:v>0.46703469994299696</c:v>
                </c:pt>
                <c:pt idx="24">
                  <c:v>0.46827403159108777</c:v>
                </c:pt>
                <c:pt idx="25">
                  <c:v>0.46987659541299814</c:v>
                </c:pt>
                <c:pt idx="26">
                  <c:v>0.47182808183867181</c:v>
                </c:pt>
                <c:pt idx="27">
                  <c:v>0.47410251980130036</c:v>
                </c:pt>
                <c:pt idx="28">
                  <c:v>0.47666227673732275</c:v>
                </c:pt>
                <c:pt idx="29">
                  <c:v>0.47945805858642798</c:v>
                </c:pt>
                <c:pt idx="30">
                  <c:v>0.48242890979155068</c:v>
                </c:pt>
                <c:pt idx="31">
                  <c:v>0.48550221329887472</c:v>
                </c:pt>
                <c:pt idx="32">
                  <c:v>0.48859369055783292</c:v>
                </c:pt>
                <c:pt idx="33">
                  <c:v>0.49160740152110521</c:v>
                </c:pt>
                <c:pt idx="34">
                  <c:v>0.49443574464461904</c:v>
                </c:pt>
                <c:pt idx="35">
                  <c:v>0.49695945688755067</c:v>
                </c:pt>
                <c:pt idx="36">
                  <c:v>0.49904761371232553</c:v>
                </c:pt>
                <c:pt idx="37">
                  <c:v>0.50055762908461499</c:v>
                </c:pt>
                <c:pt idx="38">
                  <c:v>0.50133525547333957</c:v>
                </c:pt>
                <c:pt idx="39">
                  <c:v>0.50121458385066808</c:v>
                </c:pt>
                <c:pt idx="40">
                  <c:v>0.50001804369201708</c:v>
                </c:pt>
                <c:pt idx="41">
                  <c:v>0.49755640297605103</c:v>
                </c:pt>
                <c:pt idx="42">
                  <c:v>0.4936287681846841</c:v>
                </c:pt>
                <c:pt idx="43">
                  <c:v>0.48802258430307416</c:v>
                </c:pt>
                <c:pt idx="44">
                  <c:v>0.48051363481963266</c:v>
                </c:pt>
                <c:pt idx="45">
                  <c:v>0.47086604172601731</c:v>
                </c:pt>
                <c:pt idx="46">
                  <c:v>0.45883226551713097</c:v>
                </c:pt>
                <c:pt idx="47">
                  <c:v>0.44415310519112788</c:v>
                </c:pt>
                <c:pt idx="48">
                  <c:v>0.42655769824940898</c:v>
                </c:pt>
                <c:pt idx="49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'86'!$U$42:$U$91</c:f>
              <c:numCache>
                <c:formatCode>0.00</c:formatCode>
                <c:ptCount val="50"/>
                <c:pt idx="0">
                  <c:v>397.35478669999998</c:v>
                </c:pt>
                <c:pt idx="1">
                  <c:v>413.11177954404513</c:v>
                </c:pt>
                <c:pt idx="2">
                  <c:v>426.34255156968112</c:v>
                </c:pt>
                <c:pt idx="3">
                  <c:v>437.3010076321454</c:v>
                </c:pt>
                <c:pt idx="4">
                  <c:v>446.22939108992358</c:v>
                </c:pt>
                <c:pt idx="5">
                  <c:v>453.35828380474948</c:v>
                </c:pt>
                <c:pt idx="6">
                  <c:v>458.90660614160481</c:v>
                </c:pt>
                <c:pt idx="7">
                  <c:v>463.08161696871952</c:v>
                </c:pt>
                <c:pt idx="8">
                  <c:v>466.07891365757177</c:v>
                </c:pt>
                <c:pt idx="9">
                  <c:v>468.08243208288718</c:v>
                </c:pt>
                <c:pt idx="10">
                  <c:v>469.26444662264038</c:v>
                </c:pt>
                <c:pt idx="11">
                  <c:v>469.7855701580533</c:v>
                </c:pt>
                <c:pt idx="12">
                  <c:v>469.79475407359644</c:v>
                </c:pt>
                <c:pt idx="13">
                  <c:v>469.429288256988</c:v>
                </c:pt>
                <c:pt idx="14">
                  <c:v>468.81480109919448</c:v>
                </c:pt>
                <c:pt idx="15">
                  <c:v>468.06525949443051</c:v>
                </c:pt>
                <c:pt idx="16">
                  <c:v>467.2829688401589</c:v>
                </c:pt>
                <c:pt idx="17">
                  <c:v>466.55857303709001</c:v>
                </c:pt>
                <c:pt idx="18">
                  <c:v>465.97105448918273</c:v>
                </c:pt>
                <c:pt idx="19">
                  <c:v>465.58773410364432</c:v>
                </c:pt>
                <c:pt idx="20">
                  <c:v>465.46427129092928</c:v>
                </c:pt>
                <c:pt idx="21">
                  <c:v>465.64466396474126</c:v>
                </c:pt>
                <c:pt idx="22">
                  <c:v>466.16124854203053</c:v>
                </c:pt>
                <c:pt idx="23">
                  <c:v>467.03469994299695</c:v>
                </c:pt>
                <c:pt idx="24">
                  <c:v>468.27403159108775</c:v>
                </c:pt>
                <c:pt idx="25">
                  <c:v>469.87659541299814</c:v>
                </c:pt>
                <c:pt idx="26">
                  <c:v>471.82808183867201</c:v>
                </c:pt>
                <c:pt idx="27">
                  <c:v>474.10251980130033</c:v>
                </c:pt>
                <c:pt idx="28">
                  <c:v>476.66227673732277</c:v>
                </c:pt>
                <c:pt idx="29">
                  <c:v>479.45805858642768</c:v>
                </c:pt>
                <c:pt idx="30">
                  <c:v>482.42890979155067</c:v>
                </c:pt>
                <c:pt idx="31">
                  <c:v>485.50221329887472</c:v>
                </c:pt>
                <c:pt idx="32">
                  <c:v>488.59369055783293</c:v>
                </c:pt>
                <c:pt idx="33">
                  <c:v>491.6074015211052</c:v>
                </c:pt>
                <c:pt idx="34">
                  <c:v>494.43574464461904</c:v>
                </c:pt>
                <c:pt idx="35">
                  <c:v>496.95945688755069</c:v>
                </c:pt>
                <c:pt idx="36">
                  <c:v>499.04761371232553</c:v>
                </c:pt>
                <c:pt idx="37">
                  <c:v>500.55762908461497</c:v>
                </c:pt>
                <c:pt idx="38">
                  <c:v>501.33525547333954</c:v>
                </c:pt>
                <c:pt idx="39">
                  <c:v>501.21458385066808</c:v>
                </c:pt>
                <c:pt idx="40">
                  <c:v>500.01804369201705</c:v>
                </c:pt>
                <c:pt idx="41">
                  <c:v>497.556402976051</c:v>
                </c:pt>
                <c:pt idx="42">
                  <c:v>493.62876818468408</c:v>
                </c:pt>
                <c:pt idx="43">
                  <c:v>488.02258430307415</c:v>
                </c:pt>
                <c:pt idx="44">
                  <c:v>480.51363481963267</c:v>
                </c:pt>
                <c:pt idx="45">
                  <c:v>470.86604172601733</c:v>
                </c:pt>
                <c:pt idx="46">
                  <c:v>458.83226551713096</c:v>
                </c:pt>
                <c:pt idx="47">
                  <c:v>444.15310519112791</c:v>
                </c:pt>
                <c:pt idx="48">
                  <c:v>426.55769824940899</c:v>
                </c:pt>
                <c:pt idx="49">
                  <c:v>405.7635206966238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43-46FF-91AC-1C511DAC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3.3667970938259198E-2</c:v>
                </c:pt>
                <c:pt idx="2">
                  <c:v>6.8328495779272802E-2</c:v>
                </c:pt>
                <c:pt idx="3">
                  <c:v>9.9880452787667703E-2</c:v>
                </c:pt>
                <c:pt idx="4">
                  <c:v>0.12870660912489701</c:v>
                </c:pt>
                <c:pt idx="5">
                  <c:v>0.15516503022524</c:v>
                </c:pt>
                <c:pt idx="6">
                  <c:v>0.17958907979580499</c:v>
                </c:pt>
                <c:pt idx="7">
                  <c:v>0.20228741981652301</c:v>
                </c:pt>
                <c:pt idx="8">
                  <c:v>0.22354401054015499</c:v>
                </c:pt>
                <c:pt idx="9">
                  <c:v>0.24361811049228599</c:v>
                </c:pt>
                <c:pt idx="10">
                  <c:v>0.26274427647132897</c:v>
                </c:pt>
                <c:pt idx="11">
                  <c:v>0.281132363548523</c:v>
                </c:pt>
                <c:pt idx="12">
                  <c:v>0.298967525067934</c:v>
                </c:pt>
                <c:pt idx="13">
                  <c:v>0.31641021264645403</c:v>
                </c:pt>
                <c:pt idx="14">
                  <c:v>0.333596176173801</c:v>
                </c:pt>
                <c:pt idx="15">
                  <c:v>0.350636463812521</c:v>
                </c:pt>
                <c:pt idx="16">
                  <c:v>0.36761742199798703</c:v>
                </c:pt>
                <c:pt idx="17">
                  <c:v>0.38460069543839498</c:v>
                </c:pt>
                <c:pt idx="18">
                  <c:v>0.401623227114771</c:v>
                </c:pt>
                <c:pt idx="19">
                  <c:v>0.41869725828096699</c:v>
                </c:pt>
                <c:pt idx="20">
                  <c:v>0.43581032846366102</c:v>
                </c:pt>
                <c:pt idx="21">
                  <c:v>0.452925275462356</c:v>
                </c:pt>
                <c:pt idx="22">
                  <c:v>0.46998023534938499</c:v>
                </c:pt>
                <c:pt idx="23">
                  <c:v>0.48688864246990399</c:v>
                </c:pt>
                <c:pt idx="24">
                  <c:v>0.503539229441898</c:v>
                </c:pt>
                <c:pt idx="25">
                  <c:v>0.51979602715617801</c:v>
                </c:pt>
                <c:pt idx="26">
                  <c:v>0.53549836477638102</c:v>
                </c:pt>
                <c:pt idx="27">
                  <c:v>0.55046086973897002</c:v>
                </c:pt>
                <c:pt idx="28">
                  <c:v>0.56447346775323703</c:v>
                </c:pt>
                <c:pt idx="29">
                  <c:v>0.57730138280129695</c:v>
                </c:pt>
                <c:pt idx="30">
                  <c:v>0.58868513713809401</c:v>
                </c:pt>
                <c:pt idx="31">
                  <c:v>0.59834055129139796</c:v>
                </c:pt>
                <c:pt idx="32">
                  <c:v>0.60595874406180605</c:v>
                </c:pt>
                <c:pt idx="33">
                  <c:v>0.61120613252274003</c:v>
                </c:pt>
                <c:pt idx="34">
                  <c:v>0.61372443202045102</c:v>
                </c:pt>
                <c:pt idx="35">
                  <c:v>0.61313065617401397</c:v>
                </c:pt>
                <c:pt idx="36">
                  <c:v>0.609017116875332</c:v>
                </c:pt>
                <c:pt idx="37">
                  <c:v>0.60095142428913295</c:v>
                </c:pt>
                <c:pt idx="38">
                  <c:v>0.58847648685297504</c:v>
                </c:pt>
                <c:pt idx="39">
                  <c:v>0.571110511277239</c:v>
                </c:pt>
                <c:pt idx="40">
                  <c:v>0.54834700254513302</c:v>
                </c:pt>
                <c:pt idx="41">
                  <c:v>0.51965476391269405</c:v>
                </c:pt>
                <c:pt idx="42">
                  <c:v>0.48447789690878401</c:v>
                </c:pt>
                <c:pt idx="43">
                  <c:v>0.442235801335087</c:v>
                </c:pt>
                <c:pt idx="44">
                  <c:v>0.39232317526612498</c:v>
                </c:pt>
                <c:pt idx="45">
                  <c:v>0.33411001504923499</c:v>
                </c:pt>
                <c:pt idx="46">
                  <c:v>0.26694161530458499</c:v>
                </c:pt>
                <c:pt idx="47">
                  <c:v>0.190138568925171</c:v>
                </c:pt>
                <c:pt idx="48">
                  <c:v>0.102996767076815</c:v>
                </c:pt>
                <c:pt idx="49">
                  <c:v>4.7873991981646196E-3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'86'!$P$42:$P$91</c:f>
              <c:numCache>
                <c:formatCode>0</c:formatCode>
                <c:ptCount val="50"/>
                <c:pt idx="0">
                  <c:v>0</c:v>
                </c:pt>
                <c:pt idx="1">
                  <c:v>15.918367346938702</c:v>
                </c:pt>
                <c:pt idx="2">
                  <c:v>31.836734693877496</c:v>
                </c:pt>
                <c:pt idx="3">
                  <c:v>47.755102040816297</c:v>
                </c:pt>
                <c:pt idx="4">
                  <c:v>63.673469387755091</c:v>
                </c:pt>
                <c:pt idx="5">
                  <c:v>79.5918367346938</c:v>
                </c:pt>
                <c:pt idx="6">
                  <c:v>95.510204081632594</c:v>
                </c:pt>
                <c:pt idx="7">
                  <c:v>111.42857142857102</c:v>
                </c:pt>
                <c:pt idx="8">
                  <c:v>127.34693877550998</c:v>
                </c:pt>
                <c:pt idx="9">
                  <c:v>143.26530612244801</c:v>
                </c:pt>
                <c:pt idx="10">
                  <c:v>159.183673469387</c:v>
                </c:pt>
                <c:pt idx="11">
                  <c:v>175.102040816326</c:v>
                </c:pt>
                <c:pt idx="12">
                  <c:v>191.02040816326499</c:v>
                </c:pt>
                <c:pt idx="13">
                  <c:v>206.93877551020398</c:v>
                </c:pt>
                <c:pt idx="14">
                  <c:v>222.85714285714204</c:v>
                </c:pt>
                <c:pt idx="15">
                  <c:v>238.775510204081</c:v>
                </c:pt>
                <c:pt idx="16">
                  <c:v>254.69387755101997</c:v>
                </c:pt>
                <c:pt idx="17">
                  <c:v>270.61224489795899</c:v>
                </c:pt>
                <c:pt idx="18">
                  <c:v>286.53061224489699</c:v>
                </c:pt>
                <c:pt idx="19">
                  <c:v>302.44897959183601</c:v>
                </c:pt>
                <c:pt idx="20">
                  <c:v>318.36734693877497</c:v>
                </c:pt>
                <c:pt idx="21">
                  <c:v>334.28571428571399</c:v>
                </c:pt>
                <c:pt idx="22">
                  <c:v>350.20408163265301</c:v>
                </c:pt>
                <c:pt idx="23">
                  <c:v>366.12244897959101</c:v>
                </c:pt>
                <c:pt idx="24">
                  <c:v>382.04081632652998</c:v>
                </c:pt>
                <c:pt idx="25">
                  <c:v>397.959183673469</c:v>
                </c:pt>
                <c:pt idx="26">
                  <c:v>413.87755102040796</c:v>
                </c:pt>
                <c:pt idx="27">
                  <c:v>429.79591836734699</c:v>
                </c:pt>
                <c:pt idx="28">
                  <c:v>445.71428571428498</c:v>
                </c:pt>
                <c:pt idx="29">
                  <c:v>461.63265306122395</c:v>
                </c:pt>
                <c:pt idx="30">
                  <c:v>477.55102040816303</c:v>
                </c:pt>
                <c:pt idx="31">
                  <c:v>493.46938775510199</c:v>
                </c:pt>
                <c:pt idx="32">
                  <c:v>509.38775510203993</c:v>
                </c:pt>
                <c:pt idx="33">
                  <c:v>525.30612244897895</c:v>
                </c:pt>
                <c:pt idx="34">
                  <c:v>541.22448979591798</c:v>
                </c:pt>
                <c:pt idx="35">
                  <c:v>557.142857142857</c:v>
                </c:pt>
                <c:pt idx="36">
                  <c:v>573.06122448979499</c:v>
                </c:pt>
                <c:pt idx="37">
                  <c:v>588.97959183673402</c:v>
                </c:pt>
                <c:pt idx="38">
                  <c:v>604.89795918367304</c:v>
                </c:pt>
                <c:pt idx="39">
                  <c:v>620.81632653061195</c:v>
                </c:pt>
                <c:pt idx="40">
                  <c:v>636.73469387755097</c:v>
                </c:pt>
                <c:pt idx="41">
                  <c:v>652.65306122448897</c:v>
                </c:pt>
                <c:pt idx="42">
                  <c:v>668.57142857142799</c:v>
                </c:pt>
                <c:pt idx="43">
                  <c:v>684.48979591836701</c:v>
                </c:pt>
                <c:pt idx="44">
                  <c:v>700.40816326530603</c:v>
                </c:pt>
                <c:pt idx="45">
                  <c:v>716.32653061224414</c:v>
                </c:pt>
                <c:pt idx="46">
                  <c:v>732.24489795918305</c:v>
                </c:pt>
                <c:pt idx="47">
                  <c:v>748.16326530612196</c:v>
                </c:pt>
                <c:pt idx="48">
                  <c:v>764.08163265306098</c:v>
                </c:pt>
                <c:pt idx="49">
                  <c:v>780</c:v>
                </c:pt>
              </c:numCache>
            </c:numRef>
          </c:xVal>
          <c:yVal>
            <c:numRef>
              <c:f>'86'!$V$42:$V$91</c:f>
              <c:numCache>
                <c:formatCode>0.00</c:formatCode>
                <c:ptCount val="50"/>
                <c:pt idx="0">
                  <c:v>-0.45085906240000001</c:v>
                </c:pt>
                <c:pt idx="1">
                  <c:v>3.3667970938259075</c:v>
                </c:pt>
                <c:pt idx="2">
                  <c:v>6.8328495779272762</c:v>
                </c:pt>
                <c:pt idx="3">
                  <c:v>9.9880452787667657</c:v>
                </c:pt>
                <c:pt idx="4">
                  <c:v>12.870660912489706</c:v>
                </c:pt>
                <c:pt idx="5">
                  <c:v>15.516503022524066</c:v>
                </c:pt>
                <c:pt idx="6">
                  <c:v>17.95890797958053</c:v>
                </c:pt>
                <c:pt idx="7">
                  <c:v>20.228741981652323</c:v>
                </c:pt>
                <c:pt idx="8">
                  <c:v>22.354401054015515</c:v>
                </c:pt>
                <c:pt idx="9">
                  <c:v>24.361811049228532</c:v>
                </c:pt>
                <c:pt idx="10">
                  <c:v>26.274427647132864</c:v>
                </c:pt>
                <c:pt idx="11">
                  <c:v>28.113236354852297</c:v>
                </c:pt>
                <c:pt idx="12">
                  <c:v>29.896752506793398</c:v>
                </c:pt>
                <c:pt idx="13">
                  <c:v>31.641021264645396</c:v>
                </c:pt>
                <c:pt idx="14">
                  <c:v>33.35961761738006</c:v>
                </c:pt>
                <c:pt idx="15">
                  <c:v>35.063646381252106</c:v>
                </c:pt>
                <c:pt idx="16">
                  <c:v>36.76174219979864</c:v>
                </c:pt>
                <c:pt idx="17">
                  <c:v>38.460069543839495</c:v>
                </c:pt>
                <c:pt idx="18">
                  <c:v>40.162322711477074</c:v>
                </c:pt>
                <c:pt idx="19">
                  <c:v>41.869725828096691</c:v>
                </c:pt>
                <c:pt idx="20">
                  <c:v>43.581032846366057</c:v>
                </c:pt>
                <c:pt idx="21">
                  <c:v>45.29252754623564</c:v>
                </c:pt>
                <c:pt idx="22">
                  <c:v>46.998023534938532</c:v>
                </c:pt>
                <c:pt idx="23">
                  <c:v>48.688864246990391</c:v>
                </c:pt>
                <c:pt idx="24">
                  <c:v>50.353922944189847</c:v>
                </c:pt>
                <c:pt idx="25">
                  <c:v>51.979602715617858</c:v>
                </c:pt>
                <c:pt idx="26">
                  <c:v>53.549836477638166</c:v>
                </c:pt>
                <c:pt idx="27">
                  <c:v>55.04608697389709</c:v>
                </c:pt>
                <c:pt idx="28">
                  <c:v>56.447346775323645</c:v>
                </c:pt>
                <c:pt idx="29">
                  <c:v>57.730138280129694</c:v>
                </c:pt>
                <c:pt idx="30">
                  <c:v>58.868513713809421</c:v>
                </c:pt>
                <c:pt idx="31">
                  <c:v>59.834055129139855</c:v>
                </c:pt>
                <c:pt idx="32">
                  <c:v>60.595874406180585</c:v>
                </c:pt>
                <c:pt idx="33">
                  <c:v>61.120613252274097</c:v>
                </c:pt>
                <c:pt idx="34">
                  <c:v>61.372443202045105</c:v>
                </c:pt>
                <c:pt idx="35">
                  <c:v>61.313065617401435</c:v>
                </c:pt>
                <c:pt idx="36">
                  <c:v>60.901711687533293</c:v>
                </c:pt>
                <c:pt idx="37">
                  <c:v>60.095142428913391</c:v>
                </c:pt>
                <c:pt idx="38">
                  <c:v>58.8476486852976</c:v>
                </c:pt>
                <c:pt idx="39">
                  <c:v>57.111051127723925</c:v>
                </c:pt>
                <c:pt idx="40">
                  <c:v>54.83470025451345</c:v>
                </c:pt>
                <c:pt idx="41">
                  <c:v>51.965476391269647</c:v>
                </c:pt>
                <c:pt idx="42">
                  <c:v>48.447789690878494</c:v>
                </c:pt>
                <c:pt idx="43">
                  <c:v>44.22358013350896</c:v>
                </c:pt>
                <c:pt idx="44">
                  <c:v>39.232317526612576</c:v>
                </c:pt>
                <c:pt idx="45">
                  <c:v>33.411001504923775</c:v>
                </c:pt>
                <c:pt idx="46">
                  <c:v>26.694161530458928</c:v>
                </c:pt>
                <c:pt idx="47">
                  <c:v>19.013856892517651</c:v>
                </c:pt>
                <c:pt idx="48">
                  <c:v>10.299676707681783</c:v>
                </c:pt>
                <c:pt idx="49">
                  <c:v>0.47873991981646213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0D-4A14-819E-4C2FF4540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'86'!$AS$5:$AS$15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9C-42AE-8EE8-70EB7562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'86'!$AS$16:$AS$26</c:f>
              <c:numCache>
                <c:formatCode>0.000</c:formatCode>
                <c:ptCount val="11"/>
                <c:pt idx="0">
                  <c:v>7.2921954849999997</c:v>
                </c:pt>
                <c:pt idx="1">
                  <c:v>6.9269313008191009</c:v>
                </c:pt>
                <c:pt idx="2">
                  <c:v>6.7147066612755548</c:v>
                </c:pt>
                <c:pt idx="3">
                  <c:v>6.3579730614561027</c:v>
                </c:pt>
                <c:pt idx="4">
                  <c:v>5.879163732437978</c:v>
                </c:pt>
                <c:pt idx="5">
                  <c:v>5.4140899577367838</c:v>
                </c:pt>
                <c:pt idx="6">
                  <c:v>5.0538014280044203</c:v>
                </c:pt>
                <c:pt idx="7">
                  <c:v>4.7326063950384221</c:v>
                </c:pt>
                <c:pt idx="8">
                  <c:v>4.1651518421326239</c:v>
                </c:pt>
                <c:pt idx="9">
                  <c:v>2.8300318527120245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F6-4791-9C8C-8F87DA58D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'86'!$AT$5:$AT$15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0.47965485360177146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0.38690130854206078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9-438C-B620-8472999E0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'86'!$AT$16:$AT$26</c:f>
              <c:numCache>
                <c:formatCode>0.000</c:formatCode>
                <c:ptCount val="11"/>
                <c:pt idx="0">
                  <c:v>0.39735478669999996</c:v>
                </c:pt>
                <c:pt idx="1">
                  <c:v>0.45272509563822561</c:v>
                </c:pt>
                <c:pt idx="2">
                  <c:v>0.46909065989566906</c:v>
                </c:pt>
                <c:pt idx="3">
                  <c:v>0.46829448050293887</c:v>
                </c:pt>
                <c:pt idx="4">
                  <c:v>0.46547966078286718</c:v>
                </c:pt>
                <c:pt idx="5">
                  <c:v>0.46903006223783017</c:v>
                </c:pt>
                <c:pt idx="6">
                  <c:v>0.48062985792069784</c:v>
                </c:pt>
                <c:pt idx="7">
                  <c:v>0.49523373951220784</c:v>
                </c:pt>
                <c:pt idx="8">
                  <c:v>0.50107294073945419</c:v>
                </c:pt>
                <c:pt idx="9">
                  <c:v>0.47965485360177151</c:v>
                </c:pt>
                <c:pt idx="10">
                  <c:v>0.4057635206966238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78</c:v>
                </c:pt>
                <c:pt idx="2">
                  <c:v>156</c:v>
                </c:pt>
                <c:pt idx="3">
                  <c:v>234</c:v>
                </c:pt>
                <c:pt idx="4">
                  <c:v>312</c:v>
                </c:pt>
                <c:pt idx="5">
                  <c:v>390</c:v>
                </c:pt>
                <c:pt idx="6">
                  <c:v>468</c:v>
                </c:pt>
                <c:pt idx="7">
                  <c:v>546</c:v>
                </c:pt>
                <c:pt idx="8">
                  <c:v>624</c:v>
                </c:pt>
                <c:pt idx="9">
                  <c:v>702</c:v>
                </c:pt>
                <c:pt idx="10">
                  <c:v>780</c:v>
                </c:pt>
              </c:numCache>
            </c:numRef>
          </c:xVal>
          <c:yVal>
            <c:numRef>
              <c:f>'86'!$AU$16:$AU$26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0.15262360989418955</c:v>
                </c:pt>
                <c:pt idx="2">
                  <c:v>0.25899036993171543</c:v>
                </c:pt>
                <c:pt idx="3">
                  <c:v>0.34553468531997722</c:v>
                </c:pt>
                <c:pt idx="4">
                  <c:v>0.42896486206742535</c:v>
                </c:pt>
                <c:pt idx="5">
                  <c:v>0.51172530375661163</c:v>
                </c:pt>
                <c:pt idx="6">
                  <c:v>0.58204709766859974</c:v>
                </c:pt>
                <c:pt idx="7">
                  <c:v>0.61390166681548464</c:v>
                </c:pt>
                <c:pt idx="8">
                  <c:v>0.56702256297526676</c:v>
                </c:pt>
                <c:pt idx="9">
                  <c:v>0.38690130854206084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93-45E1-A093-1D9E3C20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'89'!$C$42:$C$91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B-4DEB-B7B6-D85FA19B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5B-4DEB-B7B6-D85FA19B4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'89'!$I$42:$I$91</c:f>
              <c:numCache>
                <c:formatCode>0.000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3-4B10-847C-B9A584044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F3-4B10-847C-B9A584044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'89'!$C$42:$C$91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4-4C4E-916D-B636EEB710CE}"/>
            </c:ext>
          </c:extLst>
        </c:ser>
        <c:ser>
          <c:idx val="1"/>
          <c:order val="1"/>
          <c:tx>
            <c:strRef>
              <c:f>'89'!$G$41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'89'!$G$42:$G$91</c:f>
              <c:numCache>
                <c:formatCode>0.000</c:formatCode>
                <c:ptCount val="50"/>
                <c:pt idx="0">
                  <c:v>7.9019829719999999</c:v>
                </c:pt>
                <c:pt idx="1">
                  <c:v>7.9559777851084128</c:v>
                </c:pt>
                <c:pt idx="2">
                  <c:v>7.9888931738002418</c:v>
                </c:pt>
                <c:pt idx="3">
                  <c:v>8.0047278533547406</c:v>
                </c:pt>
                <c:pt idx="4">
                  <c:v>8.0068750674433957</c:v>
                </c:pt>
                <c:pt idx="5">
                  <c:v>7.9981789298623127</c:v>
                </c:pt>
                <c:pt idx="6">
                  <c:v>7.9809880127607578</c:v>
                </c:pt>
                <c:pt idx="7">
                  <c:v>7.957206181365919</c:v>
                </c:pt>
                <c:pt idx="8">
                  <c:v>7.9283406752038275</c:v>
                </c:pt>
                <c:pt idx="9">
                  <c:v>7.895547435816475</c:v>
                </c:pt>
                <c:pt idx="10">
                  <c:v>7.8596736809750913</c:v>
                </c:pt>
                <c:pt idx="11">
                  <c:v>7.8212977253896367</c:v>
                </c:pt>
                <c:pt idx="12">
                  <c:v>7.7807660479144571</c:v>
                </c:pt>
                <c:pt idx="13">
                  <c:v>7.7382276052501151</c:v>
                </c:pt>
                <c:pt idx="14">
                  <c:v>7.6936653921414404</c:v>
                </c:pt>
                <c:pt idx="15">
                  <c:v>7.6469252480717111</c:v>
                </c:pt>
                <c:pt idx="16">
                  <c:v>7.5977419104530659</c:v>
                </c:pt>
                <c:pt idx="17">
                  <c:v>7.5457623143130714</c:v>
                </c:pt>
                <c:pt idx="18">
                  <c:v>7.4905661384774742</c:v>
                </c:pt>
                <c:pt idx="19">
                  <c:v>7.4316835982491529</c:v>
                </c:pt>
                <c:pt idx="20">
                  <c:v>7.3686104845832441</c:v>
                </c:pt>
                <c:pt idx="21">
                  <c:v>7.3008204497584268</c:v>
                </c:pt>
                <c:pt idx="22">
                  <c:v>7.2277745395444368</c:v>
                </c:pt>
                <c:pt idx="23">
                  <c:v>7.1489279718657421</c:v>
                </c:pt>
                <c:pt idx="24">
                  <c:v>7.0637341619613698</c:v>
                </c:pt>
                <c:pt idx="25">
                  <c:v>6.9716459940409754</c:v>
                </c:pt>
                <c:pt idx="26">
                  <c:v>6.8721143394370596</c:v>
                </c:pt>
                <c:pt idx="27">
                  <c:v>6.7645838212533569</c:v>
                </c:pt>
                <c:pt idx="28">
                  <c:v>6.6484858255094395</c:v>
                </c:pt>
                <c:pt idx="29">
                  <c:v>6.5232287587814923</c:v>
                </c:pt>
                <c:pt idx="30">
                  <c:v>6.3881855523392641</c:v>
                </c:pt>
                <c:pt idx="31">
                  <c:v>6.2426784127791795</c:v>
                </c:pt>
                <c:pt idx="32">
                  <c:v>6.0859608191537262</c:v>
                </c:pt>
                <c:pt idx="33">
                  <c:v>5.9171967665968506</c:v>
                </c:pt>
                <c:pt idx="34">
                  <c:v>5.7354372564457741</c:v>
                </c:pt>
                <c:pt idx="35">
                  <c:v>5.5395940328587603</c:v>
                </c:pt>
                <c:pt idx="36">
                  <c:v>5.3284105659292269</c:v>
                </c:pt>
                <c:pt idx="37">
                  <c:v>5.1004302812959725</c:v>
                </c:pt>
                <c:pt idx="38">
                  <c:v>4.853962036249472</c:v>
                </c:pt>
                <c:pt idx="39">
                  <c:v>4.5870428423348351</c:v>
                </c:pt>
                <c:pt idx="40">
                  <c:v>4.2973978344500363</c:v>
                </c:pt>
                <c:pt idx="41">
                  <c:v>3.9823974864415277</c:v>
                </c:pt>
                <c:pt idx="42">
                  <c:v>3.6390120731946674</c:v>
                </c:pt>
                <c:pt idx="43">
                  <c:v>3.2637633792217891</c:v>
                </c:pt>
                <c:pt idx="44">
                  <c:v>2.8526736537453736</c:v>
                </c:pt>
                <c:pt idx="45">
                  <c:v>2.4012118122773813</c:v>
                </c:pt>
                <c:pt idx="46">
                  <c:v>1.904236884695834</c:v>
                </c:pt>
                <c:pt idx="47">
                  <c:v>1.3559387098167193</c:v>
                </c:pt>
                <c:pt idx="48">
                  <c:v>0.74977587646144173</c:v>
                </c:pt>
                <c:pt idx="49">
                  <c:v>7.8410911022395169E-2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94-4C4E-916D-B636EEB71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4-45EF-AD4A-72495BB49318}"/>
            </c:ext>
          </c:extLst>
        </c:ser>
        <c:ser>
          <c:idx val="1"/>
          <c:order val="1"/>
          <c:tx>
            <c:strRef>
              <c:f>'89'!$I$41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'89'!$K$42:$K$91</c:f>
              <c:numCache>
                <c:formatCode>0.000</c:formatCode>
                <c:ptCount val="50"/>
                <c:pt idx="0">
                  <c:v>-4.3923367499999999E-4</c:v>
                </c:pt>
                <c:pt idx="1">
                  <c:v>2.9493642738859228E-2</c:v>
                </c:pt>
                <c:pt idx="2">
                  <c:v>6.0182165714326531E-2</c:v>
                </c:pt>
                <c:pt idx="3">
                  <c:v>9.1235731707993539E-2</c:v>
                </c:pt>
                <c:pt idx="4">
                  <c:v>0.12231494054869771</c:v>
                </c:pt>
                <c:pt idx="5">
                  <c:v>0.15312786198115286</c:v>
                </c:pt>
                <c:pt idx="6">
                  <c:v>0.18342638337630551</c:v>
                </c:pt>
                <c:pt idx="7">
                  <c:v>0.21300263860841878</c:v>
                </c:pt>
                <c:pt idx="8">
                  <c:v>0.24168551809887778</c:v>
                </c:pt>
                <c:pt idx="9">
                  <c:v>0.26933726002673197</c:v>
                </c:pt>
                <c:pt idx="10">
                  <c:v>0.29585012270595445</c:v>
                </c:pt>
                <c:pt idx="11">
                  <c:v>0.32114313812942752</c:v>
                </c:pt>
                <c:pt idx="12">
                  <c:v>0.34515894667966457</c:v>
                </c:pt>
                <c:pt idx="13">
                  <c:v>0.36786071300624795</c:v>
                </c:pt>
                <c:pt idx="14">
                  <c:v>0.38922912306999569</c:v>
                </c:pt>
                <c:pt idx="15">
                  <c:v>0.4092594623538609</c:v>
                </c:pt>
                <c:pt idx="16">
                  <c:v>0.4279587752405497</c:v>
                </c:pt>
                <c:pt idx="17">
                  <c:v>0.44534310555686796</c:v>
                </c:pt>
                <c:pt idx="18">
                  <c:v>0.46143481828479876</c:v>
                </c:pt>
                <c:pt idx="19">
                  <c:v>0.47626000243930128</c:v>
                </c:pt>
                <c:pt idx="20">
                  <c:v>0.48984595511283557</c:v>
                </c:pt>
                <c:pt idx="21">
                  <c:v>0.50221874668661959</c:v>
                </c:pt>
                <c:pt idx="22">
                  <c:v>0.51340086720860822</c:v>
                </c:pt>
                <c:pt idx="23">
                  <c:v>0.5234089539381972</c:v>
                </c:pt>
                <c:pt idx="24">
                  <c:v>0.53225160005765859</c:v>
                </c:pt>
                <c:pt idx="25">
                  <c:v>0.53992724455030006</c:v>
                </c:pt>
                <c:pt idx="26">
                  <c:v>0.54642214324534866</c:v>
                </c:pt>
                <c:pt idx="27">
                  <c:v>0.55170842102956474</c:v>
                </c:pt>
                <c:pt idx="28">
                  <c:v>0.5557422052255796</c:v>
                </c:pt>
                <c:pt idx="29">
                  <c:v>0.55846184013696221</c:v>
                </c:pt>
                <c:pt idx="30">
                  <c:v>0.55978618276000802</c:v>
                </c:pt>
                <c:pt idx="31">
                  <c:v>0.55961297966225976</c:v>
                </c:pt>
                <c:pt idx="32">
                  <c:v>0.55781732502775017</c:v>
                </c:pt>
                <c:pt idx="33">
                  <c:v>0.5542501998689755</c:v>
                </c:pt>
                <c:pt idx="34">
                  <c:v>0.54873709240558677</c:v>
                </c:pt>
                <c:pt idx="35">
                  <c:v>0.54107669960982352</c:v>
                </c:pt>
                <c:pt idx="36">
                  <c:v>0.53103970991865301</c:v>
                </c:pt>
                <c:pt idx="37">
                  <c:v>0.51836766711265747</c:v>
                </c:pt>
                <c:pt idx="38">
                  <c:v>0.50277191536162558</c:v>
                </c:pt>
                <c:pt idx="39">
                  <c:v>0.48393262543690346</c:v>
                </c:pt>
                <c:pt idx="40">
                  <c:v>0.46149790209041086</c:v>
                </c:pt>
                <c:pt idx="41">
                  <c:v>0.43508297260048506</c:v>
                </c:pt>
                <c:pt idx="42">
                  <c:v>0.40426945648431084</c:v>
                </c:pt>
                <c:pt idx="43">
                  <c:v>0.36860471637723308</c:v>
                </c:pt>
                <c:pt idx="44">
                  <c:v>0.3276012900786891</c:v>
                </c:pt>
                <c:pt idx="45">
                  <c:v>0.28073640376485015</c:v>
                </c:pt>
                <c:pt idx="46">
                  <c:v>0.22745156636811814</c:v>
                </c:pt>
                <c:pt idx="47">
                  <c:v>0.16715224512324098</c:v>
                </c:pt>
                <c:pt idx="48">
                  <c:v>9.9207622280103755E-2</c:v>
                </c:pt>
                <c:pt idx="49">
                  <c:v>2.2950432983443819E-2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4-45EF-AD4A-72495BB49318}"/>
            </c:ext>
          </c:extLst>
        </c:ser>
        <c:ser>
          <c:idx val="2"/>
          <c:order val="2"/>
          <c:tx>
            <c:strRef>
              <c:f>'89'!$N$41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'89'!$N$42:$N$91</c:f>
              <c:numCache>
                <c:formatCode>0.000</c:formatCode>
                <c:ptCount val="50"/>
                <c:pt idx="0">
                  <c:v>0</c:v>
                </c:pt>
                <c:pt idx="1">
                  <c:v>3.0005222123821597E-2</c:v>
                </c:pt>
                <c:pt idx="2">
                  <c:v>6.0729183820707459E-2</c:v>
                </c:pt>
                <c:pt idx="3">
                  <c:v>9.1766683442923366E-2</c:v>
                </c:pt>
                <c:pt idx="4">
                  <c:v>0.12276830179109431</c:v>
                </c:pt>
                <c:pt idx="5">
                  <c:v>0.15343938009774974</c:v>
                </c:pt>
                <c:pt idx="6">
                  <c:v>0.18353731458890354</c:v>
                </c:pt>
                <c:pt idx="7">
                  <c:v>0.21286750432942095</c:v>
                </c:pt>
                <c:pt idx="8">
                  <c:v>0.24127833407407331</c:v>
                </c:pt>
                <c:pt idx="9">
                  <c:v>0.2686555788748673</c:v>
                </c:pt>
                <c:pt idx="10">
                  <c:v>0.29491658895986961</c:v>
                </c:pt>
                <c:pt idx="11">
                  <c:v>0.3200045613086539</c:v>
                </c:pt>
                <c:pt idx="12">
                  <c:v>0.34388313853348845</c:v>
                </c:pt>
                <c:pt idx="13">
                  <c:v>0.36653150540283808</c:v>
                </c:pt>
                <c:pt idx="14">
                  <c:v>0.38794008601388391</c:v>
                </c:pt>
                <c:pt idx="15">
                  <c:v>0.40810688532988926</c:v>
                </c:pt>
                <c:pt idx="16">
                  <c:v>0.42703447037832687</c:v>
                </c:pt>
                <c:pt idx="17">
                  <c:v>0.44472754977133921</c:v>
                </c:pt>
                <c:pt idx="18">
                  <c:v>0.46119108485383453</c:v>
                </c:pt>
                <c:pt idx="19">
                  <c:v>0.47642885029157706</c:v>
                </c:pt>
                <c:pt idx="20">
                  <c:v>0.49044235441099809</c:v>
                </c:pt>
                <c:pt idx="21">
                  <c:v>0.50323002811286555</c:v>
                </c:pt>
                <c:pt idx="22">
                  <c:v>0.51478659384620973</c:v>
                </c:pt>
                <c:pt idx="23">
                  <c:v>0.52510253134745688</c:v>
                </c:pt>
                <c:pt idx="24">
                  <c:v>0.53416356333653581</c:v>
                </c:pt>
                <c:pt idx="25">
                  <c:v>0.54195009114630099</c:v>
                </c:pt>
                <c:pt idx="26">
                  <c:v>0.5484365166581725</c:v>
                </c:pt>
                <c:pt idx="27">
                  <c:v>0.55359039247798614</c:v>
                </c:pt>
                <c:pt idx="28">
                  <c:v>0.55737134675124933</c:v>
                </c:pt>
                <c:pt idx="29">
                  <c:v>0.55972973226571465</c:v>
                </c:pt>
                <c:pt idx="30">
                  <c:v>0.56060495149876588</c:v>
                </c:pt>
                <c:pt idx="31">
                  <c:v>0.55992341008077251</c:v>
                </c:pt>
                <c:pt idx="32">
                  <c:v>0.55759605084730612</c:v>
                </c:pt>
                <c:pt idx="33">
                  <c:v>0.55351541935109028</c:v>
                </c:pt>
                <c:pt idx="34">
                  <c:v>0.54755220951975325</c:v>
                </c:pt>
                <c:pt idx="35">
                  <c:v>0.53955123520680948</c:v>
                </c:pt>
                <c:pt idx="36">
                  <c:v>0.52932676982490179</c:v>
                </c:pt>
                <c:pt idx="37">
                  <c:v>0.51665719221411133</c:v>
                </c:pt>
                <c:pt idx="38">
                  <c:v>0.50127887253656578</c:v>
                </c:pt>
                <c:pt idx="39">
                  <c:v>0.48287922747150624</c:v>
                </c:pt>
                <c:pt idx="40">
                  <c:v>0.46108886950613448</c:v>
                </c:pt>
                <c:pt idx="41">
                  <c:v>0.43547277090417258</c:v>
                </c:pt>
                <c:pt idx="42">
                  <c:v>0.40552035925643404</c:v>
                </c:pt>
                <c:pt idx="43">
                  <c:v>0.37063445870049028</c:v>
                </c:pt>
                <c:pt idx="44">
                  <c:v>0.33011898933120315</c:v>
                </c:pt>
                <c:pt idx="45">
                  <c:v>0.28316533748164546</c:v>
                </c:pt>
                <c:pt idx="46">
                  <c:v>0.22883731199899646</c:v>
                </c:pt>
                <c:pt idx="47">
                  <c:v>0.16605460704435934</c:v>
                </c:pt>
                <c:pt idx="48">
                  <c:v>9.3574701099443505E-2</c:v>
                </c:pt>
                <c:pt idx="49">
                  <c:v>9.9731356892995265E-3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94-45EF-AD4A-72495BB4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'89'!$E$41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'89'!$E$42:$E$91</c:f>
              <c:numCache>
                <c:formatCode>0.000</c:formatCode>
                <c:ptCount val="50"/>
                <c:pt idx="0">
                  <c:v>0</c:v>
                </c:pt>
                <c:pt idx="1">
                  <c:v>8.4924855027629295E-2</c:v>
                </c:pt>
                <c:pt idx="2">
                  <c:v>8.3583098152000407E-2</c:v>
                </c:pt>
                <c:pt idx="3">
                  <c:v>8.2865267028377099E-2</c:v>
                </c:pt>
                <c:pt idx="4">
                  <c:v>8.2435296170602204E-2</c:v>
                </c:pt>
                <c:pt idx="5">
                  <c:v>8.2219828925686703E-2</c:v>
                </c:pt>
                <c:pt idx="6">
                  <c:v>8.2189393066549599E-2</c:v>
                </c:pt>
                <c:pt idx="7">
                  <c:v>8.2327198213165295E-2</c:v>
                </c:pt>
                <c:pt idx="8">
                  <c:v>8.2621167911588606E-2</c:v>
                </c:pt>
                <c:pt idx="9">
                  <c:v>8.3061158935899701E-2</c:v>
                </c:pt>
                <c:pt idx="10">
                  <c:v>8.3637766981875195E-2</c:v>
                </c:pt>
                <c:pt idx="11">
                  <c:v>8.4341733698071297E-2</c:v>
                </c:pt>
                <c:pt idx="12">
                  <c:v>8.5163624389365797E-2</c:v>
                </c:pt>
                <c:pt idx="13">
                  <c:v>8.6093648167123199E-2</c:v>
                </c:pt>
                <c:pt idx="14">
                  <c:v>8.7121565328188794E-2</c:v>
                </c:pt>
                <c:pt idx="15">
                  <c:v>8.8236656262405497E-2</c:v>
                </c:pt>
                <c:pt idx="16">
                  <c:v>8.9427739106361898E-2</c:v>
                </c:pt>
                <c:pt idx="17">
                  <c:v>9.0683229206826796E-2</c:v>
                </c:pt>
                <c:pt idx="18">
                  <c:v>9.1991235967554E-2</c:v>
                </c:pt>
                <c:pt idx="19">
                  <c:v>9.3339693434157406E-2</c:v>
                </c:pt>
                <c:pt idx="20">
                  <c:v>9.4716520785440406E-2</c:v>
                </c:pt>
                <c:pt idx="21">
                  <c:v>9.6109808156011903E-2</c:v>
                </c:pt>
                <c:pt idx="22">
                  <c:v>9.7508022174096098E-2</c:v>
                </c:pt>
                <c:pt idx="23">
                  <c:v>9.8900224454887206E-2</c:v>
                </c:pt>
                <c:pt idx="24">
                  <c:v>0.100276295207136</c:v>
                </c:pt>
                <c:pt idx="25">
                  <c:v>0.101627153230721</c:v>
                </c:pt>
                <c:pt idx="26">
                  <c:v>0.102944963022568</c:v>
                </c:pt>
                <c:pt idx="27">
                  <c:v>0.10422331954991799</c:v>
                </c:pt>
                <c:pt idx="28">
                  <c:v>0.10545740152904701</c:v>
                </c:pt>
                <c:pt idx="29">
                  <c:v>0.1066440847412</c:v>
                </c:pt>
                <c:pt idx="30">
                  <c:v>0.107782007932318</c:v>
                </c:pt>
                <c:pt idx="31">
                  <c:v>0.10887158500581801</c:v>
                </c:pt>
                <c:pt idx="32">
                  <c:v>0.10991495826016399</c:v>
                </c:pt>
                <c:pt idx="33">
                  <c:v>0.11091588795707499</c:v>
                </c:pt>
                <c:pt idx="34">
                  <c:v>0.11187957296706599</c:v>
                </c:pt>
                <c:pt idx="35">
                  <c:v>0.11281239476381499</c:v>
                </c:pt>
                <c:pt idx="36">
                  <c:v>0.11372157120611</c:v>
                </c:pt>
                <c:pt idx="37">
                  <c:v>0.114614694818775</c:v>
                </c:pt>
                <c:pt idx="38">
                  <c:v>0.115499107788214</c:v>
                </c:pt>
                <c:pt idx="39">
                  <c:v>0.11638102263462199</c:v>
                </c:pt>
                <c:pt idx="40">
                  <c:v>0.117264211725609</c:v>
                </c:pt>
                <c:pt idx="41">
                  <c:v>0.118147909706629</c:v>
                </c:pt>
                <c:pt idx="42">
                  <c:v>0.119023173025169</c:v>
                </c:pt>
                <c:pt idx="43">
                  <c:v>0.11986596899075901</c:v>
                </c:pt>
                <c:pt idx="44">
                  <c:v>0.120622640708347</c:v>
                </c:pt>
                <c:pt idx="45">
                  <c:v>0.121175248835566</c:v>
                </c:pt>
                <c:pt idx="46">
                  <c:v>0.12124380026400899</c:v>
                </c:pt>
                <c:pt idx="47">
                  <c:v>0.12003153793181499</c:v>
                </c:pt>
                <c:pt idx="48">
                  <c:v>0.114208210625054</c:v>
                </c:pt>
                <c:pt idx="49">
                  <c:v>5.2704944952069302E-2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CF-49F3-B27B-6BC1EAA3D0E3}"/>
            </c:ext>
          </c:extLst>
        </c:ser>
        <c:ser>
          <c:idx val="1"/>
          <c:order val="1"/>
          <c:tx>
            <c:strRef>
              <c:f>'89'!$I$41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'89'!$I$42:$I$91</c:f>
              <c:numCache>
                <c:formatCode>0.000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CF-49F3-B27B-6BC1EAA3D0E3}"/>
            </c:ext>
          </c:extLst>
        </c:ser>
        <c:ser>
          <c:idx val="2"/>
          <c:order val="2"/>
          <c:tx>
            <c:strRef>
              <c:f>'89'!$M$41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'89'!$B$42:$B$91</c:f>
              <c:numCache>
                <c:formatCode>0</c:formatCode>
                <c:ptCount val="50"/>
                <c:pt idx="0">
                  <c:v>0</c:v>
                </c:pt>
                <c:pt idx="1">
                  <c:v>2.77551020408163</c:v>
                </c:pt>
                <c:pt idx="2">
                  <c:v>5.5510204081632599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47.183673469387699</c:v>
                </c:pt>
                <c:pt idx="18">
                  <c:v>49.959183673469298</c:v>
                </c:pt>
                <c:pt idx="19">
                  <c:v>52.734693877551003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99.918367346938695</c:v>
                </c:pt>
                <c:pt idx="37">
                  <c:v>102.69387755101999</c:v>
                </c:pt>
                <c:pt idx="38">
                  <c:v>105.46938775510201</c:v>
                </c:pt>
                <c:pt idx="39">
                  <c:v>108.24489795918301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119.34693877551</c:v>
                </c:pt>
                <c:pt idx="44">
                  <c:v>122.122448979591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'89'!$M$42:$M$91</c:f>
              <c:numCache>
                <c:formatCode>0.000</c:formatCode>
                <c:ptCount val="50"/>
                <c:pt idx="0">
                  <c:v>0</c:v>
                </c:pt>
                <c:pt idx="1">
                  <c:v>8.5008673579779037E-2</c:v>
                </c:pt>
                <c:pt idx="2">
                  <c:v>8.3665592426132571E-2</c:v>
                </c:pt>
                <c:pt idx="3">
                  <c:v>8.2947052822460052E-2</c:v>
                </c:pt>
                <c:pt idx="4">
                  <c:v>8.25166575949908E-2</c:v>
                </c:pt>
                <c:pt idx="5">
                  <c:v>8.2300977689688803E-2</c:v>
                </c:pt>
                <c:pt idx="6">
                  <c:v>8.2270511791175616E-2</c:v>
                </c:pt>
                <c:pt idx="7">
                  <c:v>8.2408452947771729E-2</c:v>
                </c:pt>
                <c:pt idx="8">
                  <c:v>8.2702712786395877E-2</c:v>
                </c:pt>
                <c:pt idx="9">
                  <c:v>8.3143138070036704E-2</c:v>
                </c:pt>
                <c:pt idx="10">
                  <c:v>8.3720315212674951E-2</c:v>
                </c:pt>
                <c:pt idx="11">
                  <c:v>8.4424976725122183E-2</c:v>
                </c:pt>
                <c:pt idx="12">
                  <c:v>8.5247678600465768E-2</c:v>
                </c:pt>
                <c:pt idx="13">
                  <c:v>8.6178620286725877E-2</c:v>
                </c:pt>
                <c:pt idx="14">
                  <c:v>8.7207551974435457E-2</c:v>
                </c:pt>
                <c:pt idx="15">
                  <c:v>8.8323743473470162E-2</c:v>
                </c:pt>
                <c:pt idx="16">
                  <c:v>8.9516001884219681E-2</c:v>
                </c:pt>
                <c:pt idx="17">
                  <c:v>9.0772731119710695E-2</c:v>
                </c:pt>
                <c:pt idx="18">
                  <c:v>9.2082028847998126E-2</c:v>
                </c:pt>
                <c:pt idx="19">
                  <c:v>9.3431817205922446E-2</c:v>
                </c:pt>
                <c:pt idx="20">
                  <c:v>9.4810003448840982E-2</c:v>
                </c:pt>
                <c:pt idx="21">
                  <c:v>9.6204665956645077E-2</c:v>
                </c:pt>
                <c:pt idx="22">
                  <c:v>9.760425997443084E-2</c:v>
                </c:pt>
                <c:pt idx="23">
                  <c:v>9.8997836321500152E-2</c:v>
                </c:pt>
                <c:pt idx="24">
                  <c:v>0.10037526521864233</c:v>
                </c:pt>
                <c:pt idx="25">
                  <c:v>0.1017274565028328</c:v>
                </c:pt>
                <c:pt idx="26">
                  <c:v>0.10304656693756893</c:v>
                </c:pt>
                <c:pt idx="27">
                  <c:v>0.10432618516849423</c:v>
                </c:pt>
                <c:pt idx="28">
                  <c:v>0.10556148515340885</c:v>
                </c:pt>
                <c:pt idx="29">
                  <c:v>0.10674933959003655</c:v>
                </c:pt>
                <c:pt idx="30">
                  <c:v>0.10788838588079719</c:v>
                </c:pt>
                <c:pt idx="31">
                  <c:v>0.10897903833761914</c:v>
                </c:pt>
                <c:pt idx="32">
                  <c:v>0.11002344137335862</c:v>
                </c:pt>
                <c:pt idx="33">
                  <c:v>0.11102535896101073</c:v>
                </c:pt>
                <c:pt idx="34">
                  <c:v>0.11198999510223738</c:v>
                </c:pt>
                <c:pt idx="35">
                  <c:v>0.1129237375690583</c:v>
                </c:pt>
                <c:pt idx="36">
                  <c:v>0.11383381134409518</c:v>
                </c:pt>
                <c:pt idx="37">
                  <c:v>0.11472781644579025</c:v>
                </c:pt>
                <c:pt idx="38">
                  <c:v>0.11561310230708921</c:v>
                </c:pt>
                <c:pt idx="39">
                  <c:v>0.11649588757977412</c:v>
                </c:pt>
                <c:pt idx="40">
                  <c:v>0.11737994835468635</c:v>
                </c:pt>
                <c:pt idx="41">
                  <c:v>0.11826451852188849</c:v>
                </c:pt>
                <c:pt idx="42">
                  <c:v>0.11914064570182877</c:v>
                </c:pt>
                <c:pt idx="43">
                  <c:v>0.11998427348441415</c:v>
                </c:pt>
                <c:pt idx="44">
                  <c:v>0.12074169201666979</c:v>
                </c:pt>
                <c:pt idx="45">
                  <c:v>0.12129484555327795</c:v>
                </c:pt>
                <c:pt idx="46">
                  <c:v>0.12136346464014251</c:v>
                </c:pt>
                <c:pt idx="47">
                  <c:v>0.12015000583755875</c:v>
                </c:pt>
                <c:pt idx="48">
                  <c:v>0.11432093106307276</c:v>
                </c:pt>
                <c:pt idx="49">
                  <c:v>5.2756963317900724E-2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CF-49F3-B27B-6BC1EAA3D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'89'!$Q$42:$Q$91</c:f>
              <c:numCache>
                <c:formatCode>General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F4-4BCC-AECE-E03CA22B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F4-4BCC-AECE-E03CA22B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'89'!$S$42:$S$91</c:f>
              <c:numCache>
                <c:formatCode>General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DA-48ED-910F-457713AF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DA-48ED-910F-457713AF2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'89'!$Q$42:$Q$91</c:f>
              <c:numCache>
                <c:formatCode>General</c:formatCode>
                <c:ptCount val="50"/>
                <c:pt idx="0">
                  <c:v>7.9019829719999999</c:v>
                </c:pt>
                <c:pt idx="1">
                  <c:v>7.9559777851084101</c:v>
                </c:pt>
                <c:pt idx="2">
                  <c:v>7.98889317380024</c:v>
                </c:pt>
                <c:pt idx="3">
                  <c:v>8.0047278533547406</c:v>
                </c:pt>
                <c:pt idx="4">
                  <c:v>8.0068750674433904</c:v>
                </c:pt>
                <c:pt idx="5">
                  <c:v>7.99817892986231</c:v>
                </c:pt>
                <c:pt idx="6">
                  <c:v>7.9809880127607498</c:v>
                </c:pt>
                <c:pt idx="7">
                  <c:v>7.9572061813659101</c:v>
                </c:pt>
                <c:pt idx="8">
                  <c:v>7.9283406752038204</c:v>
                </c:pt>
                <c:pt idx="9">
                  <c:v>7.8955474358164697</c:v>
                </c:pt>
                <c:pt idx="10">
                  <c:v>7.8596736809750896</c:v>
                </c:pt>
                <c:pt idx="11">
                  <c:v>7.8212977253896296</c:v>
                </c:pt>
                <c:pt idx="12">
                  <c:v>7.78076604791445</c:v>
                </c:pt>
                <c:pt idx="13">
                  <c:v>7.7382276052501098</c:v>
                </c:pt>
                <c:pt idx="14">
                  <c:v>7.6936653921414297</c:v>
                </c:pt>
                <c:pt idx="15">
                  <c:v>7.6469252480716996</c:v>
                </c:pt>
                <c:pt idx="16">
                  <c:v>7.5977419104530597</c:v>
                </c:pt>
                <c:pt idx="17">
                  <c:v>7.5457623143130599</c:v>
                </c:pt>
                <c:pt idx="18">
                  <c:v>7.4905661384774698</c:v>
                </c:pt>
                <c:pt idx="19">
                  <c:v>7.4316835982491503</c:v>
                </c:pt>
                <c:pt idx="20">
                  <c:v>7.3686104845832396</c:v>
                </c:pt>
                <c:pt idx="21">
                  <c:v>7.3008204497584197</c:v>
                </c:pt>
                <c:pt idx="22">
                  <c:v>7.2277745395444297</c:v>
                </c:pt>
                <c:pt idx="23">
                  <c:v>7.1489279718657404</c:v>
                </c:pt>
                <c:pt idx="24">
                  <c:v>7.0637341619613601</c:v>
                </c:pt>
                <c:pt idx="25">
                  <c:v>6.9716459940409701</c:v>
                </c:pt>
                <c:pt idx="26">
                  <c:v>6.8721143394370499</c:v>
                </c:pt>
                <c:pt idx="27">
                  <c:v>6.7645838212533498</c:v>
                </c:pt>
                <c:pt idx="28">
                  <c:v>6.6484858255094297</c:v>
                </c:pt>
                <c:pt idx="29">
                  <c:v>6.5232287587814897</c:v>
                </c:pt>
                <c:pt idx="30">
                  <c:v>6.3881855523392597</c:v>
                </c:pt>
                <c:pt idx="31">
                  <c:v>6.2426784127791901</c:v>
                </c:pt>
                <c:pt idx="32">
                  <c:v>6.0859608191537102</c:v>
                </c:pt>
                <c:pt idx="33">
                  <c:v>5.9171967665968399</c:v>
                </c:pt>
                <c:pt idx="34">
                  <c:v>5.7354372564457599</c:v>
                </c:pt>
                <c:pt idx="35">
                  <c:v>5.5395940328587603</c:v>
                </c:pt>
                <c:pt idx="36">
                  <c:v>5.32841056592921</c:v>
                </c:pt>
                <c:pt idx="37">
                  <c:v>5.1004302812959299</c:v>
                </c:pt>
                <c:pt idx="38">
                  <c:v>4.8539620362494498</c:v>
                </c:pt>
                <c:pt idx="39">
                  <c:v>4.5870428423347702</c:v>
                </c:pt>
                <c:pt idx="40">
                  <c:v>4.2973978344499697</c:v>
                </c:pt>
                <c:pt idx="41">
                  <c:v>3.9823974864413998</c:v>
                </c:pt>
                <c:pt idx="42">
                  <c:v>3.6390120731945901</c:v>
                </c:pt>
                <c:pt idx="43">
                  <c:v>3.26376337922177</c:v>
                </c:pt>
                <c:pt idx="44">
                  <c:v>2.85267365374524</c:v>
                </c:pt>
                <c:pt idx="45">
                  <c:v>2.4012118122772801</c:v>
                </c:pt>
                <c:pt idx="46">
                  <c:v>1.90423688469581</c:v>
                </c:pt>
                <c:pt idx="47">
                  <c:v>1.3559387098165501</c:v>
                </c:pt>
                <c:pt idx="48">
                  <c:v>0.74977587646133503</c:v>
                </c:pt>
                <c:pt idx="49">
                  <c:v>7.8410911022395099E-2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8-469D-8C90-754E67B229E3}"/>
            </c:ext>
          </c:extLst>
        </c:ser>
        <c:ser>
          <c:idx val="1"/>
          <c:order val="1"/>
          <c:tx>
            <c:strRef>
              <c:f>'89'!$T$41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'89'!$T$42:$T$91</c:f>
              <c:numCache>
                <c:formatCode>0.00</c:formatCode>
                <c:ptCount val="50"/>
                <c:pt idx="0">
                  <c:v>7.9019829719999999</c:v>
                </c:pt>
                <c:pt idx="1">
                  <c:v>7.9559777851084128</c:v>
                </c:pt>
                <c:pt idx="2">
                  <c:v>7.9888931738002418</c:v>
                </c:pt>
                <c:pt idx="3">
                  <c:v>8.0047278533547406</c:v>
                </c:pt>
                <c:pt idx="4">
                  <c:v>8.0068750674433957</c:v>
                </c:pt>
                <c:pt idx="5">
                  <c:v>7.9981789298623127</c:v>
                </c:pt>
                <c:pt idx="6">
                  <c:v>7.9809880127607578</c:v>
                </c:pt>
                <c:pt idx="7">
                  <c:v>7.957206181365919</c:v>
                </c:pt>
                <c:pt idx="8">
                  <c:v>7.9283406752038275</c:v>
                </c:pt>
                <c:pt idx="9">
                  <c:v>7.895547435816475</c:v>
                </c:pt>
                <c:pt idx="10">
                  <c:v>7.8596736809750913</c:v>
                </c:pt>
                <c:pt idx="11">
                  <c:v>7.8212977253896367</c:v>
                </c:pt>
                <c:pt idx="12">
                  <c:v>7.7807660479144571</c:v>
                </c:pt>
                <c:pt idx="13">
                  <c:v>7.7382276052501151</c:v>
                </c:pt>
                <c:pt idx="14">
                  <c:v>7.6936653921414404</c:v>
                </c:pt>
                <c:pt idx="15">
                  <c:v>7.6469252480717111</c:v>
                </c:pt>
                <c:pt idx="16">
                  <c:v>7.5977419104530659</c:v>
                </c:pt>
                <c:pt idx="17">
                  <c:v>7.5457623143130688</c:v>
                </c:pt>
                <c:pt idx="18">
                  <c:v>7.4905661384774742</c:v>
                </c:pt>
                <c:pt idx="19">
                  <c:v>7.4316835982491538</c:v>
                </c:pt>
                <c:pt idx="20">
                  <c:v>7.3686104845832441</c:v>
                </c:pt>
                <c:pt idx="21">
                  <c:v>7.3008204497584268</c:v>
                </c:pt>
                <c:pt idx="22">
                  <c:v>7.2277745395444368</c:v>
                </c:pt>
                <c:pt idx="23">
                  <c:v>7.1489279718657421</c:v>
                </c:pt>
                <c:pt idx="24">
                  <c:v>7.0637341619613698</c:v>
                </c:pt>
                <c:pt idx="25">
                  <c:v>6.9716459940409754</c:v>
                </c:pt>
                <c:pt idx="26">
                  <c:v>6.8721143394370596</c:v>
                </c:pt>
                <c:pt idx="27">
                  <c:v>6.7645838212533569</c:v>
                </c:pt>
                <c:pt idx="28">
                  <c:v>6.6484858255094395</c:v>
                </c:pt>
                <c:pt idx="29">
                  <c:v>6.5232287587814923</c:v>
                </c:pt>
                <c:pt idx="30">
                  <c:v>6.3881855523392641</c:v>
                </c:pt>
                <c:pt idx="31">
                  <c:v>6.2426784127791795</c:v>
                </c:pt>
                <c:pt idx="32">
                  <c:v>6.0859608191537262</c:v>
                </c:pt>
                <c:pt idx="33">
                  <c:v>5.9171967665968506</c:v>
                </c:pt>
                <c:pt idx="34">
                  <c:v>5.7354372564457741</c:v>
                </c:pt>
                <c:pt idx="35">
                  <c:v>5.5395940328587603</c:v>
                </c:pt>
                <c:pt idx="36">
                  <c:v>5.3284105659292376</c:v>
                </c:pt>
                <c:pt idx="37">
                  <c:v>5.1004302812959725</c:v>
                </c:pt>
                <c:pt idx="38">
                  <c:v>4.8539620362494631</c:v>
                </c:pt>
                <c:pt idx="39">
                  <c:v>4.5870428423348368</c:v>
                </c:pt>
                <c:pt idx="40">
                  <c:v>4.2973978344500363</c:v>
                </c:pt>
                <c:pt idx="41">
                  <c:v>3.9823974864415277</c:v>
                </c:pt>
                <c:pt idx="42">
                  <c:v>3.6390120731946674</c:v>
                </c:pt>
                <c:pt idx="43">
                  <c:v>3.2637633792217855</c:v>
                </c:pt>
                <c:pt idx="44">
                  <c:v>2.8526736537453949</c:v>
                </c:pt>
                <c:pt idx="45">
                  <c:v>2.4012118122773813</c:v>
                </c:pt>
                <c:pt idx="46">
                  <c:v>1.904236884695834</c:v>
                </c:pt>
                <c:pt idx="47">
                  <c:v>1.3559387098167193</c:v>
                </c:pt>
                <c:pt idx="48">
                  <c:v>0.74977587646144173</c:v>
                </c:pt>
                <c:pt idx="49">
                  <c:v>7.8410911022395169E-2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A8-469D-8C90-754E67B22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'89'!$S$42:$S$91</c:f>
              <c:numCache>
                <c:formatCode>General</c:formatCode>
                <c:ptCount val="50"/>
                <c:pt idx="0">
                  <c:v>8.4422268910000001E-2</c:v>
                </c:pt>
                <c:pt idx="1">
                  <c:v>8.3559303041312552E-2</c:v>
                </c:pt>
                <c:pt idx="2">
                  <c:v>8.2911974625615115E-2</c:v>
                </c:pt>
                <c:pt idx="3">
                  <c:v>8.2467130480809836E-2</c:v>
                </c:pt>
                <c:pt idx="4">
                  <c:v>8.2211938430028025E-2</c:v>
                </c:pt>
                <c:pt idx="5">
                  <c:v>8.213388730163039E-2</c:v>
                </c:pt>
                <c:pt idx="6">
                  <c:v>8.2220786929206841E-2</c:v>
                </c:pt>
                <c:pt idx="7">
                  <c:v>8.2460768151576588E-2</c:v>
                </c:pt>
                <c:pt idx="8">
                  <c:v>8.2842282812788201E-2</c:v>
                </c:pt>
                <c:pt idx="9">
                  <c:v>8.335410376211945E-2</c:v>
                </c:pt>
                <c:pt idx="10">
                  <c:v>8.398532485407742E-2</c:v>
                </c:pt>
                <c:pt idx="11">
                  <c:v>8.4725360948398484E-2</c:v>
                </c:pt>
                <c:pt idx="12">
                  <c:v>8.5563947910048344E-2</c:v>
                </c:pt>
                <c:pt idx="13">
                  <c:v>8.6491142609221985E-2</c:v>
                </c:pt>
                <c:pt idx="14">
                  <c:v>8.7497322921343545E-2</c:v>
                </c:pt>
                <c:pt idx="15">
                  <c:v>8.8573187727066613E-2</c:v>
                </c:pt>
                <c:pt idx="16">
                  <c:v>8.9709756912274036E-2</c:v>
                </c:pt>
                <c:pt idx="17">
                  <c:v>9.0898371368077852E-2</c:v>
                </c:pt>
                <c:pt idx="18">
                  <c:v>9.2130692990819496E-2</c:v>
                </c:pt>
                <c:pt idx="19">
                  <c:v>9.339870468206965E-2</c:v>
                </c:pt>
                <c:pt idx="20">
                  <c:v>9.4694710348628267E-2</c:v>
                </c:pt>
                <c:pt idx="21">
                  <c:v>9.6011334902524573E-2</c:v>
                </c:pt>
                <c:pt idx="22">
                  <c:v>9.7341524261017207E-2</c:v>
                </c:pt>
                <c:pt idx="23">
                  <c:v>9.8678545346593885E-2</c:v>
                </c:pt>
                <c:pt idx="24">
                  <c:v>0.10001598608697176</c:v>
                </c:pt>
                <c:pt idx="25">
                  <c:v>0.10134775541509733</c:v>
                </c:pt>
                <c:pt idx="26">
                  <c:v>0.10266808326914613</c:v>
                </c:pt>
                <c:pt idx="27">
                  <c:v>0.10397152059252322</c:v>
                </c:pt>
                <c:pt idx="28">
                  <c:v>0.10525293933386291</c:v>
                </c:pt>
                <c:pt idx="29">
                  <c:v>0.10650753244702867</c:v>
                </c:pt>
                <c:pt idx="30">
                  <c:v>0.1077308138911134</c:v>
                </c:pt>
                <c:pt idx="31">
                  <c:v>0.10891861863043922</c:v>
                </c:pt>
                <c:pt idx="32">
                  <c:v>0.11006710263455753</c:v>
                </c:pt>
                <c:pt idx="33">
                  <c:v>0.11117274287824903</c:v>
                </c:pt>
                <c:pt idx="34">
                  <c:v>0.11223233734152376</c:v>
                </c:pt>
                <c:pt idx="35">
                  <c:v>0.11324300500962096</c:v>
                </c:pt>
                <c:pt idx="36">
                  <c:v>0.11420218587300918</c:v>
                </c:pt>
                <c:pt idx="37">
                  <c:v>0.11510764092738617</c:v>
                </c:pt>
                <c:pt idx="38">
                  <c:v>0.11595745217367952</c:v>
                </c:pt>
                <c:pt idx="39">
                  <c:v>0.11675002261804499</c:v>
                </c:pt>
                <c:pt idx="40">
                  <c:v>0.11748407627186892</c:v>
                </c:pt>
                <c:pt idx="41">
                  <c:v>0.11815865815176585</c:v>
                </c:pt>
                <c:pt idx="42">
                  <c:v>0.11877313427958047</c:v>
                </c:pt>
                <c:pt idx="43">
                  <c:v>0.11932719168238617</c:v>
                </c:pt>
                <c:pt idx="44">
                  <c:v>0.11982083839248563</c:v>
                </c:pt>
                <c:pt idx="45">
                  <c:v>0.12025440344741133</c:v>
                </c:pt>
                <c:pt idx="46">
                  <c:v>0.1206285368899246</c:v>
                </c:pt>
                <c:pt idx="47">
                  <c:v>0.12094420976801594</c:v>
                </c:pt>
                <c:pt idx="48">
                  <c:v>0.12120271413490576</c:v>
                </c:pt>
                <c:pt idx="49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95-4E6D-8B3B-57B5F7BB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'89'!$U$42:$U$91</c:f>
              <c:numCache>
                <c:formatCode>0.00</c:formatCode>
                <c:ptCount val="50"/>
                <c:pt idx="0">
                  <c:v>84.42226891</c:v>
                </c:pt>
                <c:pt idx="1">
                  <c:v>83.559303041312546</c:v>
                </c:pt>
                <c:pt idx="2">
                  <c:v>82.91197462561513</c:v>
                </c:pt>
                <c:pt idx="3">
                  <c:v>82.467130480809843</c:v>
                </c:pt>
                <c:pt idx="4">
                  <c:v>82.211938430028027</c:v>
                </c:pt>
                <c:pt idx="5">
                  <c:v>82.133887301630395</c:v>
                </c:pt>
                <c:pt idx="6">
                  <c:v>82.220786929206838</c:v>
                </c:pt>
                <c:pt idx="7">
                  <c:v>82.460768151576588</c:v>
                </c:pt>
                <c:pt idx="8">
                  <c:v>82.842282812788198</c:v>
                </c:pt>
                <c:pt idx="9">
                  <c:v>83.35410376211945</c:v>
                </c:pt>
                <c:pt idx="10">
                  <c:v>83.985324854077419</c:v>
                </c:pt>
                <c:pt idx="11">
                  <c:v>84.725360948398489</c:v>
                </c:pt>
                <c:pt idx="12">
                  <c:v>85.563947910048341</c:v>
                </c:pt>
                <c:pt idx="13">
                  <c:v>86.491142609221981</c:v>
                </c:pt>
                <c:pt idx="14">
                  <c:v>87.497322921343539</c:v>
                </c:pt>
                <c:pt idx="15">
                  <c:v>88.57318772706661</c:v>
                </c:pt>
                <c:pt idx="16">
                  <c:v>89.709756912274031</c:v>
                </c:pt>
                <c:pt idx="17">
                  <c:v>90.898371368077832</c:v>
                </c:pt>
                <c:pt idx="18">
                  <c:v>92.130692990819497</c:v>
                </c:pt>
                <c:pt idx="19">
                  <c:v>93.398704682069663</c:v>
                </c:pt>
                <c:pt idx="20">
                  <c:v>94.694710348628263</c:v>
                </c:pt>
                <c:pt idx="21">
                  <c:v>96.011334902524567</c:v>
                </c:pt>
                <c:pt idx="22">
                  <c:v>97.341524261017213</c:v>
                </c:pt>
                <c:pt idx="23">
                  <c:v>98.678545346593879</c:v>
                </c:pt>
                <c:pt idx="24">
                  <c:v>100.01598608697176</c:v>
                </c:pt>
                <c:pt idx="25">
                  <c:v>101.34775541509732</c:v>
                </c:pt>
                <c:pt idx="26">
                  <c:v>102.66808326914612</c:v>
                </c:pt>
                <c:pt idx="27">
                  <c:v>103.97152059252322</c:v>
                </c:pt>
                <c:pt idx="28">
                  <c:v>105.25293933386291</c:v>
                </c:pt>
                <c:pt idx="29">
                  <c:v>106.50753244702867</c:v>
                </c:pt>
                <c:pt idx="30">
                  <c:v>107.7308138911134</c:v>
                </c:pt>
                <c:pt idx="31">
                  <c:v>108.91861863043923</c:v>
                </c:pt>
                <c:pt idx="32">
                  <c:v>110.06710263455753</c:v>
                </c:pt>
                <c:pt idx="33">
                  <c:v>111.17274287824904</c:v>
                </c:pt>
                <c:pt idx="34">
                  <c:v>112.23233734152376</c:v>
                </c:pt>
                <c:pt idx="35">
                  <c:v>113.24300500962096</c:v>
                </c:pt>
                <c:pt idx="36">
                  <c:v>114.20218587300917</c:v>
                </c:pt>
                <c:pt idx="37">
                  <c:v>115.10764092738617</c:v>
                </c:pt>
                <c:pt idx="38">
                  <c:v>115.95745217367953</c:v>
                </c:pt>
                <c:pt idx="39">
                  <c:v>116.75002261804499</c:v>
                </c:pt>
                <c:pt idx="40">
                  <c:v>117.48407627186893</c:v>
                </c:pt>
                <c:pt idx="41">
                  <c:v>118.15865815176585</c:v>
                </c:pt>
                <c:pt idx="42">
                  <c:v>118.77313427958047</c:v>
                </c:pt>
                <c:pt idx="43">
                  <c:v>119.32719168238617</c:v>
                </c:pt>
                <c:pt idx="44">
                  <c:v>119.82083839248561</c:v>
                </c:pt>
                <c:pt idx="45">
                  <c:v>120.25440344741132</c:v>
                </c:pt>
                <c:pt idx="46">
                  <c:v>120.6285368899246</c:v>
                </c:pt>
                <c:pt idx="47">
                  <c:v>120.94420976801594</c:v>
                </c:pt>
                <c:pt idx="48">
                  <c:v>121.20271413490576</c:v>
                </c:pt>
                <c:pt idx="49">
                  <c:v>121.40566304904311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95-4E6D-8B3B-57B5F7BB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2.94936427388592E-2</c:v>
                </c:pt>
                <c:pt idx="2">
                  <c:v>6.0182165714326497E-2</c:v>
                </c:pt>
                <c:pt idx="3">
                  <c:v>9.1235731707993595E-2</c:v>
                </c:pt>
                <c:pt idx="4">
                  <c:v>0.122314940548698</c:v>
                </c:pt>
                <c:pt idx="5">
                  <c:v>0.153127861981153</c:v>
                </c:pt>
                <c:pt idx="6">
                  <c:v>0.18342638337630601</c:v>
                </c:pt>
                <c:pt idx="7">
                  <c:v>0.213002638608419</c:v>
                </c:pt>
                <c:pt idx="8">
                  <c:v>0.241685518098878</c:v>
                </c:pt>
                <c:pt idx="9">
                  <c:v>0.26933726002673197</c:v>
                </c:pt>
                <c:pt idx="10">
                  <c:v>0.29585012270595401</c:v>
                </c:pt>
                <c:pt idx="11">
                  <c:v>0.32114313812942802</c:v>
                </c:pt>
                <c:pt idx="12">
                  <c:v>0.34515894667966501</c:v>
                </c:pt>
                <c:pt idx="13">
                  <c:v>0.36786071300624801</c:v>
                </c:pt>
                <c:pt idx="14">
                  <c:v>0.38922912306999602</c:v>
                </c:pt>
                <c:pt idx="15">
                  <c:v>0.40925946235386101</c:v>
                </c:pt>
                <c:pt idx="16">
                  <c:v>0.42795877524054898</c:v>
                </c:pt>
                <c:pt idx="17">
                  <c:v>0.44534310555686801</c:v>
                </c:pt>
                <c:pt idx="18">
                  <c:v>0.46143481828479899</c:v>
                </c:pt>
                <c:pt idx="19">
                  <c:v>0.476260002439301</c:v>
                </c:pt>
                <c:pt idx="20">
                  <c:v>0.48984595511283502</c:v>
                </c:pt>
                <c:pt idx="21">
                  <c:v>0.50221874668662003</c:v>
                </c:pt>
                <c:pt idx="22">
                  <c:v>0.513400867208608</c:v>
                </c:pt>
                <c:pt idx="23">
                  <c:v>0.52340895393819697</c:v>
                </c:pt>
                <c:pt idx="24">
                  <c:v>0.53225160005765804</c:v>
                </c:pt>
                <c:pt idx="25">
                  <c:v>0.53992724455029995</c:v>
                </c:pt>
                <c:pt idx="26">
                  <c:v>0.54642214324534799</c:v>
                </c:pt>
                <c:pt idx="27">
                  <c:v>0.55170842102956497</c:v>
                </c:pt>
                <c:pt idx="28">
                  <c:v>0.55574220522557904</c:v>
                </c:pt>
                <c:pt idx="29">
                  <c:v>0.55846184013696198</c:v>
                </c:pt>
                <c:pt idx="30">
                  <c:v>0.55978618276000702</c:v>
                </c:pt>
                <c:pt idx="31">
                  <c:v>0.55961297966225898</c:v>
                </c:pt>
                <c:pt idx="32">
                  <c:v>0.55781732502775005</c:v>
                </c:pt>
                <c:pt idx="33">
                  <c:v>0.55425019986897395</c:v>
                </c:pt>
                <c:pt idx="34">
                  <c:v>0.54873709240558699</c:v>
                </c:pt>
                <c:pt idx="35">
                  <c:v>0.54107669960982196</c:v>
                </c:pt>
                <c:pt idx="36">
                  <c:v>0.53103970991865201</c:v>
                </c:pt>
                <c:pt idx="37">
                  <c:v>0.51836766711265503</c:v>
                </c:pt>
                <c:pt idx="38">
                  <c:v>0.50277191536162602</c:v>
                </c:pt>
                <c:pt idx="39">
                  <c:v>0.48393262543689702</c:v>
                </c:pt>
                <c:pt idx="40">
                  <c:v>0.46149790209040997</c:v>
                </c:pt>
                <c:pt idx="41">
                  <c:v>0.43508297260047701</c:v>
                </c:pt>
                <c:pt idx="42">
                  <c:v>0.40426945648430501</c:v>
                </c:pt>
                <c:pt idx="43">
                  <c:v>0.36860471637723002</c:v>
                </c:pt>
                <c:pt idx="44">
                  <c:v>0.327601290078676</c:v>
                </c:pt>
                <c:pt idx="45">
                  <c:v>0.28073640376484099</c:v>
                </c:pt>
                <c:pt idx="46">
                  <c:v>0.227451566368115</c:v>
                </c:pt>
                <c:pt idx="47">
                  <c:v>0.16715224512322499</c:v>
                </c:pt>
                <c:pt idx="48">
                  <c:v>9.9207622280095498E-2</c:v>
                </c:pt>
                <c:pt idx="49">
                  <c:v>2.2950432983443798E-2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94-4BDB-A895-5A36F848F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'89'!$V$41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'89'!$P$42:$P$91</c:f>
              <c:numCache>
                <c:formatCode>0</c:formatCode>
                <c:ptCount val="50"/>
                <c:pt idx="0">
                  <c:v>0</c:v>
                </c:pt>
                <c:pt idx="1">
                  <c:v>2.7755102040816295</c:v>
                </c:pt>
                <c:pt idx="2">
                  <c:v>5.551020408163259</c:v>
                </c:pt>
                <c:pt idx="3">
                  <c:v>8.3265306122448894</c:v>
                </c:pt>
                <c:pt idx="4">
                  <c:v>11.1020408163265</c:v>
                </c:pt>
                <c:pt idx="5">
                  <c:v>13.877551020408101</c:v>
                </c:pt>
                <c:pt idx="6">
                  <c:v>16.653061224489701</c:v>
                </c:pt>
                <c:pt idx="7">
                  <c:v>19.428571428571399</c:v>
                </c:pt>
                <c:pt idx="8">
                  <c:v>22.204081632653001</c:v>
                </c:pt>
                <c:pt idx="9">
                  <c:v>24.979591836734599</c:v>
                </c:pt>
                <c:pt idx="10">
                  <c:v>27.755102040816301</c:v>
                </c:pt>
                <c:pt idx="11">
                  <c:v>30.530612244897899</c:v>
                </c:pt>
                <c:pt idx="12">
                  <c:v>33.306122448979501</c:v>
                </c:pt>
                <c:pt idx="13">
                  <c:v>36.081632653061199</c:v>
                </c:pt>
                <c:pt idx="14">
                  <c:v>38.857142857142797</c:v>
                </c:pt>
                <c:pt idx="15">
                  <c:v>41.632653061224403</c:v>
                </c:pt>
                <c:pt idx="16">
                  <c:v>44.408163265306101</c:v>
                </c:pt>
                <c:pt idx="17">
                  <c:v>47.183673469387692</c:v>
                </c:pt>
                <c:pt idx="18">
                  <c:v>49.959183673469298</c:v>
                </c:pt>
                <c:pt idx="19">
                  <c:v>52.734693877550995</c:v>
                </c:pt>
                <c:pt idx="20">
                  <c:v>55.510204081632601</c:v>
                </c:pt>
                <c:pt idx="21">
                  <c:v>58.285714285714199</c:v>
                </c:pt>
                <c:pt idx="22">
                  <c:v>61.061224489795897</c:v>
                </c:pt>
                <c:pt idx="23">
                  <c:v>63.836734693877503</c:v>
                </c:pt>
                <c:pt idx="24">
                  <c:v>66.612244897959101</c:v>
                </c:pt>
                <c:pt idx="25">
                  <c:v>69.387755102040799</c:v>
                </c:pt>
                <c:pt idx="26">
                  <c:v>72.163265306122398</c:v>
                </c:pt>
                <c:pt idx="27">
                  <c:v>74.938775510203996</c:v>
                </c:pt>
                <c:pt idx="28">
                  <c:v>77.714285714285694</c:v>
                </c:pt>
                <c:pt idx="29">
                  <c:v>80.489795918367307</c:v>
                </c:pt>
                <c:pt idx="30">
                  <c:v>83.265306122448905</c:v>
                </c:pt>
                <c:pt idx="31">
                  <c:v>86.040816326530603</c:v>
                </c:pt>
                <c:pt idx="32">
                  <c:v>88.816326530612201</c:v>
                </c:pt>
                <c:pt idx="33">
                  <c:v>91.5918367346938</c:v>
                </c:pt>
                <c:pt idx="34">
                  <c:v>94.367346938775498</c:v>
                </c:pt>
                <c:pt idx="35">
                  <c:v>97.142857142857096</c:v>
                </c:pt>
                <c:pt idx="36">
                  <c:v>99.918367346938709</c:v>
                </c:pt>
                <c:pt idx="37">
                  <c:v>102.69387755101999</c:v>
                </c:pt>
                <c:pt idx="38">
                  <c:v>105.46938775510199</c:v>
                </c:pt>
                <c:pt idx="39">
                  <c:v>108.24489795918299</c:v>
                </c:pt>
                <c:pt idx="40">
                  <c:v>111.020408163265</c:v>
                </c:pt>
                <c:pt idx="41">
                  <c:v>113.795918367346</c:v>
                </c:pt>
                <c:pt idx="42">
                  <c:v>116.571428571428</c:v>
                </c:pt>
                <c:pt idx="43">
                  <c:v>119.34693877550998</c:v>
                </c:pt>
                <c:pt idx="44">
                  <c:v>122.12244897959098</c:v>
                </c:pt>
                <c:pt idx="45">
                  <c:v>124.897959183673</c:v>
                </c:pt>
                <c:pt idx="46">
                  <c:v>127.67346938775501</c:v>
                </c:pt>
                <c:pt idx="47">
                  <c:v>130.44897959183601</c:v>
                </c:pt>
                <c:pt idx="48">
                  <c:v>133.224489795918</c:v>
                </c:pt>
                <c:pt idx="49">
                  <c:v>136</c:v>
                </c:pt>
              </c:numCache>
            </c:numRef>
          </c:xVal>
          <c:yVal>
            <c:numRef>
              <c:f>'89'!$V$42:$V$91</c:f>
              <c:numCache>
                <c:formatCode>0.00</c:formatCode>
                <c:ptCount val="50"/>
                <c:pt idx="0">
                  <c:v>-4.3923367499999998E-2</c:v>
                </c:pt>
                <c:pt idx="1">
                  <c:v>2.9493642738859225</c:v>
                </c:pt>
                <c:pt idx="2">
                  <c:v>6.0182165714326521</c:v>
                </c:pt>
                <c:pt idx="3">
                  <c:v>9.1235731707993537</c:v>
                </c:pt>
                <c:pt idx="4">
                  <c:v>12.231494054869771</c:v>
                </c:pt>
                <c:pt idx="5">
                  <c:v>15.312786198115287</c:v>
                </c:pt>
                <c:pt idx="6">
                  <c:v>18.34263833763055</c:v>
                </c:pt>
                <c:pt idx="7">
                  <c:v>21.300263860841877</c:v>
                </c:pt>
                <c:pt idx="8">
                  <c:v>24.168551809887777</c:v>
                </c:pt>
                <c:pt idx="9">
                  <c:v>26.933726002673197</c:v>
                </c:pt>
                <c:pt idx="10">
                  <c:v>29.585012270595445</c:v>
                </c:pt>
                <c:pt idx="11">
                  <c:v>32.114313812942754</c:v>
                </c:pt>
                <c:pt idx="12">
                  <c:v>34.515894667966457</c:v>
                </c:pt>
                <c:pt idx="13">
                  <c:v>36.786071300624798</c:v>
                </c:pt>
                <c:pt idx="14">
                  <c:v>38.922912306999571</c:v>
                </c:pt>
                <c:pt idx="15">
                  <c:v>40.925946235386093</c:v>
                </c:pt>
                <c:pt idx="16">
                  <c:v>42.795877524054973</c:v>
                </c:pt>
                <c:pt idx="17">
                  <c:v>44.534310555686794</c:v>
                </c:pt>
                <c:pt idx="18">
                  <c:v>46.143481828479878</c:v>
                </c:pt>
                <c:pt idx="19">
                  <c:v>47.626000243930129</c:v>
                </c:pt>
                <c:pt idx="20">
                  <c:v>48.984595511283558</c:v>
                </c:pt>
                <c:pt idx="21">
                  <c:v>50.221874668661954</c:v>
                </c:pt>
                <c:pt idx="22">
                  <c:v>51.340086720860825</c:v>
                </c:pt>
                <c:pt idx="23">
                  <c:v>52.340895393819714</c:v>
                </c:pt>
                <c:pt idx="24">
                  <c:v>53.225160005765858</c:v>
                </c:pt>
                <c:pt idx="25">
                  <c:v>53.992724455030007</c:v>
                </c:pt>
                <c:pt idx="26">
                  <c:v>54.642214324534862</c:v>
                </c:pt>
                <c:pt idx="27">
                  <c:v>55.170842102956478</c:v>
                </c:pt>
                <c:pt idx="28">
                  <c:v>55.574220522557958</c:v>
                </c:pt>
                <c:pt idx="29">
                  <c:v>55.846184013696217</c:v>
                </c:pt>
                <c:pt idx="30">
                  <c:v>55.978618276000802</c:v>
                </c:pt>
                <c:pt idx="31">
                  <c:v>55.96129796622597</c:v>
                </c:pt>
                <c:pt idx="32">
                  <c:v>55.781732502775014</c:v>
                </c:pt>
                <c:pt idx="33">
                  <c:v>55.425019986897553</c:v>
                </c:pt>
                <c:pt idx="34">
                  <c:v>54.873709240558675</c:v>
                </c:pt>
                <c:pt idx="35">
                  <c:v>54.107669960982349</c:v>
                </c:pt>
                <c:pt idx="36">
                  <c:v>53.103970991865197</c:v>
                </c:pt>
                <c:pt idx="37">
                  <c:v>51.836766711265746</c:v>
                </c:pt>
                <c:pt idx="38">
                  <c:v>50.277191536162647</c:v>
                </c:pt>
                <c:pt idx="39">
                  <c:v>48.39326254369044</c:v>
                </c:pt>
                <c:pt idx="40">
                  <c:v>46.149790209041086</c:v>
                </c:pt>
                <c:pt idx="41">
                  <c:v>43.508297260048508</c:v>
                </c:pt>
                <c:pt idx="42">
                  <c:v>40.426945648431087</c:v>
                </c:pt>
                <c:pt idx="43">
                  <c:v>36.860471637723364</c:v>
                </c:pt>
                <c:pt idx="44">
                  <c:v>32.760129007868869</c:v>
                </c:pt>
                <c:pt idx="45">
                  <c:v>28.073640376485017</c:v>
                </c:pt>
                <c:pt idx="46">
                  <c:v>22.745156636811814</c:v>
                </c:pt>
                <c:pt idx="47">
                  <c:v>16.715224512324099</c:v>
                </c:pt>
                <c:pt idx="48">
                  <c:v>9.9207622280103749</c:v>
                </c:pt>
                <c:pt idx="49">
                  <c:v>2.2950432983443818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94-4BDB-A895-5A36F848F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'89'!$AS$5:$AS$15</c:f>
              <c:numCache>
                <c:formatCode>0.000</c:formatCode>
                <c:ptCount val="11"/>
                <c:pt idx="0">
                  <c:v>7.9019829719999999</c:v>
                </c:pt>
                <c:pt idx="1">
                  <c:v>7.9995138700822945</c:v>
                </c:pt>
                <c:pt idx="2">
                  <c:v>7.8670752168486207</c:v>
                </c:pt>
                <c:pt idx="3">
                  <c:v>7.6611795900245969</c:v>
                </c:pt>
                <c:pt idx="4">
                  <c:v>7.3943668644096299</c:v>
                </c:pt>
                <c:pt idx="5">
                  <c:v>7.0185859446157108</c:v>
                </c:pt>
                <c:pt idx="6">
                  <c:v>6.4704311290095058</c:v>
                </c:pt>
                <c:pt idx="7">
                  <c:v>5.6782458645376321</c:v>
                </c:pt>
                <c:pt idx="8">
                  <c:v>4.5310847841679811</c:v>
                </c:pt>
                <c:pt idx="9">
                  <c:v>2.8095372797737994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B1-4434-8628-0FCB2A4F0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0.47975653967699877</c:v>
                </c:pt>
                <c:pt idx="9">
                  <c:v>0.3232003224214014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B1-4434-8628-0FCB2A4F0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'89'!$AS$16:$AS$26</c:f>
              <c:numCache>
                <c:formatCode>0.000</c:formatCode>
                <c:ptCount val="11"/>
                <c:pt idx="0">
                  <c:v>7.9019829719999999</c:v>
                </c:pt>
                <c:pt idx="1">
                  <c:v>7.9995138700822945</c:v>
                </c:pt>
                <c:pt idx="2">
                  <c:v>7.8670752168486207</c:v>
                </c:pt>
                <c:pt idx="3">
                  <c:v>7.6611795900245969</c:v>
                </c:pt>
                <c:pt idx="4">
                  <c:v>7.3943668644096299</c:v>
                </c:pt>
                <c:pt idx="5">
                  <c:v>7.0185859446157108</c:v>
                </c:pt>
                <c:pt idx="6">
                  <c:v>6.4704311290095058</c:v>
                </c:pt>
                <c:pt idx="7">
                  <c:v>5.6782458645376321</c:v>
                </c:pt>
                <c:pt idx="8">
                  <c:v>4.5310847841679802</c:v>
                </c:pt>
                <c:pt idx="9">
                  <c:v>2.8095372797737976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8E-4CDB-B070-BC11B83C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0.47975653967699872</c:v>
                </c:pt>
                <c:pt idx="9">
                  <c:v>0.32320032242140118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8E-4CDB-B070-BC11B83C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'89'!$AT$5:$AT$15</c:f>
              <c:numCache>
                <c:formatCode>0.000</c:formatCode>
                <c:ptCount val="11"/>
                <c:pt idx="0">
                  <c:v>8.4422268910000001E-2</c:v>
                </c:pt>
                <c:pt idx="1">
                  <c:v>8.2133783574619659E-2</c:v>
                </c:pt>
                <c:pt idx="2">
                  <c:v>8.3849711578562913E-2</c:v>
                </c:pt>
                <c:pt idx="3">
                  <c:v>8.8243412187667014E-2</c:v>
                </c:pt>
                <c:pt idx="4">
                  <c:v>9.4173324019780874E-2</c:v>
                </c:pt>
                <c:pt idx="5">
                  <c:v>0.10068291410173696</c:v>
                </c:pt>
                <c:pt idx="6">
                  <c:v>0.10700092229890827</c:v>
                </c:pt>
                <c:pt idx="7">
                  <c:v>0.11254088039067414</c:v>
                </c:pt>
                <c:pt idx="8">
                  <c:v>0.11690158881315335</c:v>
                </c:pt>
                <c:pt idx="9">
                  <c:v>0.11986687942511785</c:v>
                </c:pt>
                <c:pt idx="10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55-40DF-9675-CC843FD29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0.47975653967699877</c:v>
                </c:pt>
                <c:pt idx="9">
                  <c:v>0.3232003224214014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55-40DF-9675-CC843FD29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'89'!$AT$4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'89'!$AT$16:$AT$26</c:f>
              <c:numCache>
                <c:formatCode>0.000</c:formatCode>
                <c:ptCount val="11"/>
                <c:pt idx="0">
                  <c:v>8.4422268910000001E-2</c:v>
                </c:pt>
                <c:pt idx="1">
                  <c:v>8.2133783574619659E-2</c:v>
                </c:pt>
                <c:pt idx="2">
                  <c:v>8.3849711578562913E-2</c:v>
                </c:pt>
                <c:pt idx="3">
                  <c:v>8.8243412187667014E-2</c:v>
                </c:pt>
                <c:pt idx="4">
                  <c:v>9.4173324019780874E-2</c:v>
                </c:pt>
                <c:pt idx="5">
                  <c:v>0.10068291410173696</c:v>
                </c:pt>
                <c:pt idx="6">
                  <c:v>0.10700092229890827</c:v>
                </c:pt>
                <c:pt idx="7">
                  <c:v>0.11254088039067414</c:v>
                </c:pt>
                <c:pt idx="8">
                  <c:v>0.11690158881315335</c:v>
                </c:pt>
                <c:pt idx="9">
                  <c:v>0.11986687942511785</c:v>
                </c:pt>
                <c:pt idx="10">
                  <c:v>0.12140566304904311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E-412E-8E54-4A2DDC3E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'89'!$AU$4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'89'!$AR$16:$AR$26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13.6</c:v>
                </c:pt>
                <c:pt idx="2">
                  <c:v>27.2</c:v>
                </c:pt>
                <c:pt idx="3">
                  <c:v>40.799999999999997</c:v>
                </c:pt>
                <c:pt idx="4">
                  <c:v>54.4</c:v>
                </c:pt>
                <c:pt idx="5">
                  <c:v>68</c:v>
                </c:pt>
                <c:pt idx="6">
                  <c:v>81.599999999999994</c:v>
                </c:pt>
                <c:pt idx="7">
                  <c:v>95.2</c:v>
                </c:pt>
                <c:pt idx="8">
                  <c:v>108.8</c:v>
                </c:pt>
                <c:pt idx="9">
                  <c:v>122.4</c:v>
                </c:pt>
                <c:pt idx="10">
                  <c:v>136</c:v>
                </c:pt>
              </c:numCache>
            </c:numRef>
          </c:xVal>
          <c:yVal>
            <c:numRef>
              <c:f>'89'!$AU$16:$AU$26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0.15006007633736484</c:v>
                </c:pt>
                <c:pt idx="2">
                  <c:v>0.2906409003597677</c:v>
                </c:pt>
                <c:pt idx="3">
                  <c:v>0.40339115475100196</c:v>
                </c:pt>
                <c:pt idx="4">
                  <c:v>0.48455887016755328</c:v>
                </c:pt>
                <c:pt idx="5">
                  <c:v>0.53623533945525292</c:v>
                </c:pt>
                <c:pt idx="6">
                  <c:v>0.55916506222843998</c:v>
                </c:pt>
                <c:pt idx="7">
                  <c:v>0.5466797498625211</c:v>
                </c:pt>
                <c:pt idx="8">
                  <c:v>0.47975653967699872</c:v>
                </c:pt>
                <c:pt idx="9">
                  <c:v>0.32320032242140118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E-412E-8E54-4A2DDC3E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D9-4CD9-AF1B-BF475702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D-4DB7-9931-563493502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'88'!$C$42:$C$91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6-4CE9-ABF8-89F27649E6A2}"/>
            </c:ext>
          </c:extLst>
        </c:ser>
        <c:ser>
          <c:idx val="1"/>
          <c:order val="1"/>
          <c:tx>
            <c:strRef>
              <c:f>'88'!$G$41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'88'!$G$42:$G$91</c:f>
              <c:numCache>
                <c:formatCode>0.000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5.2944865161162928</c:v>
                </c:pt>
                <c:pt idx="10">
                  <c:v>5.340106464893986</c:v>
                </c:pt>
                <c:pt idx="11">
                  <c:v>5.375610912833805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5.115733755063693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4.450414767280904</c:v>
                </c:pt>
                <c:pt idx="32">
                  <c:v>4.3600282838005739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3.5082355324353216</c:v>
                </c:pt>
                <c:pt idx="39">
                  <c:v>3.3195094708618171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1.781449533484647</c:v>
                </c:pt>
                <c:pt idx="46">
                  <c:v>1.4022694642817441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6-4CE9-ABF8-89F27649E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6A-439E-90FE-CD99E4863675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'88'!$K$42:$K$91</c:f>
              <c:numCache>
                <c:formatCode>0.000</c:formatCode>
                <c:ptCount val="50"/>
                <c:pt idx="0">
                  <c:v>-2.0258797799999999E-3</c:v>
                </c:pt>
                <c:pt idx="1">
                  <c:v>3.7372738740290228E-2</c:v>
                </c:pt>
                <c:pt idx="2">
                  <c:v>7.3118237799242827E-2</c:v>
                </c:pt>
                <c:pt idx="3">
                  <c:v>0.10587737181976303</c:v>
                </c:pt>
                <c:pt idx="4">
                  <c:v>0.13620749862616233</c:v>
                </c:pt>
                <c:pt idx="5">
                  <c:v>0.1645685952619817</c:v>
                </c:pt>
                <c:pt idx="6">
                  <c:v>0.19133458331008857</c:v>
                </c:pt>
                <c:pt idx="7">
                  <c:v>0.21680396371504776</c:v>
                </c:pt>
                <c:pt idx="8">
                  <c:v>0.24120976110775744</c:v>
                </c:pt>
                <c:pt idx="9">
                  <c:v>0.26472877763237163</c:v>
                </c:pt>
                <c:pt idx="10">
                  <c:v>0.28749015627548391</c:v>
                </c:pt>
                <c:pt idx="11">
                  <c:v>0.30958325369758477</c:v>
                </c:pt>
                <c:pt idx="12">
                  <c:v>0.33106482256680164</c:v>
                </c:pt>
                <c:pt idx="13">
                  <c:v>0.35196550339489696</c:v>
                </c:pt>
                <c:pt idx="14">
                  <c:v>0.37229562587555409</c:v>
                </c:pt>
                <c:pt idx="15">
                  <c:v>0.39205031972492116</c:v>
                </c:pt>
                <c:pt idx="16">
                  <c:v>0.41121393502444176</c:v>
                </c:pt>
                <c:pt idx="17">
                  <c:v>0.42976377206594907</c:v>
                </c:pt>
                <c:pt idx="18">
                  <c:v>0.4476731206990327</c:v>
                </c:pt>
                <c:pt idx="19">
                  <c:v>0.46491360918068664</c:v>
                </c:pt>
                <c:pt idx="20">
                  <c:v>0.48145686252721859</c:v>
                </c:pt>
                <c:pt idx="21">
                  <c:v>0.49727547036844266</c:v>
                </c:pt>
                <c:pt idx="22">
                  <c:v>0.51234326430413768</c:v>
                </c:pt>
                <c:pt idx="23">
                  <c:v>0.52663490476277974</c:v>
                </c:pt>
                <c:pt idx="24">
                  <c:v>0.54012477736255005</c:v>
                </c:pt>
                <c:pt idx="25">
                  <c:v>0.55278519877461318</c:v>
                </c:pt>
                <c:pt idx="26">
                  <c:v>0.56458393208867041</c:v>
                </c:pt>
                <c:pt idx="27">
                  <c:v>0.57548101168077925</c:v>
                </c:pt>
                <c:pt idx="28">
                  <c:v>0.58542487758345618</c:v>
                </c:pt>
                <c:pt idx="29">
                  <c:v>0.59434781935804459</c:v>
                </c:pt>
                <c:pt idx="30">
                  <c:v>0.60216072946935439</c:v>
                </c:pt>
                <c:pt idx="31">
                  <c:v>0.60874716616258495</c:v>
                </c:pt>
                <c:pt idx="32">
                  <c:v>0.61395672584250593</c:v>
                </c:pt>
                <c:pt idx="33">
                  <c:v>0.61759772495491916</c:v>
                </c:pt>
                <c:pt idx="34">
                  <c:v>0.61942919137040009</c:v>
                </c:pt>
                <c:pt idx="35">
                  <c:v>0.61915216527029227</c:v>
                </c:pt>
                <c:pt idx="36">
                  <c:v>0.61640030953500036</c:v>
                </c:pt>
                <c:pt idx="37">
                  <c:v>0.61072982963452349</c:v>
                </c:pt>
                <c:pt idx="38">
                  <c:v>0.6016087030213032</c:v>
                </c:pt>
                <c:pt idx="39">
                  <c:v>0.58840521802530299</c:v>
                </c:pt>
                <c:pt idx="40">
                  <c:v>0.57037582225138517</c:v>
                </c:pt>
                <c:pt idx="41">
                  <c:v>0.54665228047895309</c:v>
                </c:pt>
                <c:pt idx="42">
                  <c:v>0.51622814206387491</c:v>
                </c:pt>
                <c:pt idx="43">
                  <c:v>0.47794451784264536</c:v>
                </c:pt>
                <c:pt idx="44">
                  <c:v>0.43047516653889262</c:v>
                </c:pt>
                <c:pt idx="45">
                  <c:v>0.37231089067206768</c:v>
                </c:pt>
                <c:pt idx="46">
                  <c:v>0.30174324196847463</c:v>
                </c:pt>
                <c:pt idx="47">
                  <c:v>0.21684753627458123</c:v>
                </c:pt>
                <c:pt idx="48">
                  <c:v>0.11546517797244632</c:v>
                </c:pt>
                <c:pt idx="49">
                  <c:v>-4.8147061023337302E-3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A-439E-90FE-CD99E4863675}"/>
            </c:ext>
          </c:extLst>
        </c:ser>
        <c:ser>
          <c:idx val="2"/>
          <c:order val="2"/>
          <c:tx>
            <c:strRef>
              <c:f>'88'!$N$41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'88'!$N$42:$N$91</c:f>
              <c:numCache>
                <c:formatCode>0.000</c:formatCode>
                <c:ptCount val="50"/>
                <c:pt idx="0">
                  <c:v>0</c:v>
                </c:pt>
                <c:pt idx="1">
                  <c:v>3.5965546925073269E-2</c:v>
                </c:pt>
                <c:pt idx="2">
                  <c:v>7.1280800670223507E-2</c:v>
                </c:pt>
                <c:pt idx="3">
                  <c:v>0.10407333660054531</c:v>
                </c:pt>
                <c:pt idx="4">
                  <c:v>0.13414294903660814</c:v>
                </c:pt>
                <c:pt idx="5">
                  <c:v>0.16205428462978383</c:v>
                </c:pt>
                <c:pt idx="6">
                  <c:v>0.18853336115534991</c:v>
                </c:pt>
                <c:pt idx="7">
                  <c:v>0.21415942350398803</c:v>
                </c:pt>
                <c:pt idx="8">
                  <c:v>0.23926323182883946</c:v>
                </c:pt>
                <c:pt idx="9">
                  <c:v>0.26394052029906934</c:v>
                </c:pt>
                <c:pt idx="10">
                  <c:v>0.28811538476667931</c:v>
                </c:pt>
                <c:pt idx="11">
                  <c:v>0.31161537949484985</c:v>
                </c:pt>
                <c:pt idx="12">
                  <c:v>0.33423929094126076</c:v>
                </c:pt>
                <c:pt idx="13">
                  <c:v>0.3558098423712065</c:v>
                </c:pt>
                <c:pt idx="14">
                  <c:v>0.37620938400769305</c:v>
                </c:pt>
                <c:pt idx="15">
                  <c:v>0.39539925953884314</c:v>
                </c:pt>
                <c:pt idx="16">
                  <c:v>0.41342459908298207</c:v>
                </c:pt>
                <c:pt idx="17">
                  <c:v>0.43040669548097238</c:v>
                </c:pt>
                <c:pt idx="18">
                  <c:v>0.44652534725732235</c:v>
                </c:pt>
                <c:pt idx="19">
                  <c:v>0.46199379378410377</c:v>
                </c:pt>
                <c:pt idx="20">
                  <c:v>0.47702915955144648</c:v>
                </c:pt>
                <c:pt idx="21">
                  <c:v>0.49182160461151503</c:v>
                </c:pt>
                <c:pt idx="22">
                  <c:v>0.50650553861755643</c:v>
                </c:pt>
                <c:pt idx="23">
                  <c:v>0.52113617702478177</c:v>
                </c:pt>
                <c:pt idx="24">
                  <c:v>0.53567430510242064</c:v>
                </c:pt>
                <c:pt idx="25">
                  <c:v>0.54998132971530778</c:v>
                </c:pt>
                <c:pt idx="26">
                  <c:v>0.56382557893229068</c:v>
                </c:pt>
                <c:pt idx="27">
                  <c:v>0.5768994741504706</c:v>
                </c:pt>
                <c:pt idx="28">
                  <c:v>0.58884582801402496</c:v>
                </c:pt>
                <c:pt idx="29">
                  <c:v>0.59929031511861031</c:v>
                </c:pt>
                <c:pt idx="30">
                  <c:v>0.60787629621434469</c:v>
                </c:pt>
                <c:pt idx="31">
                  <c:v>0.61429775657777885</c:v>
                </c:pt>
                <c:pt idx="32">
                  <c:v>0.61832615953494618</c:v>
                </c:pt>
                <c:pt idx="33">
                  <c:v>0.61982744091678976</c:v>
                </c:pt>
                <c:pt idx="34">
                  <c:v>0.61876603915492878</c:v>
                </c:pt>
                <c:pt idx="35">
                  <c:v>0.61519360330912087</c:v>
                </c:pt>
                <c:pt idx="36">
                  <c:v>0.60922069884192753</c:v>
                </c:pt>
                <c:pt idx="37">
                  <c:v>0.60097034156162155</c:v>
                </c:pt>
                <c:pt idx="38">
                  <c:v>0.59051251541279937</c:v>
                </c:pt>
                <c:pt idx="39">
                  <c:v>0.57777905235268134</c:v>
                </c:pt>
                <c:pt idx="40">
                  <c:v>0.56245858814198813</c:v>
                </c:pt>
                <c:pt idx="41">
                  <c:v>0.54387216515875136</c:v>
                </c:pt>
                <c:pt idx="42">
                  <c:v>0.5208321480594803</c:v>
                </c:pt>
                <c:pt idx="43">
                  <c:v>0.49149167499804997</c:v>
                </c:pt>
                <c:pt idx="44">
                  <c:v>0.45320094295604074</c:v>
                </c:pt>
                <c:pt idx="45">
                  <c:v>0.4024035641012359</c:v>
                </c:pt>
                <c:pt idx="46">
                  <c:v>0.33463613640958229</c:v>
                </c:pt>
                <c:pt idx="47">
                  <c:v>0.24474393708249434</c:v>
                </c:pt>
                <c:pt idx="48">
                  <c:v>0.12750210801458042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6A-439E-90FE-CD99E4863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'88'!$E$41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'88'!$E$42:$E$91</c:f>
              <c:numCache>
                <c:formatCode>0.000</c:formatCode>
                <c:ptCount val="50"/>
                <c:pt idx="0">
                  <c:v>0</c:v>
                </c:pt>
                <c:pt idx="1">
                  <c:v>0.33961023687645597</c:v>
                </c:pt>
                <c:pt idx="2">
                  <c:v>0.34801557509466102</c:v>
                </c:pt>
                <c:pt idx="3">
                  <c:v>0.35854665554883702</c:v>
                </c:pt>
                <c:pt idx="4">
                  <c:v>0.36943397698643199</c:v>
                </c:pt>
                <c:pt idx="5">
                  <c:v>0.38122419982466499</c:v>
                </c:pt>
                <c:pt idx="6">
                  <c:v>0.39420536731434302</c:v>
                </c:pt>
                <c:pt idx="7">
                  <c:v>0.40824017779410399</c:v>
                </c:pt>
                <c:pt idx="8">
                  <c:v>0.422878235752636</c:v>
                </c:pt>
                <c:pt idx="9">
                  <c:v>0.43750725590345702</c:v>
                </c:pt>
                <c:pt idx="10">
                  <c:v>0.45148881418974801</c:v>
                </c:pt>
                <c:pt idx="11">
                  <c:v>0.46426197017498</c:v>
                </c:pt>
                <c:pt idx="12">
                  <c:v>0.475410901685419</c:v>
                </c:pt>
                <c:pt idx="13">
                  <c:v>0.48469874593143197</c:v>
                </c:pt>
                <c:pt idx="14">
                  <c:v>0.49207294321924899</c:v>
                </c:pt>
                <c:pt idx="15">
                  <c:v>0.49764871177711401</c:v>
                </c:pt>
                <c:pt idx="16">
                  <c:v>0.50167745740034198</c:v>
                </c:pt>
                <c:pt idx="17">
                  <c:v>0.50450638225759303</c:v>
                </c:pt>
                <c:pt idx="18">
                  <c:v>0.50653464308138296</c:v>
                </c:pt>
                <c:pt idx="19">
                  <c:v>0.50817036405041205</c:v>
                </c:pt>
                <c:pt idx="20">
                  <c:v>0.50979178897399502</c:v>
                </c:pt>
                <c:pt idx="21">
                  <c:v>0.511714941818877</c:v>
                </c:pt>
                <c:pt idx="22">
                  <c:v>0.514169380310876</c:v>
                </c:pt>
                <c:pt idx="23">
                  <c:v>0.51728296509170602</c:v>
                </c:pt>
                <c:pt idx="24">
                  <c:v>0.52107599905896396</c:v>
                </c:pt>
                <c:pt idx="25">
                  <c:v>0.52546458529062701</c:v>
                </c:pt>
                <c:pt idx="26">
                  <c:v>0.53027257929844895</c:v>
                </c:pt>
                <c:pt idx="27">
                  <c:v>0.53525105565501196</c:v>
                </c:pt>
                <c:pt idx="28">
                  <c:v>0.54010376903951995</c:v>
                </c:pt>
                <c:pt idx="29">
                  <c:v>0.54451668077124205</c:v>
                </c:pt>
                <c:pt idx="30">
                  <c:v>0.54818927423065</c:v>
                </c:pt>
                <c:pt idx="31">
                  <c:v>0.55086513691893102</c:v>
                </c:pt>
                <c:pt idx="32">
                  <c:v>0.55235918716184296</c:v>
                </c:pt>
                <c:pt idx="33">
                  <c:v>0.55257900742660404</c:v>
                </c:pt>
                <c:pt idx="34">
                  <c:v>0.55153803577592797</c:v>
                </c:pt>
                <c:pt idx="35">
                  <c:v>0.54935885941754503</c:v>
                </c:pt>
                <c:pt idx="36">
                  <c:v>0.54626551693185799</c:v>
                </c:pt>
                <c:pt idx="37">
                  <c:v>0.54256448467881702</c:v>
                </c:pt>
                <c:pt idx="38">
                  <c:v>0.53861480604920797</c:v>
                </c:pt>
                <c:pt idx="39">
                  <c:v>0.53478850283186496</c:v>
                </c:pt>
                <c:pt idx="40">
                  <c:v>0.53142283991440897</c:v>
                </c:pt>
                <c:pt idx="41">
                  <c:v>0.52876598662335095</c:v>
                </c:pt>
                <c:pt idx="42">
                  <c:v>0.52691672218457197</c:v>
                </c:pt>
                <c:pt idx="43">
                  <c:v>0.52575601655726001</c:v>
                </c:pt>
                <c:pt idx="44">
                  <c:v>0.52486024283057797</c:v>
                </c:pt>
                <c:pt idx="45">
                  <c:v>0.52335979382171605</c:v>
                </c:pt>
                <c:pt idx="46">
                  <c:v>0.519603197382839</c:v>
                </c:pt>
                <c:pt idx="47">
                  <c:v>0.50991028214078904</c:v>
                </c:pt>
                <c:pt idx="48">
                  <c:v>0.47973877943645699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2-427B-9EB8-58D90273BC3C}"/>
            </c:ext>
          </c:extLst>
        </c:ser>
        <c:ser>
          <c:idx val="1"/>
          <c:order val="1"/>
          <c:tx>
            <c:strRef>
              <c:f>'88'!$I$41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'88'!$I$42:$I$91</c:f>
              <c:numCache>
                <c:formatCode>0.000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2-427B-9EB8-58D90273BC3C}"/>
            </c:ext>
          </c:extLst>
        </c:ser>
        <c:ser>
          <c:idx val="2"/>
          <c:order val="2"/>
          <c:tx>
            <c:strRef>
              <c:f>'88'!$M$41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'88'!$B$42:$B$91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192.85714285714201</c:v>
                </c:pt>
                <c:pt idx="10">
                  <c:v>214.28571428571399</c:v>
                </c:pt>
                <c:pt idx="11">
                  <c:v>235.71428571428501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664.28571428571399</c:v>
                </c:pt>
                <c:pt idx="32">
                  <c:v>685.71428571428498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814.28571428571399</c:v>
                </c:pt>
                <c:pt idx="39">
                  <c:v>835.71428571428498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964.28571428571399</c:v>
                </c:pt>
                <c:pt idx="46">
                  <c:v>985.71428571428498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'88'!$M$42:$M$91</c:f>
              <c:numCache>
                <c:formatCode>0.000</c:formatCode>
                <c:ptCount val="50"/>
                <c:pt idx="0">
                  <c:v>0</c:v>
                </c:pt>
                <c:pt idx="1">
                  <c:v>0.33994542306359643</c:v>
                </c:pt>
                <c:pt idx="2">
                  <c:v>0.3483590571249866</c:v>
                </c:pt>
                <c:pt idx="3">
                  <c:v>0.35890053147286943</c:v>
                </c:pt>
                <c:pt idx="4">
                  <c:v>0.36979859840445833</c:v>
                </c:pt>
                <c:pt idx="5">
                  <c:v>0.38160045787613073</c:v>
                </c:pt>
                <c:pt idx="6">
                  <c:v>0.39459443742964795</c:v>
                </c:pt>
                <c:pt idx="7">
                  <c:v>0.4086430998905955</c:v>
                </c:pt>
                <c:pt idx="8">
                  <c:v>0.42329560521938187</c:v>
                </c:pt>
                <c:pt idx="9">
                  <c:v>0.43793906382038322</c:v>
                </c:pt>
                <c:pt idx="10">
                  <c:v>0.45193442152937574</c:v>
                </c:pt>
                <c:pt idx="11">
                  <c:v>0.46472018427667711</c:v>
                </c:pt>
                <c:pt idx="12">
                  <c:v>0.47588011948323006</c:v>
                </c:pt>
                <c:pt idx="13">
                  <c:v>0.4851771305821862</c:v>
                </c:pt>
                <c:pt idx="14">
                  <c:v>0.49255860600476975</c:v>
                </c:pt>
                <c:pt idx="15">
                  <c:v>0.49813987769652268</c:v>
                </c:pt>
                <c:pt idx="16">
                  <c:v>0.50217259958353122</c:v>
                </c:pt>
                <c:pt idx="17">
                  <c:v>0.50500431651367528</c:v>
                </c:pt>
                <c:pt idx="18">
                  <c:v>0.50703457917645089</c:v>
                </c:pt>
                <c:pt idx="19">
                  <c:v>0.50867191455816607</c:v>
                </c:pt>
                <c:pt idx="20">
                  <c:v>0.51029493978462293</c:v>
                </c:pt>
                <c:pt idx="21">
                  <c:v>0.51221999072973579</c:v>
                </c:pt>
                <c:pt idx="22">
                  <c:v>0.51467685168663846</c:v>
                </c:pt>
                <c:pt idx="23">
                  <c:v>0.51779350949206393</c:v>
                </c:pt>
                <c:pt idx="24">
                  <c:v>0.52159028708202704</c:v>
                </c:pt>
                <c:pt idx="25">
                  <c:v>0.52598320473049121</c:v>
                </c:pt>
                <c:pt idx="26">
                  <c:v>0.53079594409933106</c:v>
                </c:pt>
                <c:pt idx="27">
                  <c:v>0.53577933407841138</c:v>
                </c:pt>
                <c:pt idx="28">
                  <c:v>0.54063683696076259</c:v>
                </c:pt>
                <c:pt idx="29">
                  <c:v>0.54505410411790067</c:v>
                </c:pt>
                <c:pt idx="30">
                  <c:v>0.54873032232846497</c:v>
                </c:pt>
                <c:pt idx="31">
                  <c:v>0.55140882602138819</c:v>
                </c:pt>
                <c:pt idx="32">
                  <c:v>0.55290435085178202</c:v>
                </c:pt>
                <c:pt idx="33">
                  <c:v>0.55312438807324471</c:v>
                </c:pt>
                <c:pt idx="34">
                  <c:v>0.55208238901149276</c:v>
                </c:pt>
                <c:pt idx="35">
                  <c:v>0.54990106186454191</c:v>
                </c:pt>
                <c:pt idx="36">
                  <c:v>0.54680466633286084</c:v>
                </c:pt>
                <c:pt idx="37">
                  <c:v>0.54309998126033965</c:v>
                </c:pt>
                <c:pt idx="38">
                  <c:v>0.53914640440394868</c:v>
                </c:pt>
                <c:pt idx="39">
                  <c:v>0.53531632472804513</c:v>
                </c:pt>
                <c:pt idx="40">
                  <c:v>0.53194733999163646</c:v>
                </c:pt>
                <c:pt idx="41">
                  <c:v>0.52928786445770148</c:v>
                </c:pt>
                <c:pt idx="42">
                  <c:v>0.52743677484456009</c:v>
                </c:pt>
                <c:pt idx="43">
                  <c:v>0.5262749236319515</c:v>
                </c:pt>
                <c:pt idx="44">
                  <c:v>0.52537826580064539</c:v>
                </c:pt>
                <c:pt idx="45">
                  <c:v>0.5238763358888896</c:v>
                </c:pt>
                <c:pt idx="46">
                  <c:v>0.52011603179016741</c:v>
                </c:pt>
                <c:pt idx="47">
                  <c:v>0.51041354990089216</c:v>
                </c:pt>
                <c:pt idx="48">
                  <c:v>0.48021226873320744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2-427B-9EB8-58D90273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99-441F-A42F-1C897AB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A-4BDA-9E1C-7A688A80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'88'!$Q$42:$Q$91</c:f>
              <c:numCache>
                <c:formatCode>General</c:formatCode>
                <c:ptCount val="50"/>
                <c:pt idx="0">
                  <c:v>5.1002025040010102</c:v>
                </c:pt>
                <c:pt idx="1">
                  <c:v>5.2217447559511303</c:v>
                </c:pt>
                <c:pt idx="2">
                  <c:v>5.2344896190442203</c:v>
                </c:pt>
                <c:pt idx="3">
                  <c:v>5.2060401735915898</c:v>
                </c:pt>
                <c:pt idx="4">
                  <c:v>5.1755654251585197</c:v>
                </c:pt>
                <c:pt idx="5">
                  <c:v>5.1622301255401402</c:v>
                </c:pt>
                <c:pt idx="6">
                  <c:v>5.1718354577082897</c:v>
                </c:pt>
                <c:pt idx="7">
                  <c:v>5.2019343149261097</c:v>
                </c:pt>
                <c:pt idx="8">
                  <c:v>5.2456603500221402</c:v>
                </c:pt>
                <c:pt idx="9">
                  <c:v>5.2944865161162902</c:v>
                </c:pt>
                <c:pt idx="10">
                  <c:v>5.3401064648939798</c:v>
                </c:pt>
                <c:pt idx="11">
                  <c:v>5.3756109128337997</c:v>
                </c:pt>
                <c:pt idx="12">
                  <c:v>5.3961109296072802</c:v>
                </c:pt>
                <c:pt idx="13">
                  <c:v>5.3989410461870797</c:v>
                </c:pt>
                <c:pt idx="14">
                  <c:v>5.3835571230219799</c:v>
                </c:pt>
                <c:pt idx="15">
                  <c:v>5.35122706096376</c:v>
                </c:pt>
                <c:pt idx="16">
                  <c:v>5.3045966794619597</c:v>
                </c:pt>
                <c:pt idx="17">
                  <c:v>5.24719842787791</c:v>
                </c:pt>
                <c:pt idx="18">
                  <c:v>5.1829570366098299</c:v>
                </c:pt>
                <c:pt idx="19">
                  <c:v>5.11573375506359</c:v>
                </c:pt>
                <c:pt idx="20">
                  <c:v>5.0489394633557296</c:v>
                </c:pt>
                <c:pt idx="21">
                  <c:v>4.9852366839828601</c:v>
                </c:pt>
                <c:pt idx="22">
                  <c:v>4.9263413585571003</c:v>
                </c:pt>
                <c:pt idx="23">
                  <c:v>4.8729271930612796</c:v>
                </c:pt>
                <c:pt idx="24">
                  <c:v>4.8246284129481101</c:v>
                </c:pt>
                <c:pt idx="25">
                  <c:v>4.7801309067822304</c:v>
                </c:pt>
                <c:pt idx="26">
                  <c:v>4.7373369739883797</c:v>
                </c:pt>
                <c:pt idx="27">
                  <c:v>4.69358522866015</c:v>
                </c:pt>
                <c:pt idx="28">
                  <c:v>4.64590464726402</c:v>
                </c:pt>
                <c:pt idx="29">
                  <c:v>4.5912802834594402</c:v>
                </c:pt>
                <c:pt idx="30">
                  <c:v>4.5269078081503897</c:v>
                </c:pt>
                <c:pt idx="31">
                  <c:v>4.4504147672810301</c:v>
                </c:pt>
                <c:pt idx="32">
                  <c:v>4.36002828380047</c:v>
                </c:pt>
                <c:pt idx="33">
                  <c:v>4.2546718635980199</c:v>
                </c:pt>
                <c:pt idx="34">
                  <c:v>4.1339779981722096</c:v>
                </c:pt>
                <c:pt idx="35">
                  <c:v>3.9982083891418898</c:v>
                </c:pt>
                <c:pt idx="36">
                  <c:v>3.8480798517093699</c:v>
                </c:pt>
                <c:pt idx="37">
                  <c:v>3.6845012855263799</c:v>
                </c:pt>
                <c:pt idx="38">
                  <c:v>3.5082355324297998</c:v>
                </c:pt>
                <c:pt idx="39">
                  <c:v>3.3195094708614699</c:v>
                </c:pt>
                <c:pt idx="40">
                  <c:v>3.1176063267452001</c:v>
                </c:pt>
                <c:pt idx="41">
                  <c:v>2.90048591015363</c:v>
                </c:pt>
                <c:pt idx="42">
                  <c:v>2.66449131580839</c:v>
                </c:pt>
                <c:pt idx="43">
                  <c:v>2.4042145541566202</c:v>
                </c:pt>
                <c:pt idx="44">
                  <c:v>2.1126086075264499</c:v>
                </c:pt>
                <c:pt idx="45">
                  <c:v>1.7814495334787299</c:v>
                </c:pt>
                <c:pt idx="46">
                  <c:v>1.4022694642840099</c:v>
                </c:pt>
                <c:pt idx="47">
                  <c:v>0.967899678082631</c:v>
                </c:pt>
                <c:pt idx="48">
                  <c:v>0.47478234313985002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46-4CF9-B75A-FE077747070C}"/>
            </c:ext>
          </c:extLst>
        </c:ser>
        <c:ser>
          <c:idx val="1"/>
          <c:order val="1"/>
          <c:tx>
            <c:strRef>
              <c:f>'88'!$T$41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'88'!$T$42:$T$91</c:f>
              <c:numCache>
                <c:formatCode>0.00</c:formatCode>
                <c:ptCount val="50"/>
                <c:pt idx="0">
                  <c:v>5.1002025040010102</c:v>
                </c:pt>
                <c:pt idx="1">
                  <c:v>5.2217447559511374</c:v>
                </c:pt>
                <c:pt idx="2">
                  <c:v>5.2344896190442238</c:v>
                </c:pt>
                <c:pt idx="3">
                  <c:v>5.206040173591596</c:v>
                </c:pt>
                <c:pt idx="4">
                  <c:v>5.1755654251585286</c:v>
                </c:pt>
                <c:pt idx="5">
                  <c:v>5.1622301255401437</c:v>
                </c:pt>
                <c:pt idx="6">
                  <c:v>5.1718354577083003</c:v>
                </c:pt>
                <c:pt idx="7">
                  <c:v>5.2019343149261177</c:v>
                </c:pt>
                <c:pt idx="8">
                  <c:v>5.2456603500221402</c:v>
                </c:pt>
                <c:pt idx="9">
                  <c:v>5.2944865161162911</c:v>
                </c:pt>
                <c:pt idx="10">
                  <c:v>5.340106464893986</c:v>
                </c:pt>
                <c:pt idx="11">
                  <c:v>5.3756109128338014</c:v>
                </c:pt>
                <c:pt idx="12">
                  <c:v>5.3961109296072785</c:v>
                </c:pt>
                <c:pt idx="13">
                  <c:v>5.3989410461870886</c:v>
                </c:pt>
                <c:pt idx="14">
                  <c:v>5.3835571230219905</c:v>
                </c:pt>
                <c:pt idx="15">
                  <c:v>5.3512270609637786</c:v>
                </c:pt>
                <c:pt idx="16">
                  <c:v>5.3045966794619455</c:v>
                </c:pt>
                <c:pt idx="17">
                  <c:v>5.2471984278779509</c:v>
                </c:pt>
                <c:pt idx="18">
                  <c:v>5.1829570366098299</c:v>
                </c:pt>
                <c:pt idx="19">
                  <c:v>5.1157337550637196</c:v>
                </c:pt>
                <c:pt idx="20">
                  <c:v>5.0489394633557385</c:v>
                </c:pt>
                <c:pt idx="21">
                  <c:v>4.9852366839829747</c:v>
                </c:pt>
                <c:pt idx="22">
                  <c:v>4.9263413585573117</c:v>
                </c:pt>
                <c:pt idx="23">
                  <c:v>4.8729271930612752</c:v>
                </c:pt>
                <c:pt idx="24">
                  <c:v>4.8246284129481776</c:v>
                </c:pt>
                <c:pt idx="25">
                  <c:v>4.7801309067825564</c:v>
                </c:pt>
                <c:pt idx="26">
                  <c:v>4.7373369739884694</c:v>
                </c:pt>
                <c:pt idx="27">
                  <c:v>4.6935852286605098</c:v>
                </c:pt>
                <c:pt idx="28">
                  <c:v>4.6459046472642527</c:v>
                </c:pt>
                <c:pt idx="29">
                  <c:v>4.5912802834599589</c:v>
                </c:pt>
                <c:pt idx="30">
                  <c:v>4.5269078081505327</c:v>
                </c:pt>
                <c:pt idx="31">
                  <c:v>4.4504147672808188</c:v>
                </c:pt>
                <c:pt idx="32">
                  <c:v>4.3600282838006308</c:v>
                </c:pt>
                <c:pt idx="33">
                  <c:v>4.2546718635995262</c:v>
                </c:pt>
                <c:pt idx="34">
                  <c:v>4.1339779981745437</c:v>
                </c:pt>
                <c:pt idx="35">
                  <c:v>3.9982083891437128</c:v>
                </c:pt>
                <c:pt idx="36">
                  <c:v>3.8480798517101107</c:v>
                </c:pt>
                <c:pt idx="37">
                  <c:v>3.6845012855287678</c:v>
                </c:pt>
                <c:pt idx="38">
                  <c:v>3.5082355324351511</c:v>
                </c:pt>
                <c:pt idx="39">
                  <c:v>3.3195094708613624</c:v>
                </c:pt>
                <c:pt idx="40">
                  <c:v>3.117606326746909</c:v>
                </c:pt>
                <c:pt idx="41">
                  <c:v>2.9004859101551119</c:v>
                </c:pt>
                <c:pt idx="42">
                  <c:v>2.6644913158140753</c:v>
                </c:pt>
                <c:pt idx="43">
                  <c:v>2.4042145541607169</c:v>
                </c:pt>
                <c:pt idx="44">
                  <c:v>2.1126086075341846</c:v>
                </c:pt>
                <c:pt idx="45">
                  <c:v>1.7814495334814637</c:v>
                </c:pt>
                <c:pt idx="46">
                  <c:v>1.4022694642858369</c:v>
                </c:pt>
                <c:pt idx="47">
                  <c:v>0.9678996780912712</c:v>
                </c:pt>
                <c:pt idx="48">
                  <c:v>0.4747823431453071</c:v>
                </c:pt>
                <c:pt idx="49">
                  <c:v>-7.3769937885117542E-2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46-4CF9-B75A-FE077747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'88'!$S$42:$S$91</c:f>
              <c:numCache>
                <c:formatCode>General</c:formatCode>
                <c:ptCount val="50"/>
                <c:pt idx="0">
                  <c:v>0.35414945809999998</c:v>
                </c:pt>
                <c:pt idx="1">
                  <c:v>0.35324616385177737</c:v>
                </c:pt>
                <c:pt idx="2">
                  <c:v>0.35733886458748892</c:v>
                </c:pt>
                <c:pt idx="3">
                  <c:v>0.36512180985330739</c:v>
                </c:pt>
                <c:pt idx="4">
                  <c:v>0.37549004584941714</c:v>
                </c:pt>
                <c:pt idx="5">
                  <c:v>0.38752107941774216</c:v>
                </c:pt>
                <c:pt idx="6">
                  <c:v>0.40045730792371276</c:v>
                </c:pt>
                <c:pt idx="7">
                  <c:v>0.41368921503206935</c:v>
                </c:pt>
                <c:pt idx="8">
                  <c:v>0.42673933237670059</c:v>
                </c:pt>
                <c:pt idx="9">
                  <c:v>0.43924696712452466</c:v>
                </c:pt>
                <c:pt idx="10">
                  <c:v>0.45095369543340241</c:v>
                </c:pt>
                <c:pt idx="11">
                  <c:v>0.4616896218040889</c:v>
                </c:pt>
                <c:pt idx="12">
                  <c:v>0.47136040432622645</c:v>
                </c:pt>
                <c:pt idx="13">
                  <c:v>0.47993504581836671</c:v>
                </c:pt>
                <c:pt idx="14">
                  <c:v>0.48743445086204001</c:v>
                </c:pt>
                <c:pt idx="15">
                  <c:v>0.49392074872985287</c:v>
                </c:pt>
                <c:pt idx="16">
                  <c:v>0.49948738220762884</c:v>
                </c:pt>
                <c:pt idx="17">
                  <c:v>0.5042499623105845</c:v>
                </c:pt>
                <c:pt idx="18">
                  <c:v>0.50833788889354103</c:v>
                </c:pt>
                <c:pt idx="19">
                  <c:v>0.51188673715517763</c:v>
                </c:pt>
                <c:pt idx="20">
                  <c:v>0.51503141003631647</c:v>
                </c:pt>
                <c:pt idx="21">
                  <c:v>0.51790005651224924</c:v>
                </c:pt>
                <c:pt idx="22">
                  <c:v>0.52060875577909982</c:v>
                </c:pt>
                <c:pt idx="23">
                  <c:v>0.52325696733422389</c:v>
                </c:pt>
                <c:pt idx="24">
                  <c:v>0.5259237469506457</c:v>
                </c:pt>
                <c:pt idx="25">
                  <c:v>0.52866472854552982</c:v>
                </c:pt>
                <c:pt idx="26">
                  <c:v>0.53150987194269639</c:v>
                </c:pt>
                <c:pt idx="27">
                  <c:v>0.53446197652916838</c:v>
                </c:pt>
                <c:pt idx="28">
                  <c:v>0.53749596080575968</c:v>
                </c:pt>
                <c:pt idx="29">
                  <c:v>0.54055890783169247</c:v>
                </c:pt>
                <c:pt idx="30">
                  <c:v>0.54357087656326519</c:v>
                </c:pt>
                <c:pt idx="31">
                  <c:v>0.54642647908654296</c:v>
                </c:pt>
                <c:pt idx="32">
                  <c:v>0.54899722374409887</c:v>
                </c:pt>
                <c:pt idx="33">
                  <c:v>0.55113462415578629</c:v>
                </c:pt>
                <c:pt idx="34">
                  <c:v>0.55267407413353931</c:v>
                </c:pt>
                <c:pt idx="35">
                  <c:v>0.5534394884902345</c:v>
                </c:pt>
                <c:pt idx="36">
                  <c:v>0.55324870974256146</c:v>
                </c:pt>
                <c:pt idx="37">
                  <c:v>0.55191968070795383</c:v>
                </c:pt>
                <c:pt idx="38">
                  <c:v>0.54927738299554452</c:v>
                </c:pt>
                <c:pt idx="39">
                  <c:v>0.54516154139115636</c:v>
                </c:pt>
                <c:pt idx="40">
                  <c:v>0.53943509413634094</c:v>
                </c:pt>
                <c:pt idx="41">
                  <c:v>0.53199342910145608</c:v>
                </c:pt>
                <c:pt idx="42">
                  <c:v>0.52277438585276192</c:v>
                </c:pt>
                <c:pt idx="43">
                  <c:v>0.51176902361356591</c:v>
                </c:pt>
                <c:pt idx="44">
                  <c:v>0.49903315511941582</c:v>
                </c:pt>
                <c:pt idx="45">
                  <c:v>0.484699646367304</c:v>
                </c:pt>
                <c:pt idx="46">
                  <c:v>0.46899148225896531</c:v>
                </c:pt>
                <c:pt idx="47">
                  <c:v>0.45223559813808423</c:v>
                </c:pt>
                <c:pt idx="48">
                  <c:v>0.43487747722172027</c:v>
                </c:pt>
                <c:pt idx="49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'88'!$U$42:$U$91</c:f>
              <c:numCache>
                <c:formatCode>0.00</c:formatCode>
                <c:ptCount val="50"/>
                <c:pt idx="0">
                  <c:v>354.1494581</c:v>
                </c:pt>
                <c:pt idx="1">
                  <c:v>353.2461638517774</c:v>
                </c:pt>
                <c:pt idx="2">
                  <c:v>357.3388645874889</c:v>
                </c:pt>
                <c:pt idx="3">
                  <c:v>365.12180985330741</c:v>
                </c:pt>
                <c:pt idx="4">
                  <c:v>375.49004584941713</c:v>
                </c:pt>
                <c:pt idx="5">
                  <c:v>387.52107941774216</c:v>
                </c:pt>
                <c:pt idx="6">
                  <c:v>400.45730792371273</c:v>
                </c:pt>
                <c:pt idx="7">
                  <c:v>413.68921503206934</c:v>
                </c:pt>
                <c:pt idx="8">
                  <c:v>426.73933237670059</c:v>
                </c:pt>
                <c:pt idx="9">
                  <c:v>439.24696712452459</c:v>
                </c:pt>
                <c:pt idx="10">
                  <c:v>450.9536954334024</c:v>
                </c:pt>
                <c:pt idx="11">
                  <c:v>461.68962180408892</c:v>
                </c:pt>
                <c:pt idx="12">
                  <c:v>471.36040432622644</c:v>
                </c:pt>
                <c:pt idx="13">
                  <c:v>479.93504581836669</c:v>
                </c:pt>
                <c:pt idx="14">
                  <c:v>487.43445086204002</c:v>
                </c:pt>
                <c:pt idx="15">
                  <c:v>493.92074872985285</c:v>
                </c:pt>
                <c:pt idx="16">
                  <c:v>499.48738220762885</c:v>
                </c:pt>
                <c:pt idx="17">
                  <c:v>504.24996231058446</c:v>
                </c:pt>
                <c:pt idx="18">
                  <c:v>508.33788889354105</c:v>
                </c:pt>
                <c:pt idx="19">
                  <c:v>511.8867371551778</c:v>
                </c:pt>
                <c:pt idx="20">
                  <c:v>515.03141003631652</c:v>
                </c:pt>
                <c:pt idx="21">
                  <c:v>517.90005651224919</c:v>
                </c:pt>
                <c:pt idx="22">
                  <c:v>520.60875577909985</c:v>
                </c:pt>
                <c:pt idx="23">
                  <c:v>523.25696733422387</c:v>
                </c:pt>
                <c:pt idx="24">
                  <c:v>525.92374695064575</c:v>
                </c:pt>
                <c:pt idx="25">
                  <c:v>528.66472854552978</c:v>
                </c:pt>
                <c:pt idx="26">
                  <c:v>531.50987194269635</c:v>
                </c:pt>
                <c:pt idx="27">
                  <c:v>534.4619765291684</c:v>
                </c:pt>
                <c:pt idx="28">
                  <c:v>537.49596080575964</c:v>
                </c:pt>
                <c:pt idx="29">
                  <c:v>540.55890783169252</c:v>
                </c:pt>
                <c:pt idx="30">
                  <c:v>543.57087656326519</c:v>
                </c:pt>
                <c:pt idx="31">
                  <c:v>546.42647908654305</c:v>
                </c:pt>
                <c:pt idx="32">
                  <c:v>548.99722374409862</c:v>
                </c:pt>
                <c:pt idx="33">
                  <c:v>551.13462415578624</c:v>
                </c:pt>
                <c:pt idx="34">
                  <c:v>552.67407413353931</c:v>
                </c:pt>
                <c:pt idx="35">
                  <c:v>553.43948849023445</c:v>
                </c:pt>
                <c:pt idx="36">
                  <c:v>553.24870974256146</c:v>
                </c:pt>
                <c:pt idx="37">
                  <c:v>551.91968070795383</c:v>
                </c:pt>
                <c:pt idx="38">
                  <c:v>549.27738299554449</c:v>
                </c:pt>
                <c:pt idx="39">
                  <c:v>545.16154139115679</c:v>
                </c:pt>
                <c:pt idx="40">
                  <c:v>539.43509413634092</c:v>
                </c:pt>
                <c:pt idx="41">
                  <c:v>531.99342910145606</c:v>
                </c:pt>
                <c:pt idx="42">
                  <c:v>522.77438585276195</c:v>
                </c:pt>
                <c:pt idx="43">
                  <c:v>511.76902361356588</c:v>
                </c:pt>
                <c:pt idx="44">
                  <c:v>499.03315511941582</c:v>
                </c:pt>
                <c:pt idx="45">
                  <c:v>484.69964636730765</c:v>
                </c:pt>
                <c:pt idx="46">
                  <c:v>468.99148225896352</c:v>
                </c:pt>
                <c:pt idx="47">
                  <c:v>452.23559813808424</c:v>
                </c:pt>
                <c:pt idx="48">
                  <c:v>434.87747722172026</c:v>
                </c:pt>
                <c:pt idx="49">
                  <c:v>417.49651392562373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8-4E82-B214-A89F3931A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3.73727387402902E-2</c:v>
                </c:pt>
                <c:pt idx="2">
                  <c:v>7.3118237799242897E-2</c:v>
                </c:pt>
                <c:pt idx="3">
                  <c:v>0.10587737181976301</c:v>
                </c:pt>
                <c:pt idx="4">
                  <c:v>0.13620749862616199</c:v>
                </c:pt>
                <c:pt idx="5">
                  <c:v>0.164568595261981</c:v>
                </c:pt>
                <c:pt idx="6">
                  <c:v>0.19133458331008901</c:v>
                </c:pt>
                <c:pt idx="7">
                  <c:v>0.21680396371504701</c:v>
                </c:pt>
                <c:pt idx="8">
                  <c:v>0.24120976110775699</c:v>
                </c:pt>
                <c:pt idx="9">
                  <c:v>0.26472877763237201</c:v>
                </c:pt>
                <c:pt idx="10">
                  <c:v>0.28749015627548402</c:v>
                </c:pt>
                <c:pt idx="11">
                  <c:v>0.30958325369758499</c:v>
                </c:pt>
                <c:pt idx="12">
                  <c:v>0.33106482256680098</c:v>
                </c:pt>
                <c:pt idx="13">
                  <c:v>0.35196550339489702</c:v>
                </c:pt>
                <c:pt idx="14">
                  <c:v>0.37229562587555398</c:v>
                </c:pt>
                <c:pt idx="15">
                  <c:v>0.39205031972492099</c:v>
                </c:pt>
                <c:pt idx="16">
                  <c:v>0.41121393502444198</c:v>
                </c:pt>
                <c:pt idx="17">
                  <c:v>0.42976377206594901</c:v>
                </c:pt>
                <c:pt idx="18">
                  <c:v>0.44767312069903298</c:v>
                </c:pt>
                <c:pt idx="19">
                  <c:v>0.46491360918068603</c:v>
                </c:pt>
                <c:pt idx="20">
                  <c:v>0.48145686252721798</c:v>
                </c:pt>
                <c:pt idx="21">
                  <c:v>0.497275470368443</c:v>
                </c:pt>
                <c:pt idx="22">
                  <c:v>0.51234326430413701</c:v>
                </c:pt>
                <c:pt idx="23">
                  <c:v>0.52663490476277997</c:v>
                </c:pt>
                <c:pt idx="24">
                  <c:v>0.54012477736254905</c:v>
                </c:pt>
                <c:pt idx="25">
                  <c:v>0.55278519877461296</c:v>
                </c:pt>
                <c:pt idx="26">
                  <c:v>0.56458393208866997</c:v>
                </c:pt>
                <c:pt idx="27">
                  <c:v>0.57548101168077803</c:v>
                </c:pt>
                <c:pt idx="28">
                  <c:v>0.58542487758345496</c:v>
                </c:pt>
                <c:pt idx="29">
                  <c:v>0.59434781935804304</c:v>
                </c:pt>
                <c:pt idx="30">
                  <c:v>0.60216072946935395</c:v>
                </c:pt>
                <c:pt idx="31">
                  <c:v>0.60874716616258495</c:v>
                </c:pt>
                <c:pt idx="32">
                  <c:v>0.61395672584250505</c:v>
                </c:pt>
                <c:pt idx="33">
                  <c:v>0.61759772495491905</c:v>
                </c:pt>
                <c:pt idx="34">
                  <c:v>0.61942919137039898</c:v>
                </c:pt>
                <c:pt idx="35">
                  <c:v>0.61915216527029004</c:v>
                </c:pt>
                <c:pt idx="36">
                  <c:v>0.61640030953499803</c:v>
                </c:pt>
                <c:pt idx="37">
                  <c:v>0.61072982963452305</c:v>
                </c:pt>
                <c:pt idx="38">
                  <c:v>0.60160870302130198</c:v>
                </c:pt>
                <c:pt idx="39">
                  <c:v>0.58840521802530099</c:v>
                </c:pt>
                <c:pt idx="40">
                  <c:v>0.57037582225137995</c:v>
                </c:pt>
                <c:pt idx="41">
                  <c:v>0.54665228047894898</c:v>
                </c:pt>
                <c:pt idx="42">
                  <c:v>0.51622814206386602</c:v>
                </c:pt>
                <c:pt idx="43">
                  <c:v>0.47794451784263697</c:v>
                </c:pt>
                <c:pt idx="44">
                  <c:v>0.43047516653888301</c:v>
                </c:pt>
                <c:pt idx="45">
                  <c:v>0.37231089067205902</c:v>
                </c:pt>
                <c:pt idx="46">
                  <c:v>0.30174324196846602</c:v>
                </c:pt>
                <c:pt idx="47">
                  <c:v>0.21684753627454001</c:v>
                </c:pt>
                <c:pt idx="48">
                  <c:v>0.115465177972394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'88'!$V$41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'88'!$P$42:$P$91</c:f>
              <c:numCache>
                <c:formatCode>0</c:formatCode>
                <c:ptCount val="50"/>
                <c:pt idx="0">
                  <c:v>0</c:v>
                </c:pt>
                <c:pt idx="1">
                  <c:v>21.428571428571399</c:v>
                </c:pt>
                <c:pt idx="2">
                  <c:v>42.857142857142797</c:v>
                </c:pt>
                <c:pt idx="3">
                  <c:v>64.285714285714207</c:v>
                </c:pt>
                <c:pt idx="4">
                  <c:v>85.714285714285694</c:v>
                </c:pt>
                <c:pt idx="5">
                  <c:v>107.142857142857</c:v>
                </c:pt>
                <c:pt idx="6">
                  <c:v>128.57142857142799</c:v>
                </c:pt>
                <c:pt idx="7">
                  <c:v>150</c:v>
                </c:pt>
                <c:pt idx="8">
                  <c:v>171.42857142857099</c:v>
                </c:pt>
                <c:pt idx="9">
                  <c:v>192.85714285714204</c:v>
                </c:pt>
                <c:pt idx="10">
                  <c:v>214.28571428571399</c:v>
                </c:pt>
                <c:pt idx="11">
                  <c:v>235.71428571428498</c:v>
                </c:pt>
                <c:pt idx="12">
                  <c:v>257.142857142857</c:v>
                </c:pt>
                <c:pt idx="13">
                  <c:v>278.57142857142799</c:v>
                </c:pt>
                <c:pt idx="14">
                  <c:v>300</c:v>
                </c:pt>
                <c:pt idx="15">
                  <c:v>321.42857142857099</c:v>
                </c:pt>
                <c:pt idx="16">
                  <c:v>342.85714285714198</c:v>
                </c:pt>
                <c:pt idx="17">
                  <c:v>364.28571428571399</c:v>
                </c:pt>
                <c:pt idx="18">
                  <c:v>385.71428571428498</c:v>
                </c:pt>
                <c:pt idx="19">
                  <c:v>407.14285714285705</c:v>
                </c:pt>
                <c:pt idx="20">
                  <c:v>428.57142857142799</c:v>
                </c:pt>
                <c:pt idx="21">
                  <c:v>449.99999999999898</c:v>
                </c:pt>
                <c:pt idx="22">
                  <c:v>471.42857142857099</c:v>
                </c:pt>
                <c:pt idx="23">
                  <c:v>492.85714285714198</c:v>
                </c:pt>
                <c:pt idx="24">
                  <c:v>514.28571428571399</c:v>
                </c:pt>
                <c:pt idx="25">
                  <c:v>535.71428571428498</c:v>
                </c:pt>
                <c:pt idx="26">
                  <c:v>557.142857142857</c:v>
                </c:pt>
                <c:pt idx="27">
                  <c:v>578.57142857142799</c:v>
                </c:pt>
                <c:pt idx="28">
                  <c:v>600</c:v>
                </c:pt>
                <c:pt idx="29">
                  <c:v>621.42857142857099</c:v>
                </c:pt>
                <c:pt idx="30">
                  <c:v>642.85714285714198</c:v>
                </c:pt>
                <c:pt idx="31">
                  <c:v>664.28571428571411</c:v>
                </c:pt>
                <c:pt idx="32">
                  <c:v>685.71428571428487</c:v>
                </c:pt>
                <c:pt idx="33">
                  <c:v>707.142857142857</c:v>
                </c:pt>
                <c:pt idx="34">
                  <c:v>728.57142857142799</c:v>
                </c:pt>
                <c:pt idx="35">
                  <c:v>750</c:v>
                </c:pt>
                <c:pt idx="36">
                  <c:v>771.42857142857099</c:v>
                </c:pt>
                <c:pt idx="37">
                  <c:v>792.85714285714198</c:v>
                </c:pt>
                <c:pt idx="38">
                  <c:v>814.28571428571411</c:v>
                </c:pt>
                <c:pt idx="39">
                  <c:v>835.71428571428487</c:v>
                </c:pt>
                <c:pt idx="40">
                  <c:v>857.142857142857</c:v>
                </c:pt>
                <c:pt idx="41">
                  <c:v>878.57142857142799</c:v>
                </c:pt>
                <c:pt idx="42">
                  <c:v>899.99999999999898</c:v>
                </c:pt>
                <c:pt idx="43">
                  <c:v>921.42857142857099</c:v>
                </c:pt>
                <c:pt idx="44">
                  <c:v>942.85714285714198</c:v>
                </c:pt>
                <c:pt idx="45">
                  <c:v>964.28571428571411</c:v>
                </c:pt>
                <c:pt idx="46">
                  <c:v>985.71428571428487</c:v>
                </c:pt>
                <c:pt idx="47">
                  <c:v>1007.1428571428499</c:v>
                </c:pt>
                <c:pt idx="48">
                  <c:v>1028.57142857142</c:v>
                </c:pt>
                <c:pt idx="49">
                  <c:v>1050</c:v>
                </c:pt>
              </c:numCache>
            </c:numRef>
          </c:xVal>
          <c:yVal>
            <c:numRef>
              <c:f>'88'!$V$42:$V$91</c:f>
              <c:numCache>
                <c:formatCode>0.00</c:formatCode>
                <c:ptCount val="50"/>
                <c:pt idx="0">
                  <c:v>-0.202587978</c:v>
                </c:pt>
                <c:pt idx="1">
                  <c:v>3.737273874029023</c:v>
                </c:pt>
                <c:pt idx="2">
                  <c:v>7.3118237799242829</c:v>
                </c:pt>
                <c:pt idx="3">
                  <c:v>10.587737181976303</c:v>
                </c:pt>
                <c:pt idx="4">
                  <c:v>13.620749862616233</c:v>
                </c:pt>
                <c:pt idx="5">
                  <c:v>16.456859526198169</c:v>
                </c:pt>
                <c:pt idx="6">
                  <c:v>19.133458331008857</c:v>
                </c:pt>
                <c:pt idx="7">
                  <c:v>21.680396371504777</c:v>
                </c:pt>
                <c:pt idx="8">
                  <c:v>24.120976110775743</c:v>
                </c:pt>
                <c:pt idx="9">
                  <c:v>26.472877763237165</c:v>
                </c:pt>
                <c:pt idx="10">
                  <c:v>28.749015627548392</c:v>
                </c:pt>
                <c:pt idx="11">
                  <c:v>30.958325369758473</c:v>
                </c:pt>
                <c:pt idx="12">
                  <c:v>33.106482256680167</c:v>
                </c:pt>
                <c:pt idx="13">
                  <c:v>35.196550339489697</c:v>
                </c:pt>
                <c:pt idx="14">
                  <c:v>37.229562587555407</c:v>
                </c:pt>
                <c:pt idx="15">
                  <c:v>39.205031972492115</c:v>
                </c:pt>
                <c:pt idx="16">
                  <c:v>41.121393502444178</c:v>
                </c:pt>
                <c:pt idx="17">
                  <c:v>42.976377206594904</c:v>
                </c:pt>
                <c:pt idx="18">
                  <c:v>44.767312069903269</c:v>
                </c:pt>
                <c:pt idx="19">
                  <c:v>46.491360918068672</c:v>
                </c:pt>
                <c:pt idx="20">
                  <c:v>48.145686252721859</c:v>
                </c:pt>
                <c:pt idx="21">
                  <c:v>49.727547036844264</c:v>
                </c:pt>
                <c:pt idx="22">
                  <c:v>51.234326430413773</c:v>
                </c:pt>
                <c:pt idx="23">
                  <c:v>52.663490476277971</c:v>
                </c:pt>
                <c:pt idx="24">
                  <c:v>54.012477736255008</c:v>
                </c:pt>
                <c:pt idx="25">
                  <c:v>55.278519877461314</c:v>
                </c:pt>
                <c:pt idx="26">
                  <c:v>56.458393208867037</c:v>
                </c:pt>
                <c:pt idx="27">
                  <c:v>57.548101168077928</c:v>
                </c:pt>
                <c:pt idx="28">
                  <c:v>58.542487758345622</c:v>
                </c:pt>
                <c:pt idx="29">
                  <c:v>59.434781935804459</c:v>
                </c:pt>
                <c:pt idx="30">
                  <c:v>60.216072946935441</c:v>
                </c:pt>
                <c:pt idx="31">
                  <c:v>60.874716616258524</c:v>
                </c:pt>
                <c:pt idx="32">
                  <c:v>61.395672584250534</c:v>
                </c:pt>
                <c:pt idx="33">
                  <c:v>61.759772495491916</c:v>
                </c:pt>
                <c:pt idx="34">
                  <c:v>61.942919137040008</c:v>
                </c:pt>
                <c:pt idx="35">
                  <c:v>61.91521652702923</c:v>
                </c:pt>
                <c:pt idx="36">
                  <c:v>61.64003095350003</c:v>
                </c:pt>
                <c:pt idx="37">
                  <c:v>61.072982963452347</c:v>
                </c:pt>
                <c:pt idx="38">
                  <c:v>60.160870302130434</c:v>
                </c:pt>
                <c:pt idx="39">
                  <c:v>58.840521802530191</c:v>
                </c:pt>
                <c:pt idx="40">
                  <c:v>57.037582225138522</c:v>
                </c:pt>
                <c:pt idx="41">
                  <c:v>54.665228047895312</c:v>
                </c:pt>
                <c:pt idx="42">
                  <c:v>51.622814206387488</c:v>
                </c:pt>
                <c:pt idx="43">
                  <c:v>47.794451784264538</c:v>
                </c:pt>
                <c:pt idx="44">
                  <c:v>43.047516653889261</c:v>
                </c:pt>
                <c:pt idx="45">
                  <c:v>37.231089067206312</c:v>
                </c:pt>
                <c:pt idx="46">
                  <c:v>30.174324196847124</c:v>
                </c:pt>
                <c:pt idx="47">
                  <c:v>21.684753627458122</c:v>
                </c:pt>
                <c:pt idx="48">
                  <c:v>11.546517797244633</c:v>
                </c:pt>
                <c:pt idx="49">
                  <c:v>-0.48147061023337301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D-4E33-A14F-0043C61CE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'88'!$AS$5:$AS$15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3.2802563783152499</c:v>
                </c:pt>
                <c:pt idx="9">
                  <c:v>2.0816120016054072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0F-417A-B1D3-AE262A106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'88'!$AS$16:$AS$26</c:f>
              <c:numCache>
                <c:formatCode>0.000</c:formatCode>
                <c:ptCount val="11"/>
                <c:pt idx="0">
                  <c:v>5.1002025040010102</c:v>
                </c:pt>
                <c:pt idx="1">
                  <c:v>5.1625756250225843</c:v>
                </c:pt>
                <c:pt idx="2">
                  <c:v>5.3312786472101203</c:v>
                </c:pt>
                <c:pt idx="3">
                  <c:v>5.3626810183006945</c:v>
                </c:pt>
                <c:pt idx="4">
                  <c:v>5.0755997461648965</c:v>
                </c:pt>
                <c:pt idx="5">
                  <c:v>4.8020908622471081</c:v>
                </c:pt>
                <c:pt idx="6">
                  <c:v>4.5669035194385881</c:v>
                </c:pt>
                <c:pt idx="7">
                  <c:v>4.0947967546806137</c:v>
                </c:pt>
                <c:pt idx="8">
                  <c:v>3.2802563783152485</c:v>
                </c:pt>
                <c:pt idx="9">
                  <c:v>2.0816120016054076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B-45FF-AACD-88605544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'88'!$AT$5:$AT$15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0.51381515836781233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0.54415323555149764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0.58523540526907769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3-4507-A564-DF3B18836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'88'!$AT$16:$AT$26</c:f>
              <c:numCache>
                <c:formatCode>0.000</c:formatCode>
                <c:ptCount val="11"/>
                <c:pt idx="0">
                  <c:v>0.35414945809999998</c:v>
                </c:pt>
                <c:pt idx="1">
                  <c:v>0.38625184383878869</c:v>
                </c:pt>
                <c:pt idx="2">
                  <c:v>0.44868212465798468</c:v>
                </c:pt>
                <c:pt idx="3">
                  <c:v>0.49207965530879827</c:v>
                </c:pt>
                <c:pt idx="4">
                  <c:v>0.51381515836781222</c:v>
                </c:pt>
                <c:pt idx="5">
                  <c:v>0.52728103286478079</c:v>
                </c:pt>
                <c:pt idx="6">
                  <c:v>0.54177216760549785</c:v>
                </c:pt>
                <c:pt idx="7">
                  <c:v>0.55299808743828793</c:v>
                </c:pt>
                <c:pt idx="8">
                  <c:v>0.54415323555149753</c:v>
                </c:pt>
                <c:pt idx="9">
                  <c:v>0.49766456545052029</c:v>
                </c:pt>
                <c:pt idx="10">
                  <c:v>0.41749651392562376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'88'!$AU$4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105</c:v>
                </c:pt>
                <c:pt idx="2">
                  <c:v>210</c:v>
                </c:pt>
                <c:pt idx="3">
                  <c:v>315</c:v>
                </c:pt>
                <c:pt idx="4">
                  <c:v>420</c:v>
                </c:pt>
                <c:pt idx="5">
                  <c:v>525</c:v>
                </c:pt>
                <c:pt idx="6">
                  <c:v>630</c:v>
                </c:pt>
                <c:pt idx="7">
                  <c:v>735</c:v>
                </c:pt>
                <c:pt idx="8">
                  <c:v>840</c:v>
                </c:pt>
                <c:pt idx="9">
                  <c:v>945</c:v>
                </c:pt>
                <c:pt idx="10">
                  <c:v>1050</c:v>
                </c:pt>
              </c:numCache>
            </c:numRef>
          </c:xVal>
          <c:yVal>
            <c:numRef>
              <c:f>'88'!$AU$16:$AU$26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0.16181741406277436</c:v>
                </c:pt>
                <c:pt idx="2">
                  <c:v>0.28299563363727226</c:v>
                </c:pt>
                <c:pt idx="3">
                  <c:v>0.38618440104550478</c:v>
                </c:pt>
                <c:pt idx="4">
                  <c:v>0.47492461223667676</c:v>
                </c:pt>
                <c:pt idx="5">
                  <c:v>0.54656030540000922</c:v>
                </c:pt>
                <c:pt idx="6">
                  <c:v>0.59761276935040808</c:v>
                </c:pt>
                <c:pt idx="7">
                  <c:v>0.61959051705776469</c:v>
                </c:pt>
                <c:pt idx="8">
                  <c:v>0.58523540526907758</c:v>
                </c:pt>
                <c:pt idx="9">
                  <c:v>0.42520415064158962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0-4A9E-B0BD-0B3F6C528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0E-4CB0-9DE9-9E9DA4BA0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CB-4F3A-A9E2-80D8284E3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'158'!$C$42:$C$91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5-4B8D-AD4C-F36CEE357AE0}"/>
            </c:ext>
          </c:extLst>
        </c:ser>
        <c:ser>
          <c:idx val="1"/>
          <c:order val="1"/>
          <c:tx>
            <c:strRef>
              <c:f>'158'!$G$41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'158'!$G$42:$G$91</c:f>
              <c:numCache>
                <c:formatCode>0.000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4.8903062803204067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0.91653537380226235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45-4B8D-AD4C-F36CEE357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B-4D21-AEEF-4ADE7CC1B5FF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'158'!$K$42:$K$91</c:f>
              <c:numCache>
                <c:formatCode>0.000</c:formatCode>
                <c:ptCount val="50"/>
                <c:pt idx="0">
                  <c:v>-5.4820295639999996E-5</c:v>
                </c:pt>
                <c:pt idx="1">
                  <c:v>5.6620510578186387E-2</c:v>
                </c:pt>
                <c:pt idx="2">
                  <c:v>0.10867592371160369</c:v>
                </c:pt>
                <c:pt idx="3">
                  <c:v>0.15634358414630609</c:v>
                </c:pt>
                <c:pt idx="4">
                  <c:v>0.19989636328655891</c:v>
                </c:pt>
                <c:pt idx="5">
                  <c:v>0.23963711901978393</c:v>
                </c:pt>
                <c:pt idx="6">
                  <c:v>0.27588869680597866</c:v>
                </c:pt>
                <c:pt idx="7">
                  <c:v>0.30898465173596823</c:v>
                </c:pt>
                <c:pt idx="8">
                  <c:v>0.3392606915584887</c:v>
                </c:pt>
                <c:pt idx="9">
                  <c:v>0.36704684067610349</c:v>
                </c:pt>
                <c:pt idx="10">
                  <c:v>0.39266032510995152</c:v>
                </c:pt>
                <c:pt idx="11">
                  <c:v>0.41639917843332819</c:v>
                </c:pt>
                <c:pt idx="12">
                  <c:v>0.43853656867410024</c:v>
                </c:pt>
                <c:pt idx="13">
                  <c:v>0.45931584618594745</c:v>
                </c:pt>
                <c:pt idx="14">
                  <c:v>0.47894631248844599</c:v>
                </c:pt>
                <c:pt idx="15">
                  <c:v>0.49759971007597509</c:v>
                </c:pt>
                <c:pt idx="16">
                  <c:v>0.51540743319546134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0.57930164220618441</c:v>
                </c:pt>
                <c:pt idx="21">
                  <c:v>0.59333531454338972</c:v>
                </c:pt>
                <c:pt idx="22">
                  <c:v>0.60639901032408217</c:v>
                </c:pt>
                <c:pt idx="23">
                  <c:v>0.61832414922174628</c:v>
                </c:pt>
                <c:pt idx="24">
                  <c:v>0.62890544376231039</c:v>
                </c:pt>
                <c:pt idx="25">
                  <c:v>0.63790459882140282</c:v>
                </c:pt>
                <c:pt idx="26">
                  <c:v>0.64505473209040221</c:v>
                </c:pt>
                <c:pt idx="27">
                  <c:v>0.65006551551134972</c:v>
                </c:pt>
                <c:pt idx="28">
                  <c:v>0.65262903768067049</c:v>
                </c:pt>
                <c:pt idx="29">
                  <c:v>0.65242638722174406</c:v>
                </c:pt>
                <c:pt idx="30">
                  <c:v>0.64913495712629654</c:v>
                </c:pt>
                <c:pt idx="31">
                  <c:v>0.64243647006463389</c:v>
                </c:pt>
                <c:pt idx="32">
                  <c:v>0.63202572466469276</c:v>
                </c:pt>
                <c:pt idx="33">
                  <c:v>0.61762006275995363</c:v>
                </c:pt>
                <c:pt idx="34">
                  <c:v>0.59896955760614479</c:v>
                </c:pt>
                <c:pt idx="35">
                  <c:v>0.57586792306680645</c:v>
                </c:pt>
                <c:pt idx="36">
                  <c:v>0.5481641437677035</c:v>
                </c:pt>
                <c:pt idx="37">
                  <c:v>0.51577482622000503</c:v>
                </c:pt>
                <c:pt idx="38">
                  <c:v>0.47869727091239328</c:v>
                </c:pt>
                <c:pt idx="39">
                  <c:v>0.43702326537190234</c:v>
                </c:pt>
                <c:pt idx="40">
                  <c:v>0.390953598193654</c:v>
                </c:pt>
                <c:pt idx="41">
                  <c:v>0.34081329403944549</c:v>
                </c:pt>
                <c:pt idx="42">
                  <c:v>0.2870675696050648</c:v>
                </c:pt>
                <c:pt idx="43">
                  <c:v>0.2303385105565951</c:v>
                </c:pt>
                <c:pt idx="44">
                  <c:v>0.17142246943537656</c:v>
                </c:pt>
                <c:pt idx="45">
                  <c:v>0.11130818453193</c:v>
                </c:pt>
                <c:pt idx="46">
                  <c:v>5.1195619728708834E-2</c:v>
                </c:pt>
                <c:pt idx="47">
                  <c:v>-7.4844746884355114E-3</c:v>
                </c:pt>
                <c:pt idx="48">
                  <c:v>-6.3050280249804025E-2</c:v>
                </c:pt>
                <c:pt idx="49">
                  <c:v>-0.11354790755267687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2B-4D21-AEEF-4ADE7CC1B5FF}"/>
            </c:ext>
          </c:extLst>
        </c:ser>
        <c:ser>
          <c:idx val="2"/>
          <c:order val="2"/>
          <c:tx>
            <c:strRef>
              <c:f>'158'!$N$41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'158'!$N$42:$N$91</c:f>
              <c:numCache>
                <c:formatCode>0.000</c:formatCode>
                <c:ptCount val="50"/>
                <c:pt idx="0">
                  <c:v>0</c:v>
                </c:pt>
                <c:pt idx="1">
                  <c:v>5.1512820391769826E-2</c:v>
                </c:pt>
                <c:pt idx="2">
                  <c:v>0.10174430618826995</c:v>
                </c:pt>
                <c:pt idx="3">
                  <c:v>0.14951267555082876</c:v>
                </c:pt>
                <c:pt idx="4">
                  <c:v>0.1940799752344971</c:v>
                </c:pt>
                <c:pt idx="5">
                  <c:v>0.23509003078239987</c:v>
                </c:pt>
                <c:pt idx="6">
                  <c:v>0.27248522832388172</c:v>
                </c:pt>
                <c:pt idx="7">
                  <c:v>0.30642057452713845</c:v>
                </c:pt>
                <c:pt idx="8">
                  <c:v>0.3371866325225481</c:v>
                </c:pt>
                <c:pt idx="9">
                  <c:v>0.36514678375406473</c:v>
                </c:pt>
                <c:pt idx="10">
                  <c:v>0.39068989876697952</c:v>
                </c:pt>
                <c:pt idx="11">
                  <c:v>0.41419697263335697</c:v>
                </c:pt>
                <c:pt idx="12">
                  <c:v>0.43601917364503984</c:v>
                </c:pt>
                <c:pt idx="13">
                  <c:v>0.45646455116672791</c:v>
                </c:pt>
                <c:pt idx="14">
                  <c:v>0.47579092305743775</c:v>
                </c:pt>
                <c:pt idx="15">
                  <c:v>0.49420292654945291</c:v>
                </c:pt>
                <c:pt idx="16">
                  <c:v>0.5118517032583193</c:v>
                </c:pt>
                <c:pt idx="17">
                  <c:v>0.52883611978544043</c:v>
                </c:pt>
                <c:pt idx="18">
                  <c:v>0.54520477311929427</c:v>
                </c:pt>
                <c:pt idx="19">
                  <c:v>0.56095829515023921</c:v>
                </c:pt>
                <c:pt idx="20">
                  <c:v>0.57605166545505371</c:v>
                </c:pt>
                <c:pt idx="21">
                  <c:v>0.59039638185253884</c:v>
                </c:pt>
                <c:pt idx="22">
                  <c:v>0.60386243913577997</c:v>
                </c:pt>
                <c:pt idx="23">
                  <c:v>0.61628014059575742</c:v>
                </c:pt>
                <c:pt idx="24">
                  <c:v>0.62744182459185915</c:v>
                </c:pt>
                <c:pt idx="25">
                  <c:v>0.63710363724840202</c:v>
                </c:pt>
                <c:pt idx="26">
                  <c:v>0.64498752813454263</c:v>
                </c:pt>
                <c:pt idx="27">
                  <c:v>0.65078369266605385</c:v>
                </c:pt>
                <c:pt idx="28">
                  <c:v>0.65415373568276924</c:v>
                </c:pt>
                <c:pt idx="29">
                  <c:v>0.65473488654303469</c:v>
                </c:pt>
                <c:pt idx="30">
                  <c:v>0.65214565687269821</c:v>
                </c:pt>
                <c:pt idx="31">
                  <c:v>0.64599339550177359</c:v>
                </c:pt>
                <c:pt idx="32">
                  <c:v>0.63588425604944709</c:v>
                </c:pt>
                <c:pt idx="33">
                  <c:v>0.62143614229932098</c:v>
                </c:pt>
                <c:pt idx="34">
                  <c:v>0.60229522131768354</c:v>
                </c:pt>
                <c:pt idx="35">
                  <c:v>0.57815657460025804</c:v>
                </c:pt>
                <c:pt idx="36">
                  <c:v>0.54878946700653131</c:v>
                </c:pt>
                <c:pt idx="37">
                  <c:v>0.51406751885153057</c:v>
                </c:pt>
                <c:pt idx="38">
                  <c:v>0.47400373065170143</c:v>
                </c:pt>
                <c:pt idx="39">
                  <c:v>0.42878979548297824</c:v>
                </c:pt>
                <c:pt idx="40">
                  <c:v>0.37883841338590457</c:v>
                </c:pt>
                <c:pt idx="41">
                  <c:v>0.32482639303493271</c:v>
                </c:pt>
                <c:pt idx="42">
                  <c:v>0.26773522964572655</c:v>
                </c:pt>
                <c:pt idx="43">
                  <c:v>0.20888469287674918</c:v>
                </c:pt>
                <c:pt idx="44">
                  <c:v>0.14995393630023032</c:v>
                </c:pt>
                <c:pt idx="45">
                  <c:v>9.29840289143926E-2</c:v>
                </c:pt>
                <c:pt idx="46">
                  <c:v>4.0355945843917065E-2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2B-4D21-AEEF-4ADE7CC1B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'158'!$E$42:$E$91</c:f>
              <c:numCache>
                <c:formatCode>0.000</c:formatCode>
                <c:ptCount val="50"/>
                <c:pt idx="0">
                  <c:v>0</c:v>
                </c:pt>
                <c:pt idx="1">
                  <c:v>5.0593841171197099E-2</c:v>
                </c:pt>
                <c:pt idx="2">
                  <c:v>5.3057788383520599E-2</c:v>
                </c:pt>
                <c:pt idx="3">
                  <c:v>5.5519763972329099E-2</c:v>
                </c:pt>
                <c:pt idx="4">
                  <c:v>5.7979953393913201E-2</c:v>
                </c:pt>
                <c:pt idx="5">
                  <c:v>6.0444728699559101E-2</c:v>
                </c:pt>
                <c:pt idx="6">
                  <c:v>6.2919096034377606E-2</c:v>
                </c:pt>
                <c:pt idx="7">
                  <c:v>6.5405531904371095E-2</c:v>
                </c:pt>
                <c:pt idx="8">
                  <c:v>6.7903649361300195E-2</c:v>
                </c:pt>
                <c:pt idx="9">
                  <c:v>7.0410102579271494E-2</c:v>
                </c:pt>
                <c:pt idx="10">
                  <c:v>7.2918631651235993E-2</c:v>
                </c:pt>
                <c:pt idx="11">
                  <c:v>7.5420233559100602E-2</c:v>
                </c:pt>
                <c:pt idx="12">
                  <c:v>7.7903458597185601E-2</c:v>
                </c:pt>
                <c:pt idx="13">
                  <c:v>8.0354826696515405E-2</c:v>
                </c:pt>
                <c:pt idx="14">
                  <c:v>8.2759347510473605E-2</c:v>
                </c:pt>
                <c:pt idx="15">
                  <c:v>8.5101116520703596E-2</c:v>
                </c:pt>
                <c:pt idx="16">
                  <c:v>8.7363949696120796E-2</c:v>
                </c:pt>
                <c:pt idx="17">
                  <c:v>8.9532013444575398E-2</c:v>
                </c:pt>
                <c:pt idx="18">
                  <c:v>9.1590405942191894E-2</c:v>
                </c:pt>
                <c:pt idx="19">
                  <c:v>9.3525650610713607E-2</c:v>
                </c:pt>
                <c:pt idx="20">
                  <c:v>9.5326071728506795E-2</c:v>
                </c:pt>
                <c:pt idx="21">
                  <c:v>9.6982034302383197E-2</c:v>
                </c:pt>
                <c:pt idx="22">
                  <c:v>9.8486043388646194E-2</c:v>
                </c:pt>
                <c:pt idx="23">
                  <c:v>9.9832710074693604E-2</c:v>
                </c:pt>
                <c:pt idx="24">
                  <c:v>0.10101860078968</c:v>
                </c:pt>
                <c:pt idx="25">
                  <c:v>0.102041992630103</c:v>
                </c:pt>
                <c:pt idx="26">
                  <c:v>0.102902559777965</c:v>
                </c:pt>
                <c:pt idx="27">
                  <c:v>0.103601015236112</c:v>
                </c:pt>
                <c:pt idx="28">
                  <c:v>0.104138728743357</c:v>
                </c:pt>
                <c:pt idx="29">
                  <c:v>0.104517336723137</c:v>
                </c:pt>
                <c:pt idx="30">
                  <c:v>0.10473835426042701</c:v>
                </c:pt>
                <c:pt idx="31">
                  <c:v>0.104802792995945</c:v>
                </c:pt>
                <c:pt idx="32">
                  <c:v>0.10471078282197301</c:v>
                </c:pt>
                <c:pt idx="33">
                  <c:v>0.104461189437973</c:v>
                </c:pt>
                <c:pt idx="34">
                  <c:v>0.1040512139946</c:v>
                </c:pt>
                <c:pt idx="35">
                  <c:v>0.10347595479100399</c:v>
                </c:pt>
                <c:pt idx="36">
                  <c:v>0.102727903604045</c:v>
                </c:pt>
                <c:pt idx="37">
                  <c:v>0.101796339731166</c:v>
                </c:pt>
                <c:pt idx="38">
                  <c:v>0.100666571862396</c:v>
                </c:pt>
                <c:pt idx="39">
                  <c:v>9.9318959694140299E-2</c:v>
                </c:pt>
                <c:pt idx="40">
                  <c:v>9.7727621874920803E-2</c:v>
                </c:pt>
                <c:pt idx="41">
                  <c:v>9.5858704319830595E-2</c:v>
                </c:pt>
                <c:pt idx="42">
                  <c:v>9.3668054005693793E-2</c:v>
                </c:pt>
                <c:pt idx="43">
                  <c:v>9.1098185743970203E-2</c:v>
                </c:pt>
                <c:pt idx="44">
                  <c:v>8.8074937315450005E-2</c:v>
                </c:pt>
                <c:pt idx="45">
                  <c:v>8.4508100717018406E-2</c:v>
                </c:pt>
                <c:pt idx="46">
                  <c:v>8.0348343611558501E-2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6-40D3-BE14-BEA463992538}"/>
            </c:ext>
          </c:extLst>
        </c:ser>
        <c:ser>
          <c:idx val="1"/>
          <c:order val="1"/>
          <c:tx>
            <c:strRef>
              <c:f>'158'!$I$41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'158'!$I$42:$I$91</c:f>
              <c:numCache>
                <c:formatCode>0.000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46-40D3-BE14-BEA463992538}"/>
            </c:ext>
          </c:extLst>
        </c:ser>
        <c:ser>
          <c:idx val="2"/>
          <c:order val="2"/>
          <c:tx>
            <c:strRef>
              <c:f>'158'!$M$41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'158'!$B$42:$B$91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56.326530612244902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117.34693877551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201.83673469387699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'158'!$M$42:$M$91</c:f>
              <c:numCache>
                <c:formatCode>0.000</c:formatCode>
                <c:ptCount val="50"/>
                <c:pt idx="0">
                  <c:v>0</c:v>
                </c:pt>
                <c:pt idx="1">
                  <c:v>5.0643775934268213E-2</c:v>
                </c:pt>
                <c:pt idx="2">
                  <c:v>5.3110154996347012E-2</c:v>
                </c:pt>
                <c:pt idx="3">
                  <c:v>5.5574560488971199E-2</c:v>
                </c:pt>
                <c:pt idx="4">
                  <c:v>5.8037178051471953E-2</c:v>
                </c:pt>
                <c:pt idx="5">
                  <c:v>6.0504386024178895E-2</c:v>
                </c:pt>
                <c:pt idx="6">
                  <c:v>6.298119549313376E-2</c:v>
                </c:pt>
                <c:pt idx="7">
                  <c:v>6.5470085408583872E-2</c:v>
                </c:pt>
                <c:pt idx="8">
                  <c:v>6.7970668440382465E-2</c:v>
                </c:pt>
                <c:pt idx="9">
                  <c:v>7.047959546039545E-2</c:v>
                </c:pt>
                <c:pt idx="10">
                  <c:v>7.2990600383213741E-2</c:v>
                </c:pt>
                <c:pt idx="11">
                  <c:v>7.5494671305007324E-2</c:v>
                </c:pt>
                <c:pt idx="12">
                  <c:v>7.7980347219544055E-2</c:v>
                </c:pt>
                <c:pt idx="13">
                  <c:v>8.0434134753382194E-2</c:v>
                </c:pt>
                <c:pt idx="14">
                  <c:v>8.2841028764835706E-2</c:v>
                </c:pt>
                <c:pt idx="15">
                  <c:v>8.5185109038215245E-2</c:v>
                </c:pt>
                <c:pt idx="16">
                  <c:v>8.7450175569232055E-2</c:v>
                </c:pt>
                <c:pt idx="17">
                  <c:v>8.9620379138405842E-2</c:v>
                </c:pt>
                <c:pt idx="18">
                  <c:v>9.1680803214161069E-2</c:v>
                </c:pt>
                <c:pt idx="19">
                  <c:v>9.3617957917219857E-2</c:v>
                </c:pt>
                <c:pt idx="20">
                  <c:v>9.5420156002325063E-2</c:v>
                </c:pt>
                <c:pt idx="21">
                  <c:v>9.7077752966808359E-2</c:v>
                </c:pt>
                <c:pt idx="22">
                  <c:v>9.8583246469664751E-2</c:v>
                </c:pt>
                <c:pt idx="23">
                  <c:v>9.9931242279580931E-2</c:v>
                </c:pt>
                <c:pt idx="24">
                  <c:v>0.10111830343686816</c:v>
                </c:pt>
                <c:pt idx="25">
                  <c:v>0.10214270533756627</c:v>
                </c:pt>
                <c:pt idx="26">
                  <c:v>0.10300412184210171</c:v>
                </c:pt>
                <c:pt idx="27">
                  <c:v>0.10370326665703646</c:v>
                </c:pt>
                <c:pt idx="28">
                  <c:v>0.10424151087307761</c:v>
                </c:pt>
                <c:pt idx="29">
                  <c:v>0.10462049252876962</c:v>
                </c:pt>
                <c:pt idx="30">
                  <c:v>0.10484172820443638</c:v>
                </c:pt>
                <c:pt idx="31">
                  <c:v>0.10490623053925628</c:v>
                </c:pt>
                <c:pt idx="32">
                  <c:v>0.10481412955371334</c:v>
                </c:pt>
                <c:pt idx="33">
                  <c:v>0.1045642898277425</c:v>
                </c:pt>
                <c:pt idx="34">
                  <c:v>0.10415390974961151</c:v>
                </c:pt>
                <c:pt idx="35">
                  <c:v>0.10357808278062607</c:v>
                </c:pt>
                <c:pt idx="36">
                  <c:v>0.10282929328722518</c:v>
                </c:pt>
                <c:pt idx="37">
                  <c:v>0.10189680998581184</c:v>
                </c:pt>
                <c:pt idx="38">
                  <c:v>0.10076592706648238</c:v>
                </c:pt>
                <c:pt idx="39">
                  <c:v>9.9416984841190881E-2</c:v>
                </c:pt>
                <c:pt idx="40">
                  <c:v>9.7824076414263883E-2</c:v>
                </c:pt>
                <c:pt idx="41">
                  <c:v>9.5953314287715794E-2</c:v>
                </c:pt>
                <c:pt idx="42">
                  <c:v>9.3760501860528589E-2</c:v>
                </c:pt>
                <c:pt idx="43">
                  <c:v>9.1188097207814581E-2</c:v>
                </c:pt>
                <c:pt idx="44">
                  <c:v>8.8161864914249113E-2</c:v>
                </c:pt>
                <c:pt idx="45">
                  <c:v>8.4591507943844818E-2</c:v>
                </c:pt>
                <c:pt idx="46">
                  <c:v>8.0427645269779954E-2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46-40D3-BE14-BEA463992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20-4FE6-A329-CF8C4915C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96-48E4-A7D2-D5D178DE2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'158'!$Q$42:$Q$91</c:f>
              <c:numCache>
                <c:formatCode>General</c:formatCode>
                <c:ptCount val="50"/>
                <c:pt idx="0">
                  <c:v>5.3266774119999996</c:v>
                </c:pt>
                <c:pt idx="1">
                  <c:v>5.3803786300478897</c:v>
                </c:pt>
                <c:pt idx="2">
                  <c:v>5.4149430391453404</c:v>
                </c:pt>
                <c:pt idx="3">
                  <c:v>5.4343527433378096</c:v>
                </c:pt>
                <c:pt idx="4">
                  <c:v>5.4420705598782702</c:v>
                </c:pt>
                <c:pt idx="5">
                  <c:v>5.4410651084983401</c:v>
                </c:pt>
                <c:pt idx="6">
                  <c:v>5.4338361225131599</c:v>
                </c:pt>
                <c:pt idx="7">
                  <c:v>5.4224399817599203</c:v>
                </c:pt>
                <c:pt idx="8">
                  <c:v>5.4085154673701004</c:v>
                </c:pt>
                <c:pt idx="9">
                  <c:v>5.3933097383753603</c:v>
                </c:pt>
                <c:pt idx="10">
                  <c:v>5.3777045301471604</c:v>
                </c:pt>
                <c:pt idx="11">
                  <c:v>5.3622425746700699</c:v>
                </c:pt>
                <c:pt idx="12">
                  <c:v>5.3471542426486298</c:v>
                </c:pt>
                <c:pt idx="13">
                  <c:v>5.3323844074481297</c:v>
                </c:pt>
                <c:pt idx="14">
                  <c:v>5.3176195308688596</c:v>
                </c:pt>
                <c:pt idx="15">
                  <c:v>5.3023149707541597</c:v>
                </c:pt>
                <c:pt idx="16">
                  <c:v>5.2857225104321204</c:v>
                </c:pt>
                <c:pt idx="17">
                  <c:v>5.2669181099909803</c:v>
                </c:pt>
                <c:pt idx="18">
                  <c:v>5.2448298793881802</c:v>
                </c:pt>
                <c:pt idx="19">
                  <c:v>5.2182662733931497</c:v>
                </c:pt>
                <c:pt idx="20">
                  <c:v>5.1859445083637397</c:v>
                </c:pt>
                <c:pt idx="21">
                  <c:v>5.1465192008563196</c:v>
                </c:pt>
                <c:pt idx="22">
                  <c:v>5.0986112280696698</c:v>
                </c:pt>
                <c:pt idx="23">
                  <c:v>5.0408368101223697</c:v>
                </c:pt>
                <c:pt idx="24">
                  <c:v>4.9718368141640896</c:v>
                </c:pt>
                <c:pt idx="25">
                  <c:v>4.8903062803203996</c:v>
                </c:pt>
                <c:pt idx="26">
                  <c:v>4.7950241694713096</c:v>
                </c:pt>
                <c:pt idx="27">
                  <c:v>4.6848833328635404</c:v>
                </c:pt>
                <c:pt idx="28">
                  <c:v>4.5589207035564296</c:v>
                </c:pt>
                <c:pt idx="29">
                  <c:v>4.4163477097015704</c:v>
                </c:pt>
                <c:pt idx="30">
                  <c:v>4.2565809096560399</c:v>
                </c:pt>
                <c:pt idx="31">
                  <c:v>4.0792728489294197</c:v>
                </c:pt>
                <c:pt idx="32">
                  <c:v>3.8843431389644398</c:v>
                </c:pt>
                <c:pt idx="33">
                  <c:v>3.67200975775136</c:v>
                </c:pt>
                <c:pt idx="34">
                  <c:v>3.44282057227595</c:v>
                </c:pt>
                <c:pt idx="35">
                  <c:v>3.19768508280122</c:v>
                </c:pt>
                <c:pt idx="36">
                  <c:v>2.9379063889828201</c:v>
                </c:pt>
                <c:pt idx="37">
                  <c:v>2.6652133778181599</c:v>
                </c:pt>
                <c:pt idx="38">
                  <c:v>2.3817931334291198</c:v>
                </c:pt>
                <c:pt idx="39">
                  <c:v>2.09032356867856</c:v>
                </c:pt>
                <c:pt idx="40">
                  <c:v>1.7940062786204201</c:v>
                </c:pt>
                <c:pt idx="41">
                  <c:v>1.49659961578351</c:v>
                </c:pt>
                <c:pt idx="42">
                  <c:v>1.2024519872891699</c:v>
                </c:pt>
                <c:pt idx="43">
                  <c:v>0.91653537380223105</c:v>
                </c:pt>
                <c:pt idx="44">
                  <c:v>0.64447907031611096</c:v>
                </c:pt>
                <c:pt idx="45">
                  <c:v>0.39260364877124898</c:v>
                </c:pt>
                <c:pt idx="46">
                  <c:v>0.16795514250737301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06D-A3F3-FB304AF4C8D0}"/>
            </c:ext>
          </c:extLst>
        </c:ser>
        <c:ser>
          <c:idx val="1"/>
          <c:order val="1"/>
          <c:tx>
            <c:strRef>
              <c:f>'158'!$T$41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'158'!$T$42:$T$91</c:f>
              <c:numCache>
                <c:formatCode>0.00</c:formatCode>
                <c:ptCount val="50"/>
                <c:pt idx="0">
                  <c:v>5.3266774119999996</c:v>
                </c:pt>
                <c:pt idx="1">
                  <c:v>5.3803786300478968</c:v>
                </c:pt>
                <c:pt idx="2">
                  <c:v>5.4149430391453404</c:v>
                </c:pt>
                <c:pt idx="3">
                  <c:v>5.4343527433378132</c:v>
                </c:pt>
                <c:pt idx="4">
                  <c:v>5.4420705598782746</c:v>
                </c:pt>
                <c:pt idx="5">
                  <c:v>5.4410651084983481</c:v>
                </c:pt>
                <c:pt idx="6">
                  <c:v>5.4338361225131679</c:v>
                </c:pt>
                <c:pt idx="7">
                  <c:v>5.4224399817599274</c:v>
                </c:pt>
                <c:pt idx="8">
                  <c:v>5.4085154673700995</c:v>
                </c:pt>
                <c:pt idx="9">
                  <c:v>5.3933097383753594</c:v>
                </c:pt>
                <c:pt idx="10">
                  <c:v>5.3777045301471711</c:v>
                </c:pt>
                <c:pt idx="11">
                  <c:v>5.3622425746700699</c:v>
                </c:pt>
                <c:pt idx="12">
                  <c:v>5.3471542426486343</c:v>
                </c:pt>
                <c:pt idx="13">
                  <c:v>5.3323844074481332</c:v>
                </c:pt>
                <c:pt idx="14">
                  <c:v>5.3176195308688641</c:v>
                </c:pt>
                <c:pt idx="15">
                  <c:v>5.3023149707541624</c:v>
                </c:pt>
                <c:pt idx="16">
                  <c:v>5.2857225104321239</c:v>
                </c:pt>
                <c:pt idx="17">
                  <c:v>5.2669181099909812</c:v>
                </c:pt>
                <c:pt idx="18">
                  <c:v>5.2448298793881847</c:v>
                </c:pt>
                <c:pt idx="19">
                  <c:v>5.2182662733931569</c:v>
                </c:pt>
                <c:pt idx="20">
                  <c:v>5.1859445083637423</c:v>
                </c:pt>
                <c:pt idx="21">
                  <c:v>5.1465192008563312</c:v>
                </c:pt>
                <c:pt idx="22">
                  <c:v>5.0986112280696823</c:v>
                </c:pt>
                <c:pt idx="23">
                  <c:v>5.0408368101223813</c:v>
                </c:pt>
                <c:pt idx="24">
                  <c:v>4.9718368141641163</c:v>
                </c:pt>
                <c:pt idx="25">
                  <c:v>4.8903062803204076</c:v>
                </c:pt>
                <c:pt idx="26">
                  <c:v>4.795024169471322</c:v>
                </c:pt>
                <c:pt idx="27">
                  <c:v>4.6848833328635422</c:v>
                </c:pt>
                <c:pt idx="28">
                  <c:v>4.558920703556451</c:v>
                </c:pt>
                <c:pt idx="29">
                  <c:v>4.4163477097016024</c:v>
                </c:pt>
                <c:pt idx="30">
                  <c:v>4.2565809096560541</c:v>
                </c:pt>
                <c:pt idx="31">
                  <c:v>4.0792728489294463</c:v>
                </c:pt>
                <c:pt idx="32">
                  <c:v>3.8843431389644558</c:v>
                </c:pt>
                <c:pt idx="33">
                  <c:v>3.6720097577513906</c:v>
                </c:pt>
                <c:pt idx="34">
                  <c:v>3.4428205722759988</c:v>
                </c:pt>
                <c:pt idx="35">
                  <c:v>3.1976850828012369</c:v>
                </c:pt>
                <c:pt idx="36">
                  <c:v>2.9379063889828654</c:v>
                </c:pt>
                <c:pt idx="37">
                  <c:v>2.6652133778181741</c:v>
                </c:pt>
                <c:pt idx="38">
                  <c:v>2.381793133429166</c:v>
                </c:pt>
                <c:pt idx="39">
                  <c:v>2.0903235686786275</c:v>
                </c:pt>
                <c:pt idx="40">
                  <c:v>1.7940062786204478</c:v>
                </c:pt>
                <c:pt idx="41">
                  <c:v>1.4965996157835624</c:v>
                </c:pt>
                <c:pt idx="42">
                  <c:v>1.2024519872891819</c:v>
                </c:pt>
                <c:pt idx="43">
                  <c:v>0.91653537380227057</c:v>
                </c:pt>
                <c:pt idx="44">
                  <c:v>0.64447907031616003</c:v>
                </c:pt>
                <c:pt idx="45">
                  <c:v>0.39260364877126452</c:v>
                </c:pt>
                <c:pt idx="46">
                  <c:v>0.16795514250740062</c:v>
                </c:pt>
                <c:pt idx="47">
                  <c:v>-2.1660547450525147E-2</c:v>
                </c:pt>
                <c:pt idx="48">
                  <c:v>-0.1676430242726128</c:v>
                </c:pt>
                <c:pt idx="49">
                  <c:v>-0.26056254537098056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06D-A3F3-FB304AF4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'158'!$S$42:$S$91</c:f>
              <c:numCache>
                <c:formatCode>General</c:formatCode>
                <c:ptCount val="50"/>
                <c:pt idx="0">
                  <c:v>5.4970734319999999E-2</c:v>
                </c:pt>
                <c:pt idx="1">
                  <c:v>5.566529708910424E-2</c:v>
                </c:pt>
                <c:pt idx="2">
                  <c:v>5.6728433943165291E-2</c:v>
                </c:pt>
                <c:pt idx="3">
                  <c:v>5.8113641149091753E-2</c:v>
                </c:pt>
                <c:pt idx="4">
                  <c:v>5.977649581769745E-2</c:v>
                </c:pt>
                <c:pt idx="5">
                  <c:v>6.1674655903701511E-2</c:v>
                </c:pt>
                <c:pt idx="6">
                  <c:v>6.3767860205728305E-2</c:v>
                </c:pt>
                <c:pt idx="7">
                  <c:v>6.6017928366307405E-2</c:v>
                </c:pt>
                <c:pt idx="8">
                  <c:v>6.8388760871873719E-2</c:v>
                </c:pt>
                <c:pt idx="9">
                  <c:v>7.0846339052767354E-2</c:v>
                </c:pt>
                <c:pt idx="10">
                  <c:v>7.3358725083233711E-2</c:v>
                </c:pt>
                <c:pt idx="11">
                  <c:v>7.5896061981423429E-2</c:v>
                </c:pt>
                <c:pt idx="12">
                  <c:v>7.8430573609392443E-2</c:v>
                </c:pt>
                <c:pt idx="13">
                  <c:v>8.0936564673101813E-2</c:v>
                </c:pt>
                <c:pt idx="14">
                  <c:v>8.3390420722417993E-2</c:v>
                </c:pt>
                <c:pt idx="15">
                  <c:v>8.5770608151112634E-2</c:v>
                </c:pt>
                <c:pt idx="16">
                  <c:v>8.8057674196862723E-2</c:v>
                </c:pt>
                <c:pt idx="17">
                  <c:v>9.0234246941250359E-2</c:v>
                </c:pt>
                <c:pt idx="18">
                  <c:v>9.228503530976305E-2</c:v>
                </c:pt>
                <c:pt idx="19">
                  <c:v>9.4196829071793386E-2</c:v>
                </c:pt>
                <c:pt idx="20">
                  <c:v>9.5958498840639478E-2</c:v>
                </c:pt>
                <c:pt idx="21">
                  <c:v>9.7560996073504352E-2</c:v>
                </c:pt>
                <c:pt idx="22">
                  <c:v>9.8997353071496333E-2</c:v>
                </c:pt>
                <c:pt idx="23">
                  <c:v>0.10026268297962974</c:v>
                </c:pt>
                <c:pt idx="24">
                  <c:v>0.10135417978682296</c:v>
                </c:pt>
                <c:pt idx="25">
                  <c:v>0.10227111832590061</c:v>
                </c:pt>
                <c:pt idx="26">
                  <c:v>0.10301485427359175</c:v>
                </c:pt>
                <c:pt idx="27">
                  <c:v>0.10358882415053149</c:v>
                </c:pt>
                <c:pt idx="28">
                  <c:v>0.10399854532125966</c:v>
                </c:pt>
                <c:pt idx="29">
                  <c:v>0.10425161599422147</c:v>
                </c:pt>
                <c:pt idx="30">
                  <c:v>0.10435771522176765</c:v>
                </c:pt>
                <c:pt idx="31">
                  <c:v>0.10432860290015374</c:v>
                </c:pt>
                <c:pt idx="32">
                  <c:v>0.10417811976954083</c:v>
                </c:pt>
                <c:pt idx="33">
                  <c:v>0.10392218741399532</c:v>
                </c:pt>
                <c:pt idx="34">
                  <c:v>0.10357880826148853</c:v>
                </c:pt>
                <c:pt idx="35">
                  <c:v>0.10316806558389738</c:v>
                </c:pt>
                <c:pt idx="36">
                  <c:v>0.102712123497004</c:v>
                </c:pt>
                <c:pt idx="37">
                  <c:v>0.10223522696049539</c:v>
                </c:pt>
                <c:pt idx="38">
                  <c:v>0.10176370177796454</c:v>
                </c:pt>
                <c:pt idx="39">
                  <c:v>0.10132595459690902</c:v>
                </c:pt>
                <c:pt idx="40">
                  <c:v>0.10095247290873169</c:v>
                </c:pt>
                <c:pt idx="41">
                  <c:v>0.10067582504874144</c:v>
                </c:pt>
                <c:pt idx="42">
                  <c:v>0.10053066019615142</c:v>
                </c:pt>
                <c:pt idx="43">
                  <c:v>0.10055370837408054</c:v>
                </c:pt>
                <c:pt idx="44">
                  <c:v>0.10078378044955298</c:v>
                </c:pt>
                <c:pt idx="45">
                  <c:v>0.10126176813349803</c:v>
                </c:pt>
                <c:pt idx="46">
                  <c:v>0.10203064398075032</c:v>
                </c:pt>
                <c:pt idx="47">
                  <c:v>0.10313546139004989</c:v>
                </c:pt>
                <c:pt idx="48">
                  <c:v>0.10462335460404143</c:v>
                </c:pt>
                <c:pt idx="49">
                  <c:v>0.10654353870927605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'158'!$U$42:$U$91</c:f>
              <c:numCache>
                <c:formatCode>0.00</c:formatCode>
                <c:ptCount val="50"/>
                <c:pt idx="0">
                  <c:v>54.970734319999998</c:v>
                </c:pt>
                <c:pt idx="1">
                  <c:v>55.665297089104243</c:v>
                </c:pt>
                <c:pt idx="2">
                  <c:v>56.728433943165292</c:v>
                </c:pt>
                <c:pt idx="3">
                  <c:v>58.113641149091755</c:v>
                </c:pt>
                <c:pt idx="4">
                  <c:v>59.776495817697452</c:v>
                </c:pt>
                <c:pt idx="5">
                  <c:v>61.674655903701513</c:v>
                </c:pt>
                <c:pt idx="6">
                  <c:v>63.767860205728304</c:v>
                </c:pt>
                <c:pt idx="7">
                  <c:v>66.017928366307402</c:v>
                </c:pt>
                <c:pt idx="8">
                  <c:v>68.388760871873714</c:v>
                </c:pt>
                <c:pt idx="9">
                  <c:v>70.846339052767348</c:v>
                </c:pt>
                <c:pt idx="10">
                  <c:v>73.358725083233708</c:v>
                </c:pt>
                <c:pt idx="11">
                  <c:v>75.896061981423429</c:v>
                </c:pt>
                <c:pt idx="12">
                  <c:v>78.430573609392454</c:v>
                </c:pt>
                <c:pt idx="13">
                  <c:v>80.936564673101813</c:v>
                </c:pt>
                <c:pt idx="14">
                  <c:v>83.390420722418</c:v>
                </c:pt>
                <c:pt idx="15">
                  <c:v>85.77060815111264</c:v>
                </c:pt>
                <c:pt idx="16">
                  <c:v>88.05767419686272</c:v>
                </c:pt>
                <c:pt idx="17">
                  <c:v>90.234246941250362</c:v>
                </c:pt>
                <c:pt idx="18">
                  <c:v>92.285035309763046</c:v>
                </c:pt>
                <c:pt idx="19">
                  <c:v>94.196829071793388</c:v>
                </c:pt>
                <c:pt idx="20">
                  <c:v>95.958498840639479</c:v>
                </c:pt>
                <c:pt idx="21">
                  <c:v>97.560996073504356</c:v>
                </c:pt>
                <c:pt idx="22">
                  <c:v>98.997353071496335</c:v>
                </c:pt>
                <c:pt idx="23">
                  <c:v>100.26268297962974</c:v>
                </c:pt>
                <c:pt idx="24">
                  <c:v>101.35417978682295</c:v>
                </c:pt>
                <c:pt idx="25">
                  <c:v>102.27111832590057</c:v>
                </c:pt>
                <c:pt idx="26">
                  <c:v>103.01485427359175</c:v>
                </c:pt>
                <c:pt idx="27">
                  <c:v>103.58882415053148</c:v>
                </c:pt>
                <c:pt idx="28">
                  <c:v>103.99854532125966</c:v>
                </c:pt>
                <c:pt idx="29">
                  <c:v>104.25161599422148</c:v>
                </c:pt>
                <c:pt idx="30">
                  <c:v>104.35771522176765</c:v>
                </c:pt>
                <c:pt idx="31">
                  <c:v>104.32860290015374</c:v>
                </c:pt>
                <c:pt idx="32">
                  <c:v>104.17811976954083</c:v>
                </c:pt>
                <c:pt idx="33">
                  <c:v>103.92218741399532</c:v>
                </c:pt>
                <c:pt idx="34">
                  <c:v>103.57880826148853</c:v>
                </c:pt>
                <c:pt idx="35">
                  <c:v>103.16806558389737</c:v>
                </c:pt>
                <c:pt idx="36">
                  <c:v>102.712123497004</c:v>
                </c:pt>
                <c:pt idx="37">
                  <c:v>102.2352269604954</c:v>
                </c:pt>
                <c:pt idx="38">
                  <c:v>101.76370177796454</c:v>
                </c:pt>
                <c:pt idx="39">
                  <c:v>101.32595459690901</c:v>
                </c:pt>
                <c:pt idx="40">
                  <c:v>100.95247290873169</c:v>
                </c:pt>
                <c:pt idx="41">
                  <c:v>100.67582504874144</c:v>
                </c:pt>
                <c:pt idx="42">
                  <c:v>100.53066019615142</c:v>
                </c:pt>
                <c:pt idx="43">
                  <c:v>100.55370837408054</c:v>
                </c:pt>
                <c:pt idx="44">
                  <c:v>100.78378044955298</c:v>
                </c:pt>
                <c:pt idx="45">
                  <c:v>101.26176813349804</c:v>
                </c:pt>
                <c:pt idx="46">
                  <c:v>102.03064398075031</c:v>
                </c:pt>
                <c:pt idx="47">
                  <c:v>103.1354613900499</c:v>
                </c:pt>
                <c:pt idx="48">
                  <c:v>104.62335460404142</c:v>
                </c:pt>
                <c:pt idx="49">
                  <c:v>106.54353870927605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7-4CE1-91FA-20A2F0B5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5.66205105781864E-2</c:v>
                </c:pt>
                <c:pt idx="2">
                  <c:v>0.10867592371160301</c:v>
                </c:pt>
                <c:pt idx="3">
                  <c:v>0.156343584146306</c:v>
                </c:pt>
                <c:pt idx="4">
                  <c:v>0.19989636328655899</c:v>
                </c:pt>
                <c:pt idx="5">
                  <c:v>0.23963711901978399</c:v>
                </c:pt>
                <c:pt idx="6">
                  <c:v>0.27588869680597899</c:v>
                </c:pt>
                <c:pt idx="7">
                  <c:v>0.30898465173596801</c:v>
                </c:pt>
                <c:pt idx="8">
                  <c:v>0.33926069155848898</c:v>
                </c:pt>
                <c:pt idx="9">
                  <c:v>0.36704684067610299</c:v>
                </c:pt>
                <c:pt idx="10">
                  <c:v>0.39266032510995103</c:v>
                </c:pt>
                <c:pt idx="11">
                  <c:v>0.41639917843332802</c:v>
                </c:pt>
                <c:pt idx="12">
                  <c:v>0.43853656867410001</c:v>
                </c:pt>
                <c:pt idx="13">
                  <c:v>0.45931584618594701</c:v>
                </c:pt>
                <c:pt idx="14">
                  <c:v>0.47894631248844599</c:v>
                </c:pt>
                <c:pt idx="15">
                  <c:v>0.49759971007597498</c:v>
                </c:pt>
                <c:pt idx="16">
                  <c:v>0.51540743319546101</c:v>
                </c:pt>
                <c:pt idx="17">
                  <c:v>0.53245845959295401</c:v>
                </c:pt>
                <c:pt idx="18">
                  <c:v>0.54879800322903205</c:v>
                </c:pt>
                <c:pt idx="19">
                  <c:v>0.56442688796304497</c:v>
                </c:pt>
                <c:pt idx="20">
                  <c:v>0.57930164220618396</c:v>
                </c:pt>
                <c:pt idx="21">
                  <c:v>0.59333531454338995</c:v>
                </c:pt>
                <c:pt idx="22">
                  <c:v>0.60639901032408405</c:v>
                </c:pt>
                <c:pt idx="23">
                  <c:v>0.61832414922174705</c:v>
                </c:pt>
                <c:pt idx="24">
                  <c:v>0.62890544376231206</c:v>
                </c:pt>
                <c:pt idx="25">
                  <c:v>0.63790459882140205</c:v>
                </c:pt>
                <c:pt idx="26">
                  <c:v>0.64505473209040198</c:v>
                </c:pt>
                <c:pt idx="27">
                  <c:v>0.65006551551134995</c:v>
                </c:pt>
                <c:pt idx="28">
                  <c:v>0.65262903768067004</c:v>
                </c:pt>
                <c:pt idx="29">
                  <c:v>0.65242638722174395</c:v>
                </c:pt>
                <c:pt idx="30">
                  <c:v>0.64913495712629599</c:v>
                </c:pt>
                <c:pt idx="31">
                  <c:v>0.642436470064632</c:v>
                </c:pt>
                <c:pt idx="32">
                  <c:v>0.63202572466469198</c:v>
                </c:pt>
                <c:pt idx="33">
                  <c:v>0.61762006275995096</c:v>
                </c:pt>
                <c:pt idx="34">
                  <c:v>0.59896955760613901</c:v>
                </c:pt>
                <c:pt idx="35">
                  <c:v>0.57586792306680401</c:v>
                </c:pt>
                <c:pt idx="36">
                  <c:v>0.54816414376769795</c:v>
                </c:pt>
                <c:pt idx="37">
                  <c:v>0.51577482622000304</c:v>
                </c:pt>
                <c:pt idx="38">
                  <c:v>0.47869727091238901</c:v>
                </c:pt>
                <c:pt idx="39">
                  <c:v>0.43702326537189301</c:v>
                </c:pt>
                <c:pt idx="40">
                  <c:v>0.390953598193649</c:v>
                </c:pt>
                <c:pt idx="41">
                  <c:v>0.340813294039438</c:v>
                </c:pt>
                <c:pt idx="42">
                  <c:v>0.28706756960506502</c:v>
                </c:pt>
                <c:pt idx="43">
                  <c:v>0.23033851055658899</c:v>
                </c:pt>
                <c:pt idx="44">
                  <c:v>0.17142246943536499</c:v>
                </c:pt>
                <c:pt idx="45">
                  <c:v>0.111308184531922</c:v>
                </c:pt>
                <c:pt idx="46">
                  <c:v>5.1195619728699703E-2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'158'!$V$41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'158'!$P$42:$P$91</c:f>
              <c:numCache>
                <c:formatCode>0</c:formatCode>
                <c:ptCount val="50"/>
                <c:pt idx="0">
                  <c:v>0</c:v>
                </c:pt>
                <c:pt idx="1">
                  <c:v>4.6938775510203996</c:v>
                </c:pt>
                <c:pt idx="2">
                  <c:v>9.3877551020408099</c:v>
                </c:pt>
                <c:pt idx="3">
                  <c:v>14.081632653061201</c:v>
                </c:pt>
                <c:pt idx="4">
                  <c:v>18.775510204081598</c:v>
                </c:pt>
                <c:pt idx="5">
                  <c:v>23.469387755102002</c:v>
                </c:pt>
                <c:pt idx="6">
                  <c:v>28.163265306122401</c:v>
                </c:pt>
                <c:pt idx="7">
                  <c:v>32.857142857142797</c:v>
                </c:pt>
                <c:pt idx="8">
                  <c:v>37.551020408163197</c:v>
                </c:pt>
                <c:pt idx="9">
                  <c:v>42.244897959183596</c:v>
                </c:pt>
                <c:pt idx="10">
                  <c:v>46.938775510204003</c:v>
                </c:pt>
                <c:pt idx="11">
                  <c:v>51.632653061224403</c:v>
                </c:pt>
                <c:pt idx="12">
                  <c:v>56.326530612244909</c:v>
                </c:pt>
                <c:pt idx="13">
                  <c:v>61.020408163265301</c:v>
                </c:pt>
                <c:pt idx="14">
                  <c:v>65.714285714285694</c:v>
                </c:pt>
                <c:pt idx="15">
                  <c:v>70.408163265306101</c:v>
                </c:pt>
                <c:pt idx="16">
                  <c:v>75.102040816326493</c:v>
                </c:pt>
                <c:pt idx="17">
                  <c:v>79.7959183673469</c:v>
                </c:pt>
                <c:pt idx="18">
                  <c:v>84.489795918367307</c:v>
                </c:pt>
                <c:pt idx="19">
                  <c:v>89.183673469387699</c:v>
                </c:pt>
                <c:pt idx="20">
                  <c:v>93.877551020408106</c:v>
                </c:pt>
                <c:pt idx="21">
                  <c:v>98.571428571428498</c:v>
                </c:pt>
                <c:pt idx="22">
                  <c:v>103.265306122448</c:v>
                </c:pt>
                <c:pt idx="23">
                  <c:v>107.959183673469</c:v>
                </c:pt>
                <c:pt idx="24">
                  <c:v>112.65306122448899</c:v>
                </c:pt>
                <c:pt idx="25">
                  <c:v>117.34693877550998</c:v>
                </c:pt>
                <c:pt idx="26">
                  <c:v>122.04081632653001</c:v>
                </c:pt>
                <c:pt idx="27">
                  <c:v>126.734693877551</c:v>
                </c:pt>
                <c:pt idx="28">
                  <c:v>131.42857142857099</c:v>
                </c:pt>
                <c:pt idx="29">
                  <c:v>136.12244897959101</c:v>
                </c:pt>
                <c:pt idx="30">
                  <c:v>140.816326530612</c:v>
                </c:pt>
                <c:pt idx="31">
                  <c:v>145.510204081632</c:v>
                </c:pt>
                <c:pt idx="32">
                  <c:v>150.20408163265299</c:v>
                </c:pt>
                <c:pt idx="33">
                  <c:v>154.89795918367301</c:v>
                </c:pt>
                <c:pt idx="34">
                  <c:v>159.591836734693</c:v>
                </c:pt>
                <c:pt idx="35">
                  <c:v>164.28571428571399</c:v>
                </c:pt>
                <c:pt idx="36">
                  <c:v>168.97959183673399</c:v>
                </c:pt>
                <c:pt idx="37">
                  <c:v>173.67346938775501</c:v>
                </c:pt>
                <c:pt idx="38">
                  <c:v>178.367346938775</c:v>
                </c:pt>
                <c:pt idx="39">
                  <c:v>183.06122448979499</c:v>
                </c:pt>
                <c:pt idx="40">
                  <c:v>187.75510204081601</c:v>
                </c:pt>
                <c:pt idx="41">
                  <c:v>192.44897959183601</c:v>
                </c:pt>
                <c:pt idx="42">
                  <c:v>197.142857142857</c:v>
                </c:pt>
                <c:pt idx="43">
                  <c:v>201.83673469387702</c:v>
                </c:pt>
                <c:pt idx="44">
                  <c:v>206.53061224489699</c:v>
                </c:pt>
                <c:pt idx="45">
                  <c:v>211.224489795918</c:v>
                </c:pt>
                <c:pt idx="46">
                  <c:v>215.918367346938</c:v>
                </c:pt>
                <c:pt idx="47">
                  <c:v>220.61224489795899</c:v>
                </c:pt>
                <c:pt idx="48">
                  <c:v>225.30612244897901</c:v>
                </c:pt>
                <c:pt idx="49">
                  <c:v>230</c:v>
                </c:pt>
              </c:numCache>
            </c:numRef>
          </c:xVal>
          <c:yVal>
            <c:numRef>
              <c:f>'158'!$V$42:$V$91</c:f>
              <c:numCache>
                <c:formatCode>0.00</c:formatCode>
                <c:ptCount val="50"/>
                <c:pt idx="0">
                  <c:v>-5.4820295639999997E-3</c:v>
                </c:pt>
                <c:pt idx="1">
                  <c:v>5.6620510578186387</c:v>
                </c:pt>
                <c:pt idx="2">
                  <c:v>10.867592371160368</c:v>
                </c:pt>
                <c:pt idx="3">
                  <c:v>15.63435841463061</c:v>
                </c:pt>
                <c:pt idx="4">
                  <c:v>19.989636328655891</c:v>
                </c:pt>
                <c:pt idx="5">
                  <c:v>23.963711901978392</c:v>
                </c:pt>
                <c:pt idx="6">
                  <c:v>27.588869680597867</c:v>
                </c:pt>
                <c:pt idx="7">
                  <c:v>30.898465173596822</c:v>
                </c:pt>
                <c:pt idx="8">
                  <c:v>33.926069155848872</c:v>
                </c:pt>
                <c:pt idx="9">
                  <c:v>36.704684067610351</c:v>
                </c:pt>
                <c:pt idx="10">
                  <c:v>39.266032510995153</c:v>
                </c:pt>
                <c:pt idx="11">
                  <c:v>41.639917843332817</c:v>
                </c:pt>
                <c:pt idx="12">
                  <c:v>43.853656867410017</c:v>
                </c:pt>
                <c:pt idx="13">
                  <c:v>45.931584618594748</c:v>
                </c:pt>
                <c:pt idx="14">
                  <c:v>47.894631248844597</c:v>
                </c:pt>
                <c:pt idx="15">
                  <c:v>49.759971007597507</c:v>
                </c:pt>
                <c:pt idx="16">
                  <c:v>51.540743319546131</c:v>
                </c:pt>
                <c:pt idx="17">
                  <c:v>53.245845959295401</c:v>
                </c:pt>
                <c:pt idx="18">
                  <c:v>54.879800322903201</c:v>
                </c:pt>
                <c:pt idx="19">
                  <c:v>56.442688796304502</c:v>
                </c:pt>
                <c:pt idx="20">
                  <c:v>57.930164220618437</c:v>
                </c:pt>
                <c:pt idx="21">
                  <c:v>59.333531454338974</c:v>
                </c:pt>
                <c:pt idx="22">
                  <c:v>60.639901032408211</c:v>
                </c:pt>
                <c:pt idx="23">
                  <c:v>61.832414922174628</c:v>
                </c:pt>
                <c:pt idx="24">
                  <c:v>62.890544376231041</c:v>
                </c:pt>
                <c:pt idx="25">
                  <c:v>63.790459882140254</c:v>
                </c:pt>
                <c:pt idx="26">
                  <c:v>64.505473209040218</c:v>
                </c:pt>
                <c:pt idx="27">
                  <c:v>65.006551551134976</c:v>
                </c:pt>
                <c:pt idx="28">
                  <c:v>65.262903768067048</c:v>
                </c:pt>
                <c:pt idx="29">
                  <c:v>65.242638722174405</c:v>
                </c:pt>
                <c:pt idx="30">
                  <c:v>64.913495712629654</c:v>
                </c:pt>
                <c:pt idx="31">
                  <c:v>64.243647006463391</c:v>
                </c:pt>
                <c:pt idx="32">
                  <c:v>63.202572466469277</c:v>
                </c:pt>
                <c:pt idx="33">
                  <c:v>61.762006275995361</c:v>
                </c:pt>
                <c:pt idx="34">
                  <c:v>59.896955760614475</c:v>
                </c:pt>
                <c:pt idx="35">
                  <c:v>57.58679230668065</c:v>
                </c:pt>
                <c:pt idx="36">
                  <c:v>54.816414376770354</c:v>
                </c:pt>
                <c:pt idx="37">
                  <c:v>51.577482622000502</c:v>
                </c:pt>
                <c:pt idx="38">
                  <c:v>47.869727091239326</c:v>
                </c:pt>
                <c:pt idx="39">
                  <c:v>43.702326537190231</c:v>
                </c:pt>
                <c:pt idx="40">
                  <c:v>39.095359819365399</c:v>
                </c:pt>
                <c:pt idx="41">
                  <c:v>34.081329403944551</c:v>
                </c:pt>
                <c:pt idx="42">
                  <c:v>28.706756960506482</c:v>
                </c:pt>
                <c:pt idx="43">
                  <c:v>23.033851055659738</c:v>
                </c:pt>
                <c:pt idx="44">
                  <c:v>17.142246943537657</c:v>
                </c:pt>
                <c:pt idx="45">
                  <c:v>11.130818453193001</c:v>
                </c:pt>
                <c:pt idx="46">
                  <c:v>5.1195619728708834</c:v>
                </c:pt>
                <c:pt idx="47">
                  <c:v>-0.74844746884355118</c:v>
                </c:pt>
                <c:pt idx="48">
                  <c:v>-6.3050280249804018</c:v>
                </c:pt>
                <c:pt idx="49">
                  <c:v>-11.354790755267686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44-46A8-95DE-22610CC1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'158'!$AS$5:$AS$15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EB-46CA-851E-A4EA7ED75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'158'!$AS$16:$AS$26</c:f>
              <c:numCache>
                <c:formatCode>0.000</c:formatCode>
                <c:ptCount val="11"/>
                <c:pt idx="0">
                  <c:v>5.3266774119999996</c:v>
                </c:pt>
                <c:pt idx="1">
                  <c:v>5.442391916831717</c:v>
                </c:pt>
                <c:pt idx="2">
                  <c:v>5.3908022785561363</c:v>
                </c:pt>
                <c:pt idx="3">
                  <c:v>5.3214392798026493</c:v>
                </c:pt>
                <c:pt idx="4">
                  <c:v>5.236861427389857</c:v>
                </c:pt>
                <c:pt idx="5">
                  <c:v>5.046930920446683</c:v>
                </c:pt>
                <c:pt idx="6">
                  <c:v>4.6261308149035516</c:v>
                </c:pt>
                <c:pt idx="7">
                  <c:v>3.8714605663312969</c:v>
                </c:pt>
                <c:pt idx="8">
                  <c:v>2.7638565260941474</c:v>
                </c:pt>
                <c:pt idx="9">
                  <c:v>1.4302869959351212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39-4EB6-B56E-E55E6B2D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'158'!$AT$5:$AT$15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DE-4FF3-A806-394F2A23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'158'!$AT$4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'158'!$AT$16:$AT$26</c:f>
              <c:numCache>
                <c:formatCode>0.000</c:formatCode>
                <c:ptCount val="11"/>
                <c:pt idx="0">
                  <c:v>5.4970734319999999E-2</c:v>
                </c:pt>
                <c:pt idx="1">
                  <c:v>6.0851790948939492E-2</c:v>
                </c:pt>
                <c:pt idx="2">
                  <c:v>7.1248603408174016E-2</c:v>
                </c:pt>
                <c:pt idx="3">
                  <c:v>8.2761242299794216E-2</c:v>
                </c:pt>
                <c:pt idx="4">
                  <c:v>9.2916241571718072E-2</c:v>
                </c:pt>
                <c:pt idx="5">
                  <c:v>0.10014650550513073</c:v>
                </c:pt>
                <c:pt idx="6">
                  <c:v>0.10380670526325378</c:v>
                </c:pt>
                <c:pt idx="7">
                  <c:v>0.10416462759868951</c:v>
                </c:pt>
                <c:pt idx="8">
                  <c:v>0.10240512940588148</c:v>
                </c:pt>
                <c:pt idx="9">
                  <c:v>0.10062952442454616</c:v>
                </c:pt>
                <c:pt idx="10">
                  <c:v>0.1018567045372782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'158'!$AU$4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21.5</c:v>
                </c:pt>
                <c:pt idx="2">
                  <c:v>43</c:v>
                </c:pt>
                <c:pt idx="3">
                  <c:v>64.5</c:v>
                </c:pt>
                <c:pt idx="4">
                  <c:v>86</c:v>
                </c:pt>
                <c:pt idx="5">
                  <c:v>107.5</c:v>
                </c:pt>
                <c:pt idx="6">
                  <c:v>129</c:v>
                </c:pt>
                <c:pt idx="7">
                  <c:v>150.5</c:v>
                </c:pt>
                <c:pt idx="8">
                  <c:v>172</c:v>
                </c:pt>
                <c:pt idx="9">
                  <c:v>193.5</c:v>
                </c:pt>
                <c:pt idx="10">
                  <c:v>215</c:v>
                </c:pt>
              </c:numCache>
            </c:numRef>
          </c:xVal>
          <c:yVal>
            <c:numRef>
              <c:f>'158'!$AU$16:$AU$26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0.22341184070735218</c:v>
                </c:pt>
                <c:pt idx="2">
                  <c:v>0.3712964132378157</c:v>
                </c:pt>
                <c:pt idx="3">
                  <c:v>0.47397184935079834</c:v>
                </c:pt>
                <c:pt idx="4">
                  <c:v>0.55390479945089499</c:v>
                </c:pt>
                <c:pt idx="5">
                  <c:v>0.617208046121825</c:v>
                </c:pt>
                <c:pt idx="6">
                  <c:v>0.65162833234865591</c:v>
                </c:pt>
                <c:pt idx="7">
                  <c:v>0.63124296722449003</c:v>
                </c:pt>
                <c:pt idx="8">
                  <c:v>0.52786508233300322</c:v>
                </c:pt>
                <c:pt idx="9">
                  <c:v>0.32905682829469252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60-4C44-8C32-EB4F066A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CF-4554-BD90-32D66DFE4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80-40C8-88CD-621B440E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'161'!$C$42:$C$91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16A-B42F-92BDD3D39B64}"/>
            </c:ext>
          </c:extLst>
        </c:ser>
        <c:ser>
          <c:idx val="1"/>
          <c:order val="1"/>
          <c:tx>
            <c:strRef>
              <c:f>'161'!$G$41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'161'!$G$42:$G$91</c:f>
              <c:numCache>
                <c:formatCode>0.000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16A-B42F-92BDD3D3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6-4EB3-9161-BA1ED6C5E3F6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'161'!$K$42:$K$91</c:f>
              <c:numCache>
                <c:formatCode>0.000</c:formatCode>
                <c:ptCount val="50"/>
                <c:pt idx="0">
                  <c:v>-5.401643862E-5</c:v>
                </c:pt>
                <c:pt idx="1">
                  <c:v>2.9114383586829263E-2</c:v>
                </c:pt>
                <c:pt idx="2">
                  <c:v>5.8022756471535687E-2</c:v>
                </c:pt>
                <c:pt idx="3">
                  <c:v>8.6485025454464542E-2</c:v>
                </c:pt>
                <c:pt idx="4">
                  <c:v>0.11433846033438531</c:v>
                </c:pt>
                <c:pt idx="5">
                  <c:v>0.14144330478639294</c:v>
                </c:pt>
                <c:pt idx="6">
                  <c:v>0.16768226558975516</c:v>
                </c:pt>
                <c:pt idx="7">
                  <c:v>0.19295986376709159</c:v>
                </c:pt>
                <c:pt idx="8">
                  <c:v>0.21720164763488828</c:v>
                </c:pt>
                <c:pt idx="9">
                  <c:v>0.24035326776533925</c:v>
                </c:pt>
                <c:pt idx="10">
                  <c:v>0.26237941385951991</c:v>
                </c:pt>
                <c:pt idx="11">
                  <c:v>0.28326261353189586</c:v>
                </c:pt>
                <c:pt idx="12">
                  <c:v>0.30300189300615699</c:v>
                </c:pt>
                <c:pt idx="13">
                  <c:v>0.32161129972238861</c:v>
                </c:pt>
                <c:pt idx="14">
                  <c:v>0.33911828685557066</c:v>
                </c:pt>
                <c:pt idx="15">
                  <c:v>0.35556195974540761</c:v>
                </c:pt>
                <c:pt idx="16">
                  <c:v>0.37099118423749422</c:v>
                </c:pt>
                <c:pt idx="17">
                  <c:v>0.38546255693580661</c:v>
                </c:pt>
                <c:pt idx="18">
                  <c:v>0.39903823736653082</c:v>
                </c:pt>
                <c:pt idx="19">
                  <c:v>0.41178364205321488</c:v>
                </c:pt>
                <c:pt idx="20">
                  <c:v>0.42376500050326643</c:v>
                </c:pt>
                <c:pt idx="21">
                  <c:v>0.43504677310576062</c:v>
                </c:pt>
                <c:pt idx="22">
                  <c:v>0.44568893094059875</c:v>
                </c:pt>
                <c:pt idx="23">
                  <c:v>0.45574409749898892</c:v>
                </c:pt>
                <c:pt idx="24">
                  <c:v>0.46525455231525975</c:v>
                </c:pt>
                <c:pt idx="25">
                  <c:v>0.47424909651000396</c:v>
                </c:pt>
                <c:pt idx="26">
                  <c:v>0.48273978024456071</c:v>
                </c:pt>
                <c:pt idx="27">
                  <c:v>0.49071849208681528</c:v>
                </c:pt>
                <c:pt idx="28">
                  <c:v>0.49815341028834337</c:v>
                </c:pt>
                <c:pt idx="29">
                  <c:v>0.50498531597288143</c:v>
                </c:pt>
                <c:pt idx="30">
                  <c:v>0.51112376823612804</c:v>
                </c:pt>
                <c:pt idx="31">
                  <c:v>0.51644314115687617</c:v>
                </c:pt>
                <c:pt idx="32">
                  <c:v>0.52077852271948211</c:v>
                </c:pt>
                <c:pt idx="33">
                  <c:v>0.52392147564765634</c:v>
                </c:pt>
                <c:pt idx="34">
                  <c:v>0.52561566014959471</c:v>
                </c:pt>
                <c:pt idx="35">
                  <c:v>0.52555231857443518</c:v>
                </c:pt>
                <c:pt idx="36">
                  <c:v>0.52336562198005121</c:v>
                </c:pt>
                <c:pt idx="37">
                  <c:v>0.51862787861217152</c:v>
                </c:pt>
                <c:pt idx="38">
                  <c:v>0.51084460429482947</c:v>
                </c:pt>
                <c:pt idx="39">
                  <c:v>0.49944945473215568</c:v>
                </c:pt>
                <c:pt idx="40">
                  <c:v>0.48379901972148703</c:v>
                </c:pt>
                <c:pt idx="41">
                  <c:v>0.46316747927781776</c:v>
                </c:pt>
                <c:pt idx="42">
                  <c:v>0.43674112166957568</c:v>
                </c:pt>
                <c:pt idx="43">
                  <c:v>0.40361272336573306</c:v>
                </c:pt>
                <c:pt idx="44">
                  <c:v>0.36277579089425671</c:v>
                </c:pt>
                <c:pt idx="45">
                  <c:v>0.31311866461184906</c:v>
                </c:pt>
                <c:pt idx="46">
                  <c:v>0.25341848438509712</c:v>
                </c:pt>
                <c:pt idx="47">
                  <c:v>0.18233501718287953</c:v>
                </c:pt>
                <c:pt idx="48">
                  <c:v>9.8404346580137206E-2</c:v>
                </c:pt>
                <c:pt idx="49">
                  <c:v>3.2424172980540787E-5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6-4EB3-9161-BA1ED6C5E3F6}"/>
            </c:ext>
          </c:extLst>
        </c:ser>
        <c:ser>
          <c:idx val="2"/>
          <c:order val="2"/>
          <c:tx>
            <c:strRef>
              <c:f>'161'!$N$41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'161'!$N$42:$N$91</c:f>
              <c:numCache>
                <c:formatCode>0.000</c:formatCode>
                <c:ptCount val="50"/>
                <c:pt idx="0">
                  <c:v>0</c:v>
                </c:pt>
                <c:pt idx="1">
                  <c:v>3.1264510202353012E-2</c:v>
                </c:pt>
                <c:pt idx="2">
                  <c:v>6.1307300132215595E-2</c:v>
                </c:pt>
                <c:pt idx="3">
                  <c:v>9.0313526677857456E-2</c:v>
                </c:pt>
                <c:pt idx="4">
                  <c:v>0.11835134809009587</c:v>
                </c:pt>
                <c:pt idx="5">
                  <c:v>0.14541703242188567</c:v>
                </c:pt>
                <c:pt idx="6">
                  <c:v>0.17146767358930684</c:v>
                </c:pt>
                <c:pt idx="7">
                  <c:v>0.19644525151455342</c:v>
                </c:pt>
                <c:pt idx="8">
                  <c:v>0.22029390442639846</c:v>
                </c:pt>
                <c:pt idx="9">
                  <c:v>0.24297149917984728</c:v>
                </c:pt>
                <c:pt idx="10">
                  <c:v>0.26445634711903199</c:v>
                </c:pt>
                <c:pt idx="11">
                  <c:v>0.28474990718111415</c:v>
                </c:pt>
                <c:pt idx="12">
                  <c:v>0.30387636457682488</c:v>
                </c:pt>
                <c:pt idx="13">
                  <c:v>0.32187998063907686</c:v>
                </c:pt>
                <c:pt idx="14">
                  <c:v>0.33882104674012703</c:v>
                </c:pt>
                <c:pt idx="15">
                  <c:v>0.35477115022364741</c:v>
                </c:pt>
                <c:pt idx="16">
                  <c:v>0.36980829893453565</c:v>
                </c:pt>
                <c:pt idx="17">
                  <c:v>0.38401228208360144</c:v>
                </c:pt>
                <c:pt idx="18">
                  <c:v>0.39746049190426042</c:v>
                </c:pt>
                <c:pt idx="19">
                  <c:v>0.41022430662151699</c:v>
                </c:pt>
                <c:pt idx="20">
                  <c:v>0.42236604561531194</c:v>
                </c:pt>
                <c:pt idx="21">
                  <c:v>0.43393645080663495</c:v>
                </c:pt>
                <c:pt idx="22">
                  <c:v>0.44497261899462554</c:v>
                </c:pt>
                <c:pt idx="23">
                  <c:v>0.45549630146152431</c:v>
                </c:pt>
                <c:pt idx="24">
                  <c:v>0.46551249304338416</c:v>
                </c:pt>
                <c:pt idx="25">
                  <c:v>0.47500824725928392</c:v>
                </c:pt>
                <c:pt idx="26">
                  <c:v>0.48395167222959939</c:v>
                </c:pt>
                <c:pt idx="27">
                  <c:v>0.49229108007677741</c:v>
                </c:pt>
                <c:pt idx="28">
                  <c:v>0.49995427691145483</c:v>
                </c:pt>
                <c:pt idx="29">
                  <c:v>0.50684798817716825</c:v>
                </c:pt>
                <c:pt idx="30">
                  <c:v>0.51285741177084276</c:v>
                </c:pt>
                <c:pt idx="31">
                  <c:v>0.51784587536996207</c:v>
                </c:pt>
                <c:pt idx="32">
                  <c:v>0.52165454072157857</c:v>
                </c:pt>
                <c:pt idx="33">
                  <c:v>0.52410204163538354</c:v>
                </c:pt>
                <c:pt idx="34">
                  <c:v>0.52498385856189622</c:v>
                </c:pt>
                <c:pt idx="35">
                  <c:v>0.5240711138603048</c:v>
                </c:pt>
                <c:pt idx="36">
                  <c:v>0.52110830796824392</c:v>
                </c:pt>
                <c:pt idx="37">
                  <c:v>0.51580929110206664</c:v>
                </c:pt>
                <c:pt idx="38">
                  <c:v>0.50785044865692719</c:v>
                </c:pt>
                <c:pt idx="39">
                  <c:v>0.49685961773764897</c:v>
                </c:pt>
                <c:pt idx="40">
                  <c:v>0.48239854798583803</c:v>
                </c:pt>
                <c:pt idx="41">
                  <c:v>0.46393558573307764</c:v>
                </c:pt>
                <c:pt idx="42">
                  <c:v>0.44080334110653924</c:v>
                </c:pt>
                <c:pt idx="43">
                  <c:v>0.41213269738858316</c:v>
                </c:pt>
                <c:pt idx="44">
                  <c:v>0.376748227084584</c:v>
                </c:pt>
                <c:pt idx="45">
                  <c:v>0.33299787453211471</c:v>
                </c:pt>
                <c:pt idx="46">
                  <c:v>0.2784648266428329</c:v>
                </c:pt>
                <c:pt idx="47">
                  <c:v>0.2094552466938587</c:v>
                </c:pt>
                <c:pt idx="48">
                  <c:v>0.12002816390896758</c:v>
                </c:pt>
                <c:pt idx="49">
                  <c:v>4.6917300126049157E-6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86-4EB3-9161-BA1ED6C5E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0.137374251192067</c:v>
                </c:pt>
                <c:pt idx="2">
                  <c:v>0.13804228106677299</c:v>
                </c:pt>
                <c:pt idx="3">
                  <c:v>0.13906074110976099</c:v>
                </c:pt>
                <c:pt idx="4">
                  <c:v>0.14035154917342799</c:v>
                </c:pt>
                <c:pt idx="5">
                  <c:v>0.141888103786042</c:v>
                </c:pt>
                <c:pt idx="6">
                  <c:v>0.143652596242416</c:v>
                </c:pt>
                <c:pt idx="7">
                  <c:v>0.14562960432653899</c:v>
                </c:pt>
                <c:pt idx="8">
                  <c:v>0.14780424325494801</c:v>
                </c:pt>
                <c:pt idx="9">
                  <c:v>0.15016135041509199</c:v>
                </c:pt>
                <c:pt idx="10">
                  <c:v>0.152684999124234</c:v>
                </c:pt>
                <c:pt idx="11">
                  <c:v>0.155358151318326</c:v>
                </c:pt>
                <c:pt idx="12">
                  <c:v>0.158162389825141</c:v>
                </c:pt>
                <c:pt idx="13">
                  <c:v>0.16107771283723801</c:v>
                </c:pt>
                <c:pt idx="14">
                  <c:v>0.16408238952128301</c:v>
                </c:pt>
                <c:pt idx="15">
                  <c:v>0.16715288308599099</c:v>
                </c:pt>
                <c:pt idx="16">
                  <c:v>0.17026385113471301</c:v>
                </c:pt>
                <c:pt idx="17">
                  <c:v>0.17338823435189299</c:v>
                </c:pt>
                <c:pt idx="18">
                  <c:v>0.17649744396605199</c:v>
                </c:pt>
                <c:pt idx="19">
                  <c:v>0.17956165605844099</c:v>
                </c:pt>
                <c:pt idx="20">
                  <c:v>0.18255021662773999</c:v>
                </c:pt>
                <c:pt idx="21">
                  <c:v>0.18543215543844699</c:v>
                </c:pt>
                <c:pt idx="22">
                  <c:v>0.188176799314349</c:v>
                </c:pt>
                <c:pt idx="23">
                  <c:v>0.19075446716986799</c:v>
                </c:pt>
                <c:pt idx="24">
                  <c:v>0.19313722043864201</c:v>
                </c:pt>
                <c:pt idx="25">
                  <c:v>0.19529963461760699</c:v>
                </c:pt>
                <c:pt idx="26">
                  <c:v>0.197219551474386</c:v>
                </c:pt>
                <c:pt idx="27">
                  <c:v>0.19887876811369701</c:v>
                </c:pt>
                <c:pt idx="28">
                  <c:v>0.20026361939704801</c:v>
                </c:pt>
                <c:pt idx="29">
                  <c:v>0.201365414593939</c:v>
                </c:pt>
                <c:pt idx="30">
                  <c:v>0.202180697515569</c:v>
                </c:pt>
                <c:pt idx="31">
                  <c:v>0.20271131106800699</c:v>
                </c:pt>
                <c:pt idx="32">
                  <c:v>0.20296426097025</c:v>
                </c:pt>
                <c:pt idx="33">
                  <c:v>0.20295138777855601</c:v>
                </c:pt>
                <c:pt idx="34">
                  <c:v>0.20268886970842701</c:v>
                </c:pt>
                <c:pt idx="35">
                  <c:v>0.20219658958562201</c:v>
                </c:pt>
                <c:pt idx="36">
                  <c:v>0.201497406522328</c:v>
                </c:pt>
                <c:pt idx="37">
                  <c:v>0.200616376079956</c:v>
                </c:pt>
                <c:pt idx="38">
                  <c:v>0.19957996179165</c:v>
                </c:pt>
                <c:pt idx="39">
                  <c:v>0.19841527650891</c:v>
                </c:pt>
                <c:pt idx="40">
                  <c:v>0.19714938495753001</c:v>
                </c:pt>
                <c:pt idx="41">
                  <c:v>0.19580869006711901</c:v>
                </c:pt>
                <c:pt idx="42">
                  <c:v>0.19441841576046401</c:v>
                </c:pt>
                <c:pt idx="43">
                  <c:v>0.19300218780290401</c:v>
                </c:pt>
                <c:pt idx="44">
                  <c:v>0.191581699320129</c:v>
                </c:pt>
                <c:pt idx="45">
                  <c:v>0.190176416512745</c:v>
                </c:pt>
                <c:pt idx="46">
                  <c:v>0.188803174418571</c:v>
                </c:pt>
                <c:pt idx="47">
                  <c:v>0.187474951091091</c:v>
                </c:pt>
                <c:pt idx="48">
                  <c:v>0.18619251862282499</c:v>
                </c:pt>
                <c:pt idx="49">
                  <c:v>6.5593454757914701E-4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8-464F-A0C2-BF4FE5DB5E99}"/>
            </c:ext>
          </c:extLst>
        </c:ser>
        <c:ser>
          <c:idx val="1"/>
          <c:order val="1"/>
          <c:tx>
            <c:strRef>
              <c:f>'161'!$I$41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'161'!$I$42:$I$91</c:f>
              <c:numCache>
                <c:formatCode>0.000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8-464F-A0C2-BF4FE5DB5E99}"/>
            </c:ext>
          </c:extLst>
        </c:ser>
        <c:ser>
          <c:idx val="2"/>
          <c:order val="2"/>
          <c:tx>
            <c:strRef>
              <c:f>'161'!$M$41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'161'!$B$42:$B$91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30.612244897959101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61.224489795918302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97.959183673469298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0.13750983589025512</c:v>
                </c:pt>
                <c:pt idx="2">
                  <c:v>0.13817852509251422</c:v>
                </c:pt>
                <c:pt idx="3">
                  <c:v>0.13919799032822464</c:v>
                </c:pt>
                <c:pt idx="4">
                  <c:v>0.14049007238480038</c:v>
                </c:pt>
                <c:pt idx="5">
                  <c:v>0.14202814353556825</c:v>
                </c:pt>
                <c:pt idx="6">
                  <c:v>0.14379437749863047</c:v>
                </c:pt>
                <c:pt idx="7">
                  <c:v>0.14577333683666061</c:v>
                </c:pt>
                <c:pt idx="8">
                  <c:v>0.1479501220753151</c:v>
                </c:pt>
                <c:pt idx="9">
                  <c:v>0.15030955563694995</c:v>
                </c:pt>
                <c:pt idx="10">
                  <c:v>0.1528356951196225</c:v>
                </c:pt>
                <c:pt idx="11">
                  <c:v>0.15551148564317022</c:v>
                </c:pt>
                <c:pt idx="12">
                  <c:v>0.15831849185811364</c:v>
                </c:pt>
                <c:pt idx="13">
                  <c:v>0.16123669221576262</c:v>
                </c:pt>
                <c:pt idx="14">
                  <c:v>0.16424433443503689</c:v>
                </c:pt>
                <c:pt idx="15">
                  <c:v>0.16731785849446709</c:v>
                </c:pt>
                <c:pt idx="16">
                  <c:v>0.17043189698514094</c:v>
                </c:pt>
                <c:pt idx="17">
                  <c:v>0.17355936388468346</c:v>
                </c:pt>
                <c:pt idx="18">
                  <c:v>0.17667164220526702</c:v>
                </c:pt>
                <c:pt idx="19">
                  <c:v>0.17973887859273291</c:v>
                </c:pt>
                <c:pt idx="20">
                  <c:v>0.18273038879108827</c:v>
                </c:pt>
                <c:pt idx="21">
                  <c:v>0.18561517199803723</c:v>
                </c:pt>
                <c:pt idx="22">
                  <c:v>0.18836252476376658</c:v>
                </c:pt>
                <c:pt idx="23">
                  <c:v>0.19094273670826278</c:v>
                </c:pt>
                <c:pt idx="24">
                  <c:v>0.19332784169054912</c:v>
                </c:pt>
                <c:pt idx="25">
                  <c:v>0.1954923901142597</c:v>
                </c:pt>
                <c:pt idx="26">
                  <c:v>0.19741420187743636</c:v>
                </c:pt>
                <c:pt idx="27">
                  <c:v>0.1990750561190297</c:v>
                </c:pt>
                <c:pt idx="28">
                  <c:v>0.20046127421342225</c:v>
                </c:pt>
                <c:pt idx="29">
                  <c:v>0.20156415685259543</c:v>
                </c:pt>
                <c:pt idx="30">
                  <c:v>0.20238024443658328</c:v>
                </c:pt>
                <c:pt idx="31">
                  <c:v>0.20291138169035325</c:v>
                </c:pt>
                <c:pt idx="32">
                  <c:v>0.20316458124735948</c:v>
                </c:pt>
                <c:pt idx="33">
                  <c:v>0.2031516953501705</c:v>
                </c:pt>
                <c:pt idx="34">
                  <c:v>0.20288891818175347</c:v>
                </c:pt>
                <c:pt idx="35">
                  <c:v>0.20239615219168353</c:v>
                </c:pt>
                <c:pt idx="36">
                  <c:v>0.20169627905347537</c:v>
                </c:pt>
                <c:pt idx="37">
                  <c:v>0.2008143790577053</c:v>
                </c:pt>
                <c:pt idx="38">
                  <c:v>0.19977694185631906</c:v>
                </c:pt>
                <c:pt idx="39">
                  <c:v>0.19861110706047022</c:v>
                </c:pt>
                <c:pt idx="40">
                  <c:v>0.19734396610811158</c:v>
                </c:pt>
                <c:pt idx="41">
                  <c:v>0.19600194798783474</c:v>
                </c:pt>
                <c:pt idx="42">
                  <c:v>0.19461030151776054</c:v>
                </c:pt>
                <c:pt idx="43">
                  <c:v>0.1931926757812249</c:v>
                </c:pt>
                <c:pt idx="44">
                  <c:v>0.19177078531444483</c:v>
                </c:pt>
                <c:pt idx="45">
                  <c:v>0.19036411553065383</c:v>
                </c:pt>
                <c:pt idx="46">
                  <c:v>0.1889895180833974</c:v>
                </c:pt>
                <c:pt idx="47">
                  <c:v>0.18765998383514773</c:v>
                </c:pt>
                <c:pt idx="48">
                  <c:v>0.18637628564046707</c:v>
                </c:pt>
                <c:pt idx="49">
                  <c:v>2.0249766671410104E-2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8-464F-A0C2-BF4FE5D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E4-407B-83D0-C6948B4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F-466E-8BC3-97C701D17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'161'!$Q$42:$Q$91</c:f>
              <c:numCache>
                <c:formatCode>General</c:formatCode>
                <c:ptCount val="50"/>
                <c:pt idx="0">
                  <c:v>5.7498930829999999</c:v>
                </c:pt>
                <c:pt idx="1">
                  <c:v>5.7591835991037303</c:v>
                </c:pt>
                <c:pt idx="2">
                  <c:v>5.7667148130775798</c:v>
                </c:pt>
                <c:pt idx="3">
                  <c:v>5.7726096156633098</c:v>
                </c:pt>
                <c:pt idx="4">
                  <c:v>5.7769358522457104</c:v>
                </c:pt>
                <c:pt idx="5">
                  <c:v>5.7797141708506601</c:v>
                </c:pt>
                <c:pt idx="6">
                  <c:v>5.7809251762882203</c:v>
                </c:pt>
                <c:pt idx="7">
                  <c:v>5.7805158904406602</c:v>
                </c:pt>
                <c:pt idx="8">
                  <c:v>5.7784055186955099</c:v>
                </c:pt>
                <c:pt idx="9">
                  <c:v>5.7744905225236396</c:v>
                </c:pt>
                <c:pt idx="10">
                  <c:v>5.7686489982022602</c:v>
                </c:pt>
                <c:pt idx="11">
                  <c:v>5.7607443616830096</c:v>
                </c:pt>
                <c:pt idx="12">
                  <c:v>5.75062833960496</c:v>
                </c:pt>
                <c:pt idx="13">
                  <c:v>5.7381432664526404</c:v>
                </c:pt>
                <c:pt idx="14">
                  <c:v>5.7231236878591103</c:v>
                </c:pt>
                <c:pt idx="15">
                  <c:v>5.7053972700539299</c:v>
                </c:pt>
                <c:pt idx="16">
                  <c:v>5.6847850154562298</c:v>
                </c:pt>
                <c:pt idx="17">
                  <c:v>5.6611007844126897</c:v>
                </c:pt>
                <c:pt idx="18">
                  <c:v>5.63415012308056</c:v>
                </c:pt>
                <c:pt idx="19">
                  <c:v>5.6037283974556997</c:v>
                </c:pt>
                <c:pt idx="20">
                  <c:v>5.56961823354552</c:v>
                </c:pt>
                <c:pt idx="21">
                  <c:v>5.5315862636870499</c:v>
                </c:pt>
                <c:pt idx="22">
                  <c:v>5.48937917900989</c:v>
                </c:pt>
                <c:pt idx="23">
                  <c:v>5.4427190880441998</c:v>
                </c:pt>
                <c:pt idx="24">
                  <c:v>5.39129818147374</c:v>
                </c:pt>
                <c:pt idx="25">
                  <c:v>5.3347727030337797</c:v>
                </c:pt>
                <c:pt idx="26">
                  <c:v>5.2727562265541303</c:v>
                </c:pt>
                <c:pt idx="27">
                  <c:v>5.2048122391471097</c:v>
                </c:pt>
                <c:pt idx="28">
                  <c:v>5.1304460305405</c:v>
                </c:pt>
                <c:pt idx="29">
                  <c:v>5.0490958885555299</c:v>
                </c:pt>
                <c:pt idx="30">
                  <c:v>4.9601236007298199</c:v>
                </c:pt>
                <c:pt idx="31">
                  <c:v>4.86280426208537</c:v>
                </c:pt>
                <c:pt idx="32">
                  <c:v>4.75631538904147</c:v>
                </c:pt>
                <c:pt idx="33">
                  <c:v>4.6397253394727196</c:v>
                </c:pt>
                <c:pt idx="34">
                  <c:v>4.5119810389118999</c:v>
                </c:pt>
                <c:pt idx="35">
                  <c:v>4.3718950128979701</c:v>
                </c:pt>
                <c:pt idx="36">
                  <c:v>4.2181317254689699</c:v>
                </c:pt>
                <c:pt idx="37">
                  <c:v>4.0491932237999801</c:v>
                </c:pt>
                <c:pt idx="38">
                  <c:v>3.8634040889860501</c:v>
                </c:pt>
                <c:pt idx="39">
                  <c:v>3.6588956929701202</c:v>
                </c:pt>
                <c:pt idx="40">
                  <c:v>3.4335897616159201</c:v>
                </c:pt>
                <c:pt idx="41">
                  <c:v>3.1851812439259302</c:v>
                </c:pt>
                <c:pt idx="42">
                  <c:v>2.9111204874042702</c:v>
                </c:pt>
                <c:pt idx="43">
                  <c:v>2.6085947195646102</c:v>
                </c:pt>
                <c:pt idx="44">
                  <c:v>2.2745088355831</c:v>
                </c:pt>
                <c:pt idx="45">
                  <c:v>1.90546549209622</c:v>
                </c:pt>
                <c:pt idx="46">
                  <c:v>1.4977445071437501</c:v>
                </c:pt>
                <c:pt idx="47">
                  <c:v>1.04728156625659</c:v>
                </c:pt>
                <c:pt idx="48">
                  <c:v>0.54964623468970997</c:v>
                </c:pt>
                <c:pt idx="49">
                  <c:v>1.92757999961656E-5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5-4D8F-BED0-60B0DB09A590}"/>
            </c:ext>
          </c:extLst>
        </c:ser>
        <c:ser>
          <c:idx val="1"/>
          <c:order val="1"/>
          <c:tx>
            <c:strRef>
              <c:f>'161'!$T$41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'161'!$T$42:$T$91</c:f>
              <c:numCache>
                <c:formatCode>0.00</c:formatCode>
                <c:ptCount val="50"/>
                <c:pt idx="0">
                  <c:v>5.7498930829999999</c:v>
                </c:pt>
                <c:pt idx="1">
                  <c:v>5.7591835991037312</c:v>
                </c:pt>
                <c:pt idx="2">
                  <c:v>5.7667148130775852</c:v>
                </c:pt>
                <c:pt idx="3">
                  <c:v>5.7726096156633151</c:v>
                </c:pt>
                <c:pt idx="4">
                  <c:v>5.7769358522457104</c:v>
                </c:pt>
                <c:pt idx="5">
                  <c:v>5.7797141708506645</c:v>
                </c:pt>
                <c:pt idx="6">
                  <c:v>5.7809251762882257</c:v>
                </c:pt>
                <c:pt idx="7">
                  <c:v>5.7805158904406611</c:v>
                </c:pt>
                <c:pt idx="8">
                  <c:v>5.7784055186955152</c:v>
                </c:pt>
                <c:pt idx="9">
                  <c:v>5.7744905225236423</c:v>
                </c:pt>
                <c:pt idx="10">
                  <c:v>5.7686489982022673</c:v>
                </c:pt>
                <c:pt idx="11">
                  <c:v>5.7607443616830167</c:v>
                </c:pt>
                <c:pt idx="12">
                  <c:v>5.7506283396049627</c:v>
                </c:pt>
                <c:pt idx="13">
                  <c:v>5.7381432664526448</c:v>
                </c:pt>
                <c:pt idx="14">
                  <c:v>5.7231236878591103</c:v>
                </c:pt>
                <c:pt idx="15">
                  <c:v>5.7053972700539344</c:v>
                </c:pt>
                <c:pt idx="16">
                  <c:v>5.6847850154562343</c:v>
                </c:pt>
                <c:pt idx="17">
                  <c:v>5.6611007844126915</c:v>
                </c:pt>
                <c:pt idx="18">
                  <c:v>5.634150123080568</c:v>
                </c:pt>
                <c:pt idx="19">
                  <c:v>5.6037283974557068</c:v>
                </c:pt>
                <c:pt idx="20">
                  <c:v>5.5696182335455289</c:v>
                </c:pt>
                <c:pt idx="21">
                  <c:v>5.531586263687057</c:v>
                </c:pt>
                <c:pt idx="22">
                  <c:v>5.4893791790098918</c:v>
                </c:pt>
                <c:pt idx="23">
                  <c:v>5.4427190880442096</c:v>
                </c:pt>
                <c:pt idx="24">
                  <c:v>5.3912981814737435</c:v>
                </c:pt>
                <c:pt idx="25">
                  <c:v>5.3347727030337921</c:v>
                </c:pt>
                <c:pt idx="26">
                  <c:v>5.2727562265541446</c:v>
                </c:pt>
                <c:pt idx="27">
                  <c:v>5.2048122391471239</c:v>
                </c:pt>
                <c:pt idx="28">
                  <c:v>5.1304460305405133</c:v>
                </c:pt>
                <c:pt idx="29">
                  <c:v>5.0490958885555397</c:v>
                </c:pt>
                <c:pt idx="30">
                  <c:v>4.9601236007298262</c:v>
                </c:pt>
                <c:pt idx="31">
                  <c:v>4.8628042620853869</c:v>
                </c:pt>
                <c:pt idx="32">
                  <c:v>4.756315389041494</c:v>
                </c:pt>
                <c:pt idx="33">
                  <c:v>4.6397253394727391</c:v>
                </c:pt>
                <c:pt idx="34">
                  <c:v>4.5119810389119195</c:v>
                </c:pt>
                <c:pt idx="35">
                  <c:v>4.3718950128979834</c:v>
                </c:pt>
                <c:pt idx="36">
                  <c:v>4.2181317254689805</c:v>
                </c:pt>
                <c:pt idx="37">
                  <c:v>4.0491932238000174</c:v>
                </c:pt>
                <c:pt idx="38">
                  <c:v>3.8634040889860866</c:v>
                </c:pt>
                <c:pt idx="39">
                  <c:v>3.6588956929701464</c:v>
                </c:pt>
                <c:pt idx="40">
                  <c:v>3.433589761615941</c:v>
                </c:pt>
                <c:pt idx="41">
                  <c:v>3.1851812439259461</c:v>
                </c:pt>
                <c:pt idx="42">
                  <c:v>2.9111204874042782</c:v>
                </c:pt>
                <c:pt idx="43">
                  <c:v>2.6085947195646151</c:v>
                </c:pt>
                <c:pt idx="44">
                  <c:v>2.2745088355831493</c:v>
                </c:pt>
                <c:pt idx="45">
                  <c:v>1.9054654920962655</c:v>
                </c:pt>
                <c:pt idx="46">
                  <c:v>1.4977445071437891</c:v>
                </c:pt>
                <c:pt idx="47">
                  <c:v>1.0472815662566202</c:v>
                </c:pt>
                <c:pt idx="48">
                  <c:v>0.5496462346897264</c:v>
                </c:pt>
                <c:pt idx="49">
                  <c:v>1.9275799997942045E-5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45-4D8F-BED0-60B0DB09A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'161'!$S$42:$S$91</c:f>
              <c:numCache>
                <c:formatCode>General</c:formatCode>
                <c:ptCount val="50"/>
                <c:pt idx="0">
                  <c:v>0.12499232840000001</c:v>
                </c:pt>
                <c:pt idx="1">
                  <c:v>0.12805299309533144</c:v>
                </c:pt>
                <c:pt idx="2">
                  <c:v>0.13077559921491178</c:v>
                </c:pt>
                <c:pt idx="3">
                  <c:v>0.13329721670251593</c:v>
                </c:pt>
                <c:pt idx="4">
                  <c:v>0.13572653652002359</c:v>
                </c:pt>
                <c:pt idx="5">
                  <c:v>0.13814702211818419</c:v>
                </c:pt>
                <c:pt idx="6">
                  <c:v>0.14061989932744115</c:v>
                </c:pt>
                <c:pt idx="7">
                  <c:v>0.14318698466881766</c:v>
                </c:pt>
                <c:pt idx="8">
                  <c:v>0.14587335208486352</c:v>
                </c:pt>
                <c:pt idx="9">
                  <c:v>0.1486898380906623</c:v>
                </c:pt>
                <c:pt idx="10">
                  <c:v>0.1516353853448992</c:v>
                </c:pt>
                <c:pt idx="11">
                  <c:v>0.15469922464099023</c:v>
                </c:pt>
                <c:pt idx="12">
                  <c:v>0.15786289531827175</c:v>
                </c:pt>
                <c:pt idx="13">
                  <c:v>0.16110210409325093</c:v>
                </c:pt>
                <c:pt idx="14">
                  <c:v>0.16438842231091749</c:v>
                </c:pt>
                <c:pt idx="15">
                  <c:v>0.16769082161611476</c:v>
                </c:pt>
                <c:pt idx="16">
                  <c:v>0.1709770480449736</c:v>
                </c:pt>
                <c:pt idx="17">
                  <c:v>0.17421483453640568</c:v>
                </c:pt>
                <c:pt idx="18">
                  <c:v>0.17737295186365781</c:v>
                </c:pt>
                <c:pt idx="19">
                  <c:v>0.18042209798592668</c:v>
                </c:pt>
                <c:pt idx="20">
                  <c:v>0.18333562582003721</c:v>
                </c:pt>
                <c:pt idx="21">
                  <c:v>0.18609010943217619</c:v>
                </c:pt>
                <c:pt idx="22">
                  <c:v>0.18866574864969202</c:v>
                </c:pt>
                <c:pt idx="23">
                  <c:v>0.19104661209295226</c:v>
                </c:pt>
                <c:pt idx="24">
                  <c:v>0.19322071862726384</c:v>
                </c:pt>
                <c:pt idx="25">
                  <c:v>0.19517995723485171</c:v>
                </c:pt>
                <c:pt idx="26">
                  <c:v>0.19691984530690143</c:v>
                </c:pt>
                <c:pt idx="27">
                  <c:v>0.198439125355659</c:v>
                </c:pt>
                <c:pt idx="28">
                  <c:v>0.19973920014659458</c:v>
                </c:pt>
                <c:pt idx="29">
                  <c:v>0.20082340625062481</c:v>
                </c:pt>
                <c:pt idx="30">
                  <c:v>0.20169612601639705</c:v>
                </c:pt>
                <c:pt idx="31">
                  <c:v>0.20236173796263551</c:v>
                </c:pt>
                <c:pt idx="32">
                  <c:v>0.20282340559054474</c:v>
                </c:pt>
                <c:pt idx="33">
                  <c:v>0.20308170461627656</c:v>
                </c:pt>
                <c:pt idx="34">
                  <c:v>0.20313308862345963</c:v>
                </c:pt>
                <c:pt idx="35">
                  <c:v>0.20296819313578351</c:v>
                </c:pt>
                <c:pt idx="36">
                  <c:v>0.20256997810965038</c:v>
                </c:pt>
                <c:pt idx="37">
                  <c:v>0.20191170884688414</c:v>
                </c:pt>
                <c:pt idx="38">
                  <c:v>0.2009547753274992</c:v>
                </c:pt>
                <c:pt idx="39">
                  <c:v>0.19964634996253425</c:v>
                </c:pt>
                <c:pt idx="40">
                  <c:v>0.19791688376694208</c:v>
                </c:pt>
                <c:pt idx="41">
                  <c:v>0.19567744095254216</c:v>
                </c:pt>
                <c:pt idx="42">
                  <c:v>0.19281687194103755</c:v>
                </c:pt>
                <c:pt idx="43">
                  <c:v>0.18919882479708666</c:v>
                </c:pt>
                <c:pt idx="44">
                  <c:v>0.1846585950814342</c:v>
                </c:pt>
                <c:pt idx="45">
                  <c:v>0.17899981412411559</c:v>
                </c:pt>
                <c:pt idx="46">
                  <c:v>0.17199097571771244</c:v>
                </c:pt>
                <c:pt idx="47">
                  <c:v>0.16336180123065788</c:v>
                </c:pt>
                <c:pt idx="48">
                  <c:v>0.15279944314063551</c:v>
                </c:pt>
                <c:pt idx="49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'161'!$U$42:$U$91</c:f>
              <c:numCache>
                <c:formatCode>0.00</c:formatCode>
                <c:ptCount val="50"/>
                <c:pt idx="0">
                  <c:v>124.99232840000001</c:v>
                </c:pt>
                <c:pt idx="1">
                  <c:v>128.05299309533143</c:v>
                </c:pt>
                <c:pt idx="2">
                  <c:v>130.77559921491178</c:v>
                </c:pt>
                <c:pt idx="3">
                  <c:v>133.29721670251593</c:v>
                </c:pt>
                <c:pt idx="4">
                  <c:v>135.72653652002359</c:v>
                </c:pt>
                <c:pt idx="5">
                  <c:v>138.1470221181842</c:v>
                </c:pt>
                <c:pt idx="6">
                  <c:v>140.61989932744115</c:v>
                </c:pt>
                <c:pt idx="7">
                  <c:v>143.18698466881764</c:v>
                </c:pt>
                <c:pt idx="8">
                  <c:v>145.87335208486351</c:v>
                </c:pt>
                <c:pt idx="9">
                  <c:v>148.68983809066231</c:v>
                </c:pt>
                <c:pt idx="10">
                  <c:v>151.63538534489916</c:v>
                </c:pt>
                <c:pt idx="11">
                  <c:v>154.69922464099022</c:v>
                </c:pt>
                <c:pt idx="12">
                  <c:v>157.86289531827174</c:v>
                </c:pt>
                <c:pt idx="13">
                  <c:v>161.10210409325094</c:v>
                </c:pt>
                <c:pt idx="14">
                  <c:v>164.38842231091749</c:v>
                </c:pt>
                <c:pt idx="15">
                  <c:v>167.69082161611476</c:v>
                </c:pt>
                <c:pt idx="16">
                  <c:v>170.97704804497366</c:v>
                </c:pt>
                <c:pt idx="17">
                  <c:v>174.21483453640568</c:v>
                </c:pt>
                <c:pt idx="18">
                  <c:v>177.37295186365782</c:v>
                </c:pt>
                <c:pt idx="19">
                  <c:v>180.42209798592668</c:v>
                </c:pt>
                <c:pt idx="20">
                  <c:v>183.33562582003719</c:v>
                </c:pt>
                <c:pt idx="21">
                  <c:v>186.09010943217618</c:v>
                </c:pt>
                <c:pt idx="22">
                  <c:v>188.66574864969201</c:v>
                </c:pt>
                <c:pt idx="23">
                  <c:v>191.04661209295227</c:v>
                </c:pt>
                <c:pt idx="24">
                  <c:v>193.22071862726384</c:v>
                </c:pt>
                <c:pt idx="25">
                  <c:v>195.17995723485171</c:v>
                </c:pt>
                <c:pt idx="26">
                  <c:v>196.91984530690144</c:v>
                </c:pt>
                <c:pt idx="27">
                  <c:v>198.439125355659</c:v>
                </c:pt>
                <c:pt idx="28">
                  <c:v>199.73920014659458</c:v>
                </c:pt>
                <c:pt idx="29">
                  <c:v>200.8234062506248</c:v>
                </c:pt>
                <c:pt idx="30">
                  <c:v>201.69612601639705</c:v>
                </c:pt>
                <c:pt idx="31">
                  <c:v>202.36173796263552</c:v>
                </c:pt>
                <c:pt idx="32">
                  <c:v>202.82340559054472</c:v>
                </c:pt>
                <c:pt idx="33">
                  <c:v>203.08170461627657</c:v>
                </c:pt>
                <c:pt idx="34">
                  <c:v>203.13308862345963</c:v>
                </c:pt>
                <c:pt idx="35">
                  <c:v>202.96819313578351</c:v>
                </c:pt>
                <c:pt idx="36">
                  <c:v>202.56997810965038</c:v>
                </c:pt>
                <c:pt idx="37">
                  <c:v>201.91170884688415</c:v>
                </c:pt>
                <c:pt idx="38">
                  <c:v>200.95477532749919</c:v>
                </c:pt>
                <c:pt idx="39">
                  <c:v>199.64634996253426</c:v>
                </c:pt>
                <c:pt idx="40">
                  <c:v>197.91688376694208</c:v>
                </c:pt>
                <c:pt idx="41">
                  <c:v>195.67744095254216</c:v>
                </c:pt>
                <c:pt idx="42">
                  <c:v>192.81687194103756</c:v>
                </c:pt>
                <c:pt idx="43">
                  <c:v>189.19882479708667</c:v>
                </c:pt>
                <c:pt idx="44">
                  <c:v>184.65859508143421</c:v>
                </c:pt>
                <c:pt idx="45">
                  <c:v>178.99981412411557</c:v>
                </c:pt>
                <c:pt idx="46">
                  <c:v>171.99097571771244</c:v>
                </c:pt>
                <c:pt idx="47">
                  <c:v>163.36180123065787</c:v>
                </c:pt>
                <c:pt idx="48">
                  <c:v>152.7994431406355</c:v>
                </c:pt>
                <c:pt idx="49">
                  <c:v>139.94452698799842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3C-4D35-9B46-DD6B63AF3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2.91143835868292E-2</c:v>
                </c:pt>
                <c:pt idx="2">
                  <c:v>5.8022756471535999E-2</c:v>
                </c:pt>
                <c:pt idx="3">
                  <c:v>8.6485025454464501E-2</c:v>
                </c:pt>
                <c:pt idx="4">
                  <c:v>0.11433846033438499</c:v>
                </c:pt>
                <c:pt idx="5">
                  <c:v>0.141443304786393</c:v>
                </c:pt>
                <c:pt idx="6">
                  <c:v>0.16768226558975499</c:v>
                </c:pt>
                <c:pt idx="7">
                  <c:v>0.19295986376709101</c:v>
                </c:pt>
                <c:pt idx="8">
                  <c:v>0.217201647634888</c:v>
                </c:pt>
                <c:pt idx="9">
                  <c:v>0.240353267765339</c:v>
                </c:pt>
                <c:pt idx="10">
                  <c:v>0.26237941385952002</c:v>
                </c:pt>
                <c:pt idx="11">
                  <c:v>0.28326261353189502</c:v>
                </c:pt>
                <c:pt idx="12">
                  <c:v>0.30300189300615699</c:v>
                </c:pt>
                <c:pt idx="13">
                  <c:v>0.321611299722388</c:v>
                </c:pt>
                <c:pt idx="14">
                  <c:v>0.33911828685556999</c:v>
                </c:pt>
                <c:pt idx="15">
                  <c:v>0.355561959745407</c:v>
                </c:pt>
                <c:pt idx="16">
                  <c:v>0.370991184237494</c:v>
                </c:pt>
                <c:pt idx="17">
                  <c:v>0.385462556935807</c:v>
                </c:pt>
                <c:pt idx="18">
                  <c:v>0.39903823736653099</c:v>
                </c:pt>
                <c:pt idx="19">
                  <c:v>0.41178364205321599</c:v>
                </c:pt>
                <c:pt idx="20">
                  <c:v>0.42376500050326699</c:v>
                </c:pt>
                <c:pt idx="21">
                  <c:v>0.43504677310576101</c:v>
                </c:pt>
                <c:pt idx="22">
                  <c:v>0.44568893094059903</c:v>
                </c:pt>
                <c:pt idx="23">
                  <c:v>0.45574409749898898</c:v>
                </c:pt>
                <c:pt idx="24">
                  <c:v>0.46525455231525997</c:v>
                </c:pt>
                <c:pt idx="25">
                  <c:v>0.47424909651000502</c:v>
                </c:pt>
                <c:pt idx="26">
                  <c:v>0.48273978024456099</c:v>
                </c:pt>
                <c:pt idx="27">
                  <c:v>0.490718492086816</c:v>
                </c:pt>
                <c:pt idx="28">
                  <c:v>0.49815341028834298</c:v>
                </c:pt>
                <c:pt idx="29">
                  <c:v>0.50498531597288099</c:v>
                </c:pt>
                <c:pt idx="30">
                  <c:v>0.51112376823612804</c:v>
                </c:pt>
                <c:pt idx="31">
                  <c:v>0.51644314115687595</c:v>
                </c:pt>
                <c:pt idx="32">
                  <c:v>0.520778522719482</c:v>
                </c:pt>
                <c:pt idx="33">
                  <c:v>0.52392147564765601</c:v>
                </c:pt>
                <c:pt idx="34">
                  <c:v>0.52561566014959404</c:v>
                </c:pt>
                <c:pt idx="35">
                  <c:v>0.52555231857443496</c:v>
                </c:pt>
                <c:pt idx="36">
                  <c:v>0.52336562198005099</c:v>
                </c:pt>
                <c:pt idx="37">
                  <c:v>0.51862787861216997</c:v>
                </c:pt>
                <c:pt idx="38">
                  <c:v>0.51084460429482803</c:v>
                </c:pt>
                <c:pt idx="39">
                  <c:v>0.49944945473215302</c:v>
                </c:pt>
                <c:pt idx="40">
                  <c:v>0.48379901972148498</c:v>
                </c:pt>
                <c:pt idx="41">
                  <c:v>0.46316747927781599</c:v>
                </c:pt>
                <c:pt idx="42">
                  <c:v>0.43674112166957402</c:v>
                </c:pt>
                <c:pt idx="43">
                  <c:v>0.40361272336573301</c:v>
                </c:pt>
                <c:pt idx="44">
                  <c:v>0.36277579089424999</c:v>
                </c:pt>
                <c:pt idx="45">
                  <c:v>0.31311866461184301</c:v>
                </c:pt>
                <c:pt idx="46">
                  <c:v>0.25341848438509201</c:v>
                </c:pt>
                <c:pt idx="47">
                  <c:v>0.18233501718287501</c:v>
                </c:pt>
                <c:pt idx="48">
                  <c:v>9.84043465801374E-2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'161'!$P$42:$P$91</c:f>
              <c:numCache>
                <c:formatCode>0</c:formatCode>
                <c:ptCount val="50"/>
                <c:pt idx="0">
                  <c:v>0</c:v>
                </c:pt>
                <c:pt idx="1">
                  <c:v>6.1224489795918302</c:v>
                </c:pt>
                <c:pt idx="2">
                  <c:v>12.2448979591836</c:v>
                </c:pt>
                <c:pt idx="3">
                  <c:v>18.367346938775501</c:v>
                </c:pt>
                <c:pt idx="4">
                  <c:v>24.4897959183673</c:v>
                </c:pt>
                <c:pt idx="5">
                  <c:v>30.612244897959098</c:v>
                </c:pt>
                <c:pt idx="6">
                  <c:v>36.734693877551003</c:v>
                </c:pt>
                <c:pt idx="7">
                  <c:v>42.857142857142797</c:v>
                </c:pt>
                <c:pt idx="8">
                  <c:v>48.979591836734599</c:v>
                </c:pt>
                <c:pt idx="9">
                  <c:v>55.1020408163265</c:v>
                </c:pt>
                <c:pt idx="10">
                  <c:v>61.224489795918295</c:v>
                </c:pt>
                <c:pt idx="11">
                  <c:v>67.346938775510196</c:v>
                </c:pt>
                <c:pt idx="12">
                  <c:v>73.469387755102005</c:v>
                </c:pt>
                <c:pt idx="13">
                  <c:v>79.5918367346938</c:v>
                </c:pt>
                <c:pt idx="14">
                  <c:v>85.714285714285694</c:v>
                </c:pt>
                <c:pt idx="15">
                  <c:v>91.836734693877503</c:v>
                </c:pt>
                <c:pt idx="16">
                  <c:v>97.959183673469312</c:v>
                </c:pt>
                <c:pt idx="17">
                  <c:v>104.08163265306101</c:v>
                </c:pt>
                <c:pt idx="18">
                  <c:v>110.204081632653</c:v>
                </c:pt>
                <c:pt idx="19">
                  <c:v>116.326530612244</c:v>
                </c:pt>
                <c:pt idx="20">
                  <c:v>122.44897959183599</c:v>
                </c:pt>
                <c:pt idx="21">
                  <c:v>128.57142857142799</c:v>
                </c:pt>
                <c:pt idx="22">
                  <c:v>134.69387755101999</c:v>
                </c:pt>
                <c:pt idx="23">
                  <c:v>140.816326530612</c:v>
                </c:pt>
                <c:pt idx="24">
                  <c:v>146.93877551020401</c:v>
                </c:pt>
                <c:pt idx="25">
                  <c:v>153.06122448979499</c:v>
                </c:pt>
                <c:pt idx="26">
                  <c:v>159.183673469387</c:v>
                </c:pt>
                <c:pt idx="27">
                  <c:v>165.30612244897901</c:v>
                </c:pt>
                <c:pt idx="28">
                  <c:v>171.42857142857099</c:v>
                </c:pt>
                <c:pt idx="29">
                  <c:v>177.551020408163</c:v>
                </c:pt>
                <c:pt idx="30">
                  <c:v>183.67346938775501</c:v>
                </c:pt>
                <c:pt idx="31">
                  <c:v>189.79591836734599</c:v>
                </c:pt>
                <c:pt idx="32">
                  <c:v>195.918367346938</c:v>
                </c:pt>
                <c:pt idx="33">
                  <c:v>202.04081632653001</c:v>
                </c:pt>
                <c:pt idx="34">
                  <c:v>208.16326530612201</c:v>
                </c:pt>
                <c:pt idx="35">
                  <c:v>214.28571428571399</c:v>
                </c:pt>
                <c:pt idx="36">
                  <c:v>220.408163265306</c:v>
                </c:pt>
                <c:pt idx="37">
                  <c:v>226.53061224489699</c:v>
                </c:pt>
                <c:pt idx="38">
                  <c:v>232.65306122448899</c:v>
                </c:pt>
                <c:pt idx="39">
                  <c:v>238.775510204081</c:v>
                </c:pt>
                <c:pt idx="40">
                  <c:v>244.89795918367301</c:v>
                </c:pt>
                <c:pt idx="41">
                  <c:v>251.02040816326499</c:v>
                </c:pt>
                <c:pt idx="42">
                  <c:v>257.142857142857</c:v>
                </c:pt>
                <c:pt idx="43">
                  <c:v>263.26530612244898</c:v>
                </c:pt>
                <c:pt idx="44">
                  <c:v>269.38775510203999</c:v>
                </c:pt>
                <c:pt idx="45">
                  <c:v>275.51020408163203</c:v>
                </c:pt>
                <c:pt idx="46">
                  <c:v>281.632653061224</c:v>
                </c:pt>
                <c:pt idx="47">
                  <c:v>287.75510204081598</c:v>
                </c:pt>
                <c:pt idx="48">
                  <c:v>293.87755102040802</c:v>
                </c:pt>
                <c:pt idx="49">
                  <c:v>300</c:v>
                </c:pt>
              </c:numCache>
            </c:numRef>
          </c:xVal>
          <c:yVal>
            <c:numRef>
              <c:f>'161'!$V$42:$V$91</c:f>
              <c:numCache>
                <c:formatCode>0.00</c:formatCode>
                <c:ptCount val="50"/>
                <c:pt idx="0">
                  <c:v>-5.4016438620000003E-3</c:v>
                </c:pt>
                <c:pt idx="1">
                  <c:v>2.9114383586829264</c:v>
                </c:pt>
                <c:pt idx="2">
                  <c:v>5.8022756471535688</c:v>
                </c:pt>
                <c:pt idx="3">
                  <c:v>8.6485025454464548</c:v>
                </c:pt>
                <c:pt idx="4">
                  <c:v>11.433846033438531</c:v>
                </c:pt>
                <c:pt idx="5">
                  <c:v>14.144330478639294</c:v>
                </c:pt>
                <c:pt idx="6">
                  <c:v>16.768226558975517</c:v>
                </c:pt>
                <c:pt idx="7">
                  <c:v>19.295986376709159</c:v>
                </c:pt>
                <c:pt idx="8">
                  <c:v>21.720164763488828</c:v>
                </c:pt>
                <c:pt idx="9">
                  <c:v>24.035326776533925</c:v>
                </c:pt>
                <c:pt idx="10">
                  <c:v>26.237941385951988</c:v>
                </c:pt>
                <c:pt idx="11">
                  <c:v>28.326261353189587</c:v>
                </c:pt>
                <c:pt idx="12">
                  <c:v>30.300189300615699</c:v>
                </c:pt>
                <c:pt idx="13">
                  <c:v>32.161129972238861</c:v>
                </c:pt>
                <c:pt idx="14">
                  <c:v>33.911828685557069</c:v>
                </c:pt>
                <c:pt idx="15">
                  <c:v>35.556195974540763</c:v>
                </c:pt>
                <c:pt idx="16">
                  <c:v>37.099118423749424</c:v>
                </c:pt>
                <c:pt idx="17">
                  <c:v>38.546255693580662</c:v>
                </c:pt>
                <c:pt idx="18">
                  <c:v>39.903823736653081</c:v>
                </c:pt>
                <c:pt idx="19">
                  <c:v>41.178364205321486</c:v>
                </c:pt>
                <c:pt idx="20">
                  <c:v>42.376500050326641</c:v>
                </c:pt>
                <c:pt idx="21">
                  <c:v>43.504677310576064</c:v>
                </c:pt>
                <c:pt idx="22">
                  <c:v>44.568893094059874</c:v>
                </c:pt>
                <c:pt idx="23">
                  <c:v>45.574409749898891</c:v>
                </c:pt>
                <c:pt idx="24">
                  <c:v>46.525455231525974</c:v>
                </c:pt>
                <c:pt idx="25">
                  <c:v>47.424909651000398</c:v>
                </c:pt>
                <c:pt idx="26">
                  <c:v>48.273978024456071</c:v>
                </c:pt>
                <c:pt idx="27">
                  <c:v>49.071849208681527</c:v>
                </c:pt>
                <c:pt idx="28">
                  <c:v>49.815341028834339</c:v>
                </c:pt>
                <c:pt idx="29">
                  <c:v>50.498531597288142</c:v>
                </c:pt>
                <c:pt idx="30">
                  <c:v>51.112376823612799</c:v>
                </c:pt>
                <c:pt idx="31">
                  <c:v>51.644314115687621</c:v>
                </c:pt>
                <c:pt idx="32">
                  <c:v>52.07785227194821</c:v>
                </c:pt>
                <c:pt idx="33">
                  <c:v>52.392147564765637</c:v>
                </c:pt>
                <c:pt idx="34">
                  <c:v>52.561566014959475</c:v>
                </c:pt>
                <c:pt idx="35">
                  <c:v>52.555231857443523</c:v>
                </c:pt>
                <c:pt idx="36">
                  <c:v>52.336562198005119</c:v>
                </c:pt>
                <c:pt idx="37">
                  <c:v>51.86278786121715</c:v>
                </c:pt>
                <c:pt idx="38">
                  <c:v>51.084460429482952</c:v>
                </c:pt>
                <c:pt idx="39">
                  <c:v>49.944945473215569</c:v>
                </c:pt>
                <c:pt idx="40">
                  <c:v>48.379901972148701</c:v>
                </c:pt>
                <c:pt idx="41">
                  <c:v>46.316747927781776</c:v>
                </c:pt>
                <c:pt idx="42">
                  <c:v>43.67411216695757</c:v>
                </c:pt>
                <c:pt idx="43">
                  <c:v>40.361272336573307</c:v>
                </c:pt>
                <c:pt idx="44">
                  <c:v>36.277579089425672</c:v>
                </c:pt>
                <c:pt idx="45">
                  <c:v>31.311866461184906</c:v>
                </c:pt>
                <c:pt idx="46">
                  <c:v>25.341848438509714</c:v>
                </c:pt>
                <c:pt idx="47">
                  <c:v>18.233501718287954</c:v>
                </c:pt>
                <c:pt idx="48">
                  <c:v>9.8404346580137201</c:v>
                </c:pt>
                <c:pt idx="49">
                  <c:v>3.2424172980540789E-3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20-4636-A592-47660C409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'161'!$AS$5:$AS$15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6F-42F7-8839-806BA3A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'161'!$AS$16:$AS$26</c:f>
              <c:numCache>
                <c:formatCode>0.000</c:formatCode>
                <c:ptCount val="11"/>
                <c:pt idx="0">
                  <c:v>5.7498930829999999</c:v>
                </c:pt>
                <c:pt idx="1">
                  <c:v>5.7795053279968656</c:v>
                </c:pt>
                <c:pt idx="2">
                  <c:v>5.7699731370642269</c:v>
                </c:pt>
                <c:pt idx="3">
                  <c:v>5.7110046942918045</c:v>
                </c:pt>
                <c:pt idx="4">
                  <c:v>5.5837150326468787</c:v>
                </c:pt>
                <c:pt idx="5">
                  <c:v>5.3636947885120794</c:v>
                </c:pt>
                <c:pt idx="6">
                  <c:v>5.0144682995872678</c:v>
                </c:pt>
                <c:pt idx="7">
                  <c:v>4.47134098539797</c:v>
                </c:pt>
                <c:pt idx="8">
                  <c:v>3.6156360630475346</c:v>
                </c:pt>
                <c:pt idx="9">
                  <c:v>2.2393203576025869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20-4E07-94A8-BBA6BB14B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'161'!$AT$5:$AT$15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0.13876748085381568</c:v>
                </c:pt>
                <c:pt idx="2">
                  <c:v>0.25806517186220451</c:v>
                </c:pt>
                <c:pt idx="3">
                  <c:v>0.35073941286903748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68-44D7-8B11-3357B6ED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'161'!$AT$16:$AT$26</c:f>
              <c:numCache>
                <c:formatCode>0.000</c:formatCode>
                <c:ptCount val="11"/>
                <c:pt idx="0">
                  <c:v>0.12499232840000001</c:v>
                </c:pt>
                <c:pt idx="1">
                  <c:v>0.13790463851742552</c:v>
                </c:pt>
                <c:pt idx="2">
                  <c:v>0.15103577174833904</c:v>
                </c:pt>
                <c:pt idx="3">
                  <c:v>0.16670043544887025</c:v>
                </c:pt>
                <c:pt idx="4">
                  <c:v>0.18218781766174588</c:v>
                </c:pt>
                <c:pt idx="5">
                  <c:v>0.194227692780476</c:v>
                </c:pt>
                <c:pt idx="6">
                  <c:v>0.20119752743933586</c:v>
                </c:pt>
                <c:pt idx="7">
                  <c:v>0.20310714411308972</c:v>
                </c:pt>
                <c:pt idx="8">
                  <c:v>0.19933895377965691</c:v>
                </c:pt>
                <c:pt idx="9">
                  <c:v>0.18415151101669239</c:v>
                </c:pt>
                <c:pt idx="10">
                  <c:v>0.13994452698799842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120</c:v>
                </c:pt>
                <c:pt idx="5">
                  <c:v>150</c:v>
                </c:pt>
                <c:pt idx="6">
                  <c:v>180</c:v>
                </c:pt>
                <c:pt idx="7">
                  <c:v>210</c:v>
                </c:pt>
                <c:pt idx="8">
                  <c:v>240</c:v>
                </c:pt>
                <c:pt idx="9">
                  <c:v>270</c:v>
                </c:pt>
                <c:pt idx="10">
                  <c:v>300</c:v>
                </c:pt>
              </c:numCache>
            </c:numRef>
          </c:xVal>
          <c:yVal>
            <c:numRef>
              <c:f>'161'!$AU$16:$AU$26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0.13876748085381571</c:v>
                </c:pt>
                <c:pt idx="2">
                  <c:v>0.25806517186220457</c:v>
                </c:pt>
                <c:pt idx="3">
                  <c:v>0.35073941286903754</c:v>
                </c:pt>
                <c:pt idx="4">
                  <c:v>0.41906083379925896</c:v>
                </c:pt>
                <c:pt idx="5">
                  <c:v>0.46981442456743722</c:v>
                </c:pt>
                <c:pt idx="6">
                  <c:v>0.50753071768391766</c:v>
                </c:pt>
                <c:pt idx="7">
                  <c:v>0.52580479799658131</c:v>
                </c:pt>
                <c:pt idx="8">
                  <c:v>0.49670259030278524</c:v>
                </c:pt>
                <c:pt idx="9">
                  <c:v>0.35825373429073432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49-4B0C-96D2-EE6E63ED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C-4A38-8BF6-C9079F3B3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67-4FDA-9327-62F5A232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'166'!$C$42:$C$91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0-4A0F-978D-165784792CCC}"/>
            </c:ext>
          </c:extLst>
        </c:ser>
        <c:ser>
          <c:idx val="1"/>
          <c:order val="1"/>
          <c:tx>
            <c:strRef>
              <c:f>'166'!$G$41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'166'!$G$42:$G$91</c:f>
              <c:numCache>
                <c:formatCode>0.000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5.3939947709407043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3.5172689557958461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2.6038977043960312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1.2605953914932631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50-4A0F-978D-16578479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6-438E-AAC1-D96BD4A65C61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'166'!$K$42:$K$91</c:f>
              <c:numCache>
                <c:formatCode>0.000</c:formatCode>
                <c:ptCount val="50"/>
                <c:pt idx="0">
                  <c:v>-1.4038461539999999E-3</c:v>
                </c:pt>
                <c:pt idx="1">
                  <c:v>4.2143620474832541E-2</c:v>
                </c:pt>
                <c:pt idx="2">
                  <c:v>8.4819424426521101E-2</c:v>
                </c:pt>
                <c:pt idx="3">
                  <c:v>0.12640776892616334</c:v>
                </c:pt>
                <c:pt idx="4">
                  <c:v>0.1667266896349473</c:v>
                </c:pt>
                <c:pt idx="5">
                  <c:v>0.20562587205789956</c:v>
                </c:pt>
                <c:pt idx="6">
                  <c:v>0.24298446895163844</c:v>
                </c:pt>
                <c:pt idx="7">
                  <c:v>0.27870891773212625</c:v>
                </c:pt>
                <c:pt idx="8">
                  <c:v>0.31273075788241822</c:v>
                </c:pt>
                <c:pt idx="9">
                  <c:v>0.34500444836041683</c:v>
                </c:pt>
                <c:pt idx="10">
                  <c:v>0.37550518500661895</c:v>
                </c:pt>
                <c:pt idx="11">
                  <c:v>0.40422671795187576</c:v>
                </c:pt>
                <c:pt idx="12">
                  <c:v>0.4311791690251337</c:v>
                </c:pt>
                <c:pt idx="13">
                  <c:v>0.45638684916119227</c:v>
                </c:pt>
                <c:pt idx="14">
                  <c:v>0.47988607580845416</c:v>
                </c:pt>
                <c:pt idx="15">
                  <c:v>0.50172299033667656</c:v>
                </c:pt>
                <c:pt idx="16">
                  <c:v>0.5219513754447227</c:v>
                </c:pt>
                <c:pt idx="17">
                  <c:v>0.54063047256831442</c:v>
                </c:pt>
                <c:pt idx="18">
                  <c:v>0.55782279928777823</c:v>
                </c:pt>
                <c:pt idx="19">
                  <c:v>0.57359196673580526</c:v>
                </c:pt>
                <c:pt idx="20">
                  <c:v>0.5880004970051973</c:v>
                </c:pt>
                <c:pt idx="21">
                  <c:v>0.60110764055661869</c:v>
                </c:pt>
                <c:pt idx="22">
                  <c:v>0.61296719362634933</c:v>
                </c:pt>
                <c:pt idx="23">
                  <c:v>0.62362531563403434</c:v>
                </c:pt>
                <c:pt idx="24">
                  <c:v>0.63311834659043698</c:v>
                </c:pt>
                <c:pt idx="25">
                  <c:v>0.64147062450518932</c:v>
                </c:pt>
                <c:pt idx="26">
                  <c:v>0.6486923027945436</c:v>
                </c:pt>
                <c:pt idx="27">
                  <c:v>0.65477716768912475</c:v>
                </c:pt>
                <c:pt idx="28">
                  <c:v>0.65970045564168034</c:v>
                </c:pt>
                <c:pt idx="29">
                  <c:v>0.66341667073483235</c:v>
                </c:pt>
                <c:pt idx="30">
                  <c:v>0.66585740208883037</c:v>
                </c:pt>
                <c:pt idx="31">
                  <c:v>0.66692914126930125</c:v>
                </c:pt>
                <c:pt idx="32">
                  <c:v>0.66651109969499989</c:v>
                </c:pt>
                <c:pt idx="33">
                  <c:v>0.66445302604556289</c:v>
                </c:pt>
                <c:pt idx="34">
                  <c:v>0.6605730236692583</c:v>
                </c:pt>
                <c:pt idx="35">
                  <c:v>0.65465536799073876</c:v>
                </c:pt>
                <c:pt idx="36">
                  <c:v>0.64644832391879048</c:v>
                </c:pt>
                <c:pt idx="37">
                  <c:v>0.63566196325408664</c:v>
                </c:pt>
                <c:pt idx="38">
                  <c:v>0.62196598209693799</c:v>
                </c:pt>
                <c:pt idx="39">
                  <c:v>0.60498751825504538</c:v>
                </c:pt>
                <c:pt idx="40">
                  <c:v>0.58430896865125026</c:v>
                </c:pt>
                <c:pt idx="41">
                  <c:v>0.55946580673128576</c:v>
                </c:pt>
                <c:pt idx="42">
                  <c:v>0.52994439987152697</c:v>
                </c:pt>
                <c:pt idx="43">
                  <c:v>0.49517982678674682</c:v>
                </c:pt>
                <c:pt idx="44">
                  <c:v>0.45455369493786579</c:v>
                </c:pt>
                <c:pt idx="45">
                  <c:v>0.40739195793969768</c:v>
                </c:pt>
                <c:pt idx="46">
                  <c:v>0.3529627329687105</c:v>
                </c:pt>
                <c:pt idx="47">
                  <c:v>0.29047411817076979</c:v>
                </c:pt>
                <c:pt idx="48">
                  <c:v>0.21907201006889465</c:v>
                </c:pt>
                <c:pt idx="49">
                  <c:v>0.13783792097099989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A6-438E-AAC1-D96BD4A65C61}"/>
            </c:ext>
          </c:extLst>
        </c:ser>
        <c:ser>
          <c:idx val="2"/>
          <c:order val="2"/>
          <c:tx>
            <c:strRef>
              <c:f>'166'!$N$41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'166'!$N$42:$N$91</c:f>
              <c:numCache>
                <c:formatCode>0.000</c:formatCode>
                <c:ptCount val="50"/>
                <c:pt idx="0">
                  <c:v>0</c:v>
                </c:pt>
                <c:pt idx="1">
                  <c:v>4.1786014501459724E-2</c:v>
                </c:pt>
                <c:pt idx="2">
                  <c:v>8.3321925419078249E-2</c:v>
                </c:pt>
                <c:pt idx="3">
                  <c:v>0.12430957587038359</c:v>
                </c:pt>
                <c:pt idx="4">
                  <c:v>0.16447359844887169</c:v>
                </c:pt>
                <c:pt idx="5">
                  <c:v>0.2035657705758292</c:v>
                </c:pt>
                <c:pt idx="6">
                  <c:v>0.24136836232515321</c:v>
                </c:pt>
                <c:pt idx="7">
                  <c:v>0.27769642808888767</c:v>
                </c:pt>
                <c:pt idx="8">
                  <c:v>0.31239904118676326</c:v>
                </c:pt>
                <c:pt idx="9">
                  <c:v>0.34535951357999711</c:v>
                </c:pt>
                <c:pt idx="10">
                  <c:v>0.37649467888110888</c:v>
                </c:pt>
                <c:pt idx="11">
                  <c:v>0.40575334436567234</c:v>
                </c:pt>
                <c:pt idx="12">
                  <c:v>0.43311403606492749</c:v>
                </c:pt>
                <c:pt idx="13">
                  <c:v>0.45858217041192256</c:v>
                </c:pt>
                <c:pt idx="14">
                  <c:v>0.4821867871241593</c:v>
                </c:pt>
                <c:pt idx="15">
                  <c:v>0.50397697227530347</c:v>
                </c:pt>
                <c:pt idx="16">
                  <c:v>0.52401808933109939</c:v>
                </c:pt>
                <c:pt idx="17">
                  <c:v>0.5423879208675555</c:v>
                </c:pt>
                <c:pt idx="18">
                  <c:v>0.55917280624764487</c:v>
                </c:pt>
                <c:pt idx="19">
                  <c:v>0.57446384202407907</c:v>
                </c:pt>
                <c:pt idx="20">
                  <c:v>0.58835319333638914</c:v>
                </c:pt>
                <c:pt idx="21">
                  <c:v>0.60093054688875669</c:v>
                </c:pt>
                <c:pt idx="22">
                  <c:v>0.61227971977139628</c:v>
                </c:pt>
                <c:pt idx="23">
                  <c:v>0.62247542371932651</c:v>
                </c:pt>
                <c:pt idx="24">
                  <c:v>0.63158017147401213</c:v>
                </c:pt>
                <c:pt idx="25">
                  <c:v>0.6396413006401126</c:v>
                </c:pt>
                <c:pt idx="26">
                  <c:v>0.64668808059318983</c:v>
                </c:pt>
                <c:pt idx="27">
                  <c:v>0.65272885927639213</c:v>
                </c:pt>
                <c:pt idx="28">
                  <c:v>0.65774819873300494</c:v>
                </c:pt>
                <c:pt idx="29">
                  <c:v>0.66170394050932502</c:v>
                </c:pt>
                <c:pt idx="30">
                  <c:v>0.66452413413160061</c:v>
                </c:pt>
                <c:pt idx="31">
                  <c:v>0.66610375316521475</c:v>
                </c:pt>
                <c:pt idx="32">
                  <c:v>0.6663011132948492</c:v>
                </c:pt>
                <c:pt idx="33">
                  <c:v>0.66493389472760622</c:v>
                </c:pt>
                <c:pt idx="34">
                  <c:v>0.66177465620438392</c:v>
                </c:pt>
                <c:pt idx="35">
                  <c:v>0.65654570902675558</c:v>
                </c:pt>
                <c:pt idx="36">
                  <c:v>0.64891319554826377</c:v>
                </c:pt>
                <c:pt idx="37">
                  <c:v>0.63848018599120615</c:v>
                </c:pt>
                <c:pt idx="38">
                  <c:v>0.62477856822249711</c:v>
                </c:pt>
                <c:pt idx="39">
                  <c:v>0.60725945460719266</c:v>
                </c:pt>
                <c:pt idx="40">
                  <c:v>0.58528176471885607</c:v>
                </c:pt>
                <c:pt idx="41">
                  <c:v>0.55809855774358863</c:v>
                </c:pt>
                <c:pt idx="42">
                  <c:v>0.52484057734271961</c:v>
                </c:pt>
                <c:pt idx="43">
                  <c:v>0.48449632553204564</c:v>
                </c:pt>
                <c:pt idx="44">
                  <c:v>0.43588778823476754</c:v>
                </c:pt>
                <c:pt idx="45">
                  <c:v>0.3776406758712138</c:v>
                </c:pt>
                <c:pt idx="46">
                  <c:v>0.30814769243083251</c:v>
                </c:pt>
                <c:pt idx="47">
                  <c:v>0.22552286953400086</c:v>
                </c:pt>
                <c:pt idx="48">
                  <c:v>0.1275443448538611</c:v>
                </c:pt>
                <c:pt idx="49">
                  <c:v>1.1582048158385783E-2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A6-438E-AAC1-D96BD4A65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'166'!$E$41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'166'!$E$42:$E$91</c:f>
              <c:numCache>
                <c:formatCode>0.000</c:formatCode>
                <c:ptCount val="50"/>
                <c:pt idx="0">
                  <c:v>0</c:v>
                </c:pt>
                <c:pt idx="1">
                  <c:v>0.16238605959719199</c:v>
                </c:pt>
                <c:pt idx="2">
                  <c:v>0.16054798194156</c:v>
                </c:pt>
                <c:pt idx="3">
                  <c:v>0.160600345968435</c:v>
                </c:pt>
                <c:pt idx="4">
                  <c:v>0.16119271650959699</c:v>
                </c:pt>
                <c:pt idx="5">
                  <c:v>0.16205463217039301</c:v>
                </c:pt>
                <c:pt idx="6">
                  <c:v>0.163092033417157</c:v>
                </c:pt>
                <c:pt idx="7">
                  <c:v>0.16426152913081499</c:v>
                </c:pt>
                <c:pt idx="8">
                  <c:v>0.16553919614628099</c:v>
                </c:pt>
                <c:pt idx="9">
                  <c:v>0.16691014625514899</c:v>
                </c:pt>
                <c:pt idx="10">
                  <c:v>0.16836429094625599</c:v>
                </c:pt>
                <c:pt idx="11">
                  <c:v>0.169894357112121</c:v>
                </c:pt>
                <c:pt idx="12">
                  <c:v>0.17149484228416401</c:v>
                </c:pt>
                <c:pt idx="13">
                  <c:v>0.173161404955084</c:v>
                </c:pt>
                <c:pt idx="14">
                  <c:v>0.17489047302711699</c:v>
                </c:pt>
                <c:pt idx="15">
                  <c:v>0.17667896839587499</c:v>
                </c:pt>
                <c:pt idx="16">
                  <c:v>0.17852409612305001</c:v>
                </c:pt>
                <c:pt idx="17">
                  <c:v>0.18042317055589399</c:v>
                </c:pt>
                <c:pt idx="18">
                  <c:v>0.18237346284806799</c:v>
                </c:pt>
                <c:pt idx="19">
                  <c:v>0.184372060804396</c:v>
                </c:pt>
                <c:pt idx="20">
                  <c:v>0.18641573557046401</c:v>
                </c:pt>
                <c:pt idx="21">
                  <c:v>0.18850081170583699</c:v>
                </c:pt>
                <c:pt idx="22">
                  <c:v>0.19062303823187501</c:v>
                </c:pt>
                <c:pt idx="23">
                  <c:v>0.192777458617612</c:v>
                </c:pt>
                <c:pt idx="24">
                  <c:v>0.194958277473297</c:v>
                </c:pt>
                <c:pt idx="25">
                  <c:v>0.19715872097451201</c:v>
                </c:pt>
                <c:pt idx="26">
                  <c:v>0.199370886684726</c:v>
                </c:pt>
                <c:pt idx="27">
                  <c:v>0.20158557636257199</c:v>
                </c:pt>
                <c:pt idx="28">
                  <c:v>0.203792102337502</c:v>
                </c:pt>
                <c:pt idx="29">
                  <c:v>0.205978053807782</c:v>
                </c:pt>
                <c:pt idx="30">
                  <c:v>0.20812900347309499</c:v>
                </c:pt>
                <c:pt idx="31">
                  <c:v>0.210228126480448</c:v>
                </c:pt>
                <c:pt idx="32">
                  <c:v>0.21225569146143</c:v>
                </c:pt>
                <c:pt idx="33">
                  <c:v>0.214188365352738</c:v>
                </c:pt>
                <c:pt idx="34">
                  <c:v>0.21599824613957699</c:v>
                </c:pt>
                <c:pt idx="35">
                  <c:v>0.21765149446561499</c:v>
                </c:pt>
                <c:pt idx="36">
                  <c:v>0.21910636529147001</c:v>
                </c:pt>
                <c:pt idx="37">
                  <c:v>0.220310324571625</c:v>
                </c:pt>
                <c:pt idx="38">
                  <c:v>0.221195735794432</c:v>
                </c:pt>
                <c:pt idx="39">
                  <c:v>0.22167324375872799</c:v>
                </c:pt>
                <c:pt idx="40">
                  <c:v>0.22162131747866601</c:v>
                </c:pt>
                <c:pt idx="41">
                  <c:v>0.22086911471963699</c:v>
                </c:pt>
                <c:pt idx="42">
                  <c:v>0.21916714756746999</c:v>
                </c:pt>
                <c:pt idx="43">
                  <c:v>0.216134305594886</c:v>
                </c:pt>
                <c:pt idx="44">
                  <c:v>0.21115561199310701</c:v>
                </c:pt>
                <c:pt idx="45">
                  <c:v>0.203167510615643</c:v>
                </c:pt>
                <c:pt idx="46">
                  <c:v>0.19015399623638601</c:v>
                </c:pt>
                <c:pt idx="47">
                  <c:v>0.167767826012689</c:v>
                </c:pt>
                <c:pt idx="48">
                  <c:v>0.12458255076498199</c:v>
                </c:pt>
                <c:pt idx="49">
                  <c:v>1.77706022114308E-2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5-4ECB-8CC6-B21A6C87C945}"/>
            </c:ext>
          </c:extLst>
        </c:ser>
        <c:ser>
          <c:idx val="1"/>
          <c:order val="1"/>
          <c:tx>
            <c:strRef>
              <c:f>'166'!$I$41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'166'!$I$42:$I$91</c:f>
              <c:numCache>
                <c:formatCode>0.000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65-4ECB-8CC6-B21A6C87C945}"/>
            </c:ext>
          </c:extLst>
        </c:ser>
        <c:ser>
          <c:idx val="2"/>
          <c:order val="2"/>
          <c:tx>
            <c:strRef>
              <c:f>'166'!$M$41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'166'!$B$42:$B$91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30.612244897959101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61.224489795918302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112.24489795918301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204.08163265306101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234.69387755101999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408.16326530612201</c:v>
                </c:pt>
                <c:pt idx="41">
                  <c:v>418.36734693877497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469.38775510203999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'166'!$M$42:$M$91</c:f>
              <c:numCache>
                <c:formatCode>0.000</c:formatCode>
                <c:ptCount val="50"/>
                <c:pt idx="0">
                  <c:v>0</c:v>
                </c:pt>
                <c:pt idx="1">
                  <c:v>0.16254633027884688</c:v>
                </c:pt>
                <c:pt idx="2">
                  <c:v>0.16070643848991148</c:v>
                </c:pt>
                <c:pt idx="3">
                  <c:v>0.16075885419867539</c:v>
                </c:pt>
                <c:pt idx="4">
                  <c:v>0.16135180939365923</c:v>
                </c:pt>
                <c:pt idx="5">
                  <c:v>0.16221457574207515</c:v>
                </c:pt>
                <c:pt idx="6">
                  <c:v>0.16325300087602093</c:v>
                </c:pt>
                <c:pt idx="7">
                  <c:v>0.16442365085055385</c:v>
                </c:pt>
                <c:pt idx="8">
                  <c:v>0.16570257888906653</c:v>
                </c:pt>
                <c:pt idx="9">
                  <c:v>0.16707488208888918</c:v>
                </c:pt>
                <c:pt idx="10">
                  <c:v>0.16853046198177038</c:v>
                </c:pt>
                <c:pt idx="11">
                  <c:v>0.17006203828186719</c:v>
                </c:pt>
                <c:pt idx="12">
                  <c:v>0.171664103089811</c:v>
                </c:pt>
                <c:pt idx="13">
                  <c:v>0.17333231061334858</c:v>
                </c:pt>
                <c:pt idx="14">
                  <c:v>0.17506308522915295</c:v>
                </c:pt>
                <c:pt idx="15">
                  <c:v>0.17685334579482925</c:v>
                </c:pt>
                <c:pt idx="16">
                  <c:v>0.17870029461353887</c:v>
                </c:pt>
                <c:pt idx="17">
                  <c:v>0.18060124338186903</c:v>
                </c:pt>
                <c:pt idx="18">
                  <c:v>0.18255346056018087</c:v>
                </c:pt>
                <c:pt idx="19">
                  <c:v>0.18455403107903987</c:v>
                </c:pt>
                <c:pt idx="20">
                  <c:v>0.18659972289724078</c:v>
                </c:pt>
                <c:pt idx="21">
                  <c:v>0.188686856946787</c:v>
                </c:pt>
                <c:pt idx="22">
                  <c:v>0.19081117805343617</c:v>
                </c:pt>
                <c:pt idx="23">
                  <c:v>0.19296772479425883</c:v>
                </c:pt>
                <c:pt idx="24">
                  <c:v>0.19515069605961208</c:v>
                </c:pt>
                <c:pt idx="25">
                  <c:v>0.19735331133949313</c:v>
                </c:pt>
                <c:pt idx="26">
                  <c:v>0.19956766039787857</c:v>
                </c:pt>
                <c:pt idx="27">
                  <c:v>0.20178453591498446</c:v>
                </c:pt>
                <c:pt idx="28">
                  <c:v>0.2039932396718184</c:v>
                </c:pt>
                <c:pt idx="29">
                  <c:v>0.20618134861751869</c:v>
                </c:pt>
                <c:pt idx="30">
                  <c:v>0.20833442121241041</c:v>
                </c:pt>
                <c:pt idx="31">
                  <c:v>0.21043561599782179</c:v>
                </c:pt>
                <c:pt idx="32">
                  <c:v>0.21246518213101043</c:v>
                </c:pt>
                <c:pt idx="33">
                  <c:v>0.21439976351956824</c:v>
                </c:pt>
                <c:pt idx="34">
                  <c:v>0.21621143061015891</c:v>
                </c:pt>
                <c:pt idx="35">
                  <c:v>0.21786631064791434</c:v>
                </c:pt>
                <c:pt idx="36">
                  <c:v>0.21932261739221842</c:v>
                </c:pt>
                <c:pt idx="37">
                  <c:v>0.2205277649478638</c:v>
                </c:pt>
                <c:pt idx="38">
                  <c:v>0.22141405004777909</c:v>
                </c:pt>
                <c:pt idx="39">
                  <c:v>0.22189202929961718</c:v>
                </c:pt>
                <c:pt idx="40">
                  <c:v>0.22184005176971044</c:v>
                </c:pt>
                <c:pt idx="41">
                  <c:v>0.22108710660675035</c:v>
                </c:pt>
                <c:pt idx="42">
                  <c:v>0.21938345965869285</c:v>
                </c:pt>
                <c:pt idx="43">
                  <c:v>0.21634762435249691</c:v>
                </c:pt>
                <c:pt idx="44">
                  <c:v>0.21136401691378215</c:v>
                </c:pt>
                <c:pt idx="45">
                  <c:v>0.20336803149469418</c:v>
                </c:pt>
                <c:pt idx="46">
                  <c:v>0.19034167312608558</c:v>
                </c:pt>
                <c:pt idx="47">
                  <c:v>0.16793340835332141</c:v>
                </c:pt>
                <c:pt idx="48">
                  <c:v>0.12470551039823073</c:v>
                </c:pt>
                <c:pt idx="49">
                  <c:v>1.7788141318771135E-2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65-4ECB-8CC6-B21A6C87C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3B-415A-9E6B-96C521982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ED-48BA-A2BA-0FC1066EE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'166'!$Q$42:$Q$91</c:f>
              <c:numCache>
                <c:formatCode>General</c:formatCode>
                <c:ptCount val="50"/>
                <c:pt idx="0">
                  <c:v>5.9361764709999996</c:v>
                </c:pt>
                <c:pt idx="1">
                  <c:v>5.9126180131742299</c:v>
                </c:pt>
                <c:pt idx="2">
                  <c:v>5.8826012750371</c:v>
                </c:pt>
                <c:pt idx="3">
                  <c:v>5.8465305636677796</c:v>
                </c:pt>
                <c:pt idx="4">
                  <c:v>5.8048337583583596</c:v>
                </c:pt>
                <c:pt idx="5">
                  <c:v>5.7579572830268599</c:v>
                </c:pt>
                <c:pt idx="6">
                  <c:v>5.7063610786302998</c:v>
                </c:pt>
                <c:pt idx="7">
                  <c:v>5.6505135755777198</c:v>
                </c:pt>
                <c:pt idx="8">
                  <c:v>5.5908866661432697</c:v>
                </c:pt>
                <c:pt idx="9">
                  <c:v>5.5279506768792404</c:v>
                </c:pt>
                <c:pt idx="10">
                  <c:v>5.4621693410291403</c:v>
                </c:pt>
                <c:pt idx="11">
                  <c:v>5.3939947709406999</c:v>
                </c:pt>
                <c:pt idx="12">
                  <c:v>5.3238624304789601</c:v>
                </c:pt>
                <c:pt idx="13">
                  <c:v>5.2521861074393303</c:v>
                </c:pt>
                <c:pt idx="14">
                  <c:v>5.1793528859606104</c:v>
                </c:pt>
                <c:pt idx="15">
                  <c:v>5.1057181189380696</c:v>
                </c:pt>
                <c:pt idx="16">
                  <c:v>5.0316004004364796</c:v>
                </c:pt>
                <c:pt idx="17">
                  <c:v>4.95727653810318</c:v>
                </c:pt>
                <c:pt idx="18">
                  <c:v>4.8829765255811202</c:v>
                </c:pt>
                <c:pt idx="19">
                  <c:v>4.80887851492193</c:v>
                </c:pt>
                <c:pt idx="20">
                  <c:v>4.7351037889989396</c:v>
                </c:pt>
                <c:pt idx="21">
                  <c:v>4.6617117339202503</c:v>
                </c:pt>
                <c:pt idx="22">
                  <c:v>4.58869481144181</c:v>
                </c:pt>
                <c:pt idx="23">
                  <c:v>4.5159735313804097</c:v>
                </c:pt>
                <c:pt idx="24">
                  <c:v>4.4433914240267898</c:v>
                </c:pt>
                <c:pt idx="25">
                  <c:v>4.3707100125586704</c:v>
                </c:pt>
                <c:pt idx="26">
                  <c:v>4.2976037854537701</c:v>
                </c:pt>
                <c:pt idx="27">
                  <c:v>4.2236551689029396</c:v>
                </c:pt>
                <c:pt idx="28">
                  <c:v>4.1483494992231202</c:v>
                </c:pt>
                <c:pt idx="29">
                  <c:v>4.0710699952704603</c:v>
                </c:pt>
                <c:pt idx="30">
                  <c:v>3.9910927308533601</c:v>
                </c:pt>
                <c:pt idx="31">
                  <c:v>3.9075816071454801</c:v>
                </c:pt>
                <c:pt idx="32">
                  <c:v>3.81958332509884</c:v>
                </c:pt>
                <c:pt idx="33">
                  <c:v>3.7260223578568699</c:v>
                </c:pt>
                <c:pt idx="34">
                  <c:v>3.62569592316741</c:v>
                </c:pt>
                <c:pt idx="35">
                  <c:v>3.5172689557958399</c:v>
                </c:pt>
                <c:pt idx="36">
                  <c:v>3.39926907993806</c:v>
                </c:pt>
                <c:pt idx="37">
                  <c:v>3.2700815816335802</c:v>
                </c:pt>
                <c:pt idx="38">
                  <c:v>3.1279443811785699</c:v>
                </c:pt>
                <c:pt idx="39">
                  <c:v>2.9709430055389201</c:v>
                </c:pt>
                <c:pt idx="40">
                  <c:v>2.79700556076325</c:v>
                </c:pt>
                <c:pt idx="41">
                  <c:v>2.6038977043960201</c:v>
                </c:pt>
                <c:pt idx="42">
                  <c:v>2.38921761789052</c:v>
                </c:pt>
                <c:pt idx="43">
                  <c:v>2.1503909790219802</c:v>
                </c:pt>
                <c:pt idx="44">
                  <c:v>1.88466593430061</c:v>
                </c:pt>
                <c:pt idx="45">
                  <c:v>1.58910807138459</c:v>
                </c:pt>
                <c:pt idx="46">
                  <c:v>1.26059539149323</c:v>
                </c:pt>
                <c:pt idx="47">
                  <c:v>0.89581328181992204</c:v>
                </c:pt>
                <c:pt idx="48">
                  <c:v>0.49124948794524298</c:v>
                </c:pt>
                <c:pt idx="49">
                  <c:v>4.3189086250000799E-2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4F-4264-80DC-E569A0D5CA5F}"/>
            </c:ext>
          </c:extLst>
        </c:ser>
        <c:ser>
          <c:idx val="1"/>
          <c:order val="1"/>
          <c:tx>
            <c:strRef>
              <c:f>'166'!$T$41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'166'!$T$42:$T$91</c:f>
              <c:numCache>
                <c:formatCode>0.00</c:formatCode>
                <c:ptCount val="50"/>
                <c:pt idx="0">
                  <c:v>5.9361764709999996</c:v>
                </c:pt>
                <c:pt idx="1">
                  <c:v>5.9126180131742387</c:v>
                </c:pt>
                <c:pt idx="2">
                  <c:v>5.8826012750371008</c:v>
                </c:pt>
                <c:pt idx="3">
                  <c:v>5.8465305636677813</c:v>
                </c:pt>
                <c:pt idx="4">
                  <c:v>5.804833758358364</c:v>
                </c:pt>
                <c:pt idx="5">
                  <c:v>5.757957283026867</c:v>
                </c:pt>
                <c:pt idx="6">
                  <c:v>5.7063610786303007</c:v>
                </c:pt>
                <c:pt idx="7">
                  <c:v>5.6505135755777198</c:v>
                </c:pt>
                <c:pt idx="8">
                  <c:v>5.5908866661432723</c:v>
                </c:pt>
                <c:pt idx="9">
                  <c:v>5.5279506768792483</c:v>
                </c:pt>
                <c:pt idx="10">
                  <c:v>5.4621693410291483</c:v>
                </c:pt>
                <c:pt idx="11">
                  <c:v>5.3939947709407035</c:v>
                </c:pt>
                <c:pt idx="12">
                  <c:v>5.3238624304789672</c:v>
                </c:pt>
                <c:pt idx="13">
                  <c:v>5.2521861074393366</c:v>
                </c:pt>
                <c:pt idx="14">
                  <c:v>5.1793528859606175</c:v>
                </c:pt>
                <c:pt idx="15">
                  <c:v>5.1057181189380758</c:v>
                </c:pt>
                <c:pt idx="16">
                  <c:v>5.0316004004364876</c:v>
                </c:pt>
                <c:pt idx="17">
                  <c:v>4.9572765381031809</c:v>
                </c:pt>
                <c:pt idx="18">
                  <c:v>4.8829765255811264</c:v>
                </c:pt>
                <c:pt idx="19">
                  <c:v>4.8088785149219317</c:v>
                </c:pt>
                <c:pt idx="20">
                  <c:v>4.7351037889989414</c:v>
                </c:pt>
                <c:pt idx="21">
                  <c:v>4.6617117339202574</c:v>
                </c:pt>
                <c:pt idx="22">
                  <c:v>4.5886948114418153</c:v>
                </c:pt>
                <c:pt idx="23">
                  <c:v>4.5159735313804195</c:v>
                </c:pt>
                <c:pt idx="24">
                  <c:v>4.4433914240268022</c:v>
                </c:pt>
                <c:pt idx="25">
                  <c:v>4.3707100125586749</c:v>
                </c:pt>
                <c:pt idx="26">
                  <c:v>4.2976037854537807</c:v>
                </c:pt>
                <c:pt idx="27">
                  <c:v>4.2236551689029458</c:v>
                </c:pt>
                <c:pt idx="28">
                  <c:v>4.1483494992231265</c:v>
                </c:pt>
                <c:pt idx="29">
                  <c:v>4.0710699952704719</c:v>
                </c:pt>
                <c:pt idx="30">
                  <c:v>3.9910927308533681</c:v>
                </c:pt>
                <c:pt idx="31">
                  <c:v>3.9075816071454881</c:v>
                </c:pt>
                <c:pt idx="32">
                  <c:v>3.819583325098856</c:v>
                </c:pt>
                <c:pt idx="33">
                  <c:v>3.7260223578568725</c:v>
                </c:pt>
                <c:pt idx="34">
                  <c:v>3.6256959231674184</c:v>
                </c:pt>
                <c:pt idx="35">
                  <c:v>3.5172689557958448</c:v>
                </c:pt>
                <c:pt idx="36">
                  <c:v>3.3992690799380636</c:v>
                </c:pt>
                <c:pt idx="37">
                  <c:v>3.2700815816335869</c:v>
                </c:pt>
                <c:pt idx="38">
                  <c:v>3.1279443811785845</c:v>
                </c:pt>
                <c:pt idx="39">
                  <c:v>2.9709430055389316</c:v>
                </c:pt>
                <c:pt idx="40">
                  <c:v>2.7970055607632647</c:v>
                </c:pt>
                <c:pt idx="41">
                  <c:v>2.6038977043960303</c:v>
                </c:pt>
                <c:pt idx="42">
                  <c:v>2.3892176178905355</c:v>
                </c:pt>
                <c:pt idx="43">
                  <c:v>2.1503909790220028</c:v>
                </c:pt>
                <c:pt idx="44">
                  <c:v>1.8846659343006298</c:v>
                </c:pt>
                <c:pt idx="45">
                  <c:v>1.589108071384624</c:v>
                </c:pt>
                <c:pt idx="46">
                  <c:v>1.2605953914932648</c:v>
                </c:pt>
                <c:pt idx="47">
                  <c:v>0.89581328181995445</c:v>
                </c:pt>
                <c:pt idx="48">
                  <c:v>0.49124948794528045</c:v>
                </c:pt>
                <c:pt idx="49">
                  <c:v>4.3189086250000841E-2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4F-4264-80DC-E569A0D5C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'166'!$S$42:$S$91</c:f>
              <c:numCache>
                <c:formatCode>General</c:formatCode>
                <c:ptCount val="50"/>
                <c:pt idx="0">
                  <c:v>0.16450795090000001</c:v>
                </c:pt>
                <c:pt idx="1">
                  <c:v>0.16393740667967271</c:v>
                </c:pt>
                <c:pt idx="2">
                  <c:v>0.16359472666757779</c:v>
                </c:pt>
                <c:pt idx="3">
                  <c:v>0.16347226633264061</c:v>
                </c:pt>
                <c:pt idx="4">
                  <c:v>0.16356213581097304</c:v>
                </c:pt>
                <c:pt idx="5">
                  <c:v>0.16385619990587424</c:v>
                </c:pt>
                <c:pt idx="6">
                  <c:v>0.16434607808783014</c:v>
                </c:pt>
                <c:pt idx="7">
                  <c:v>0.16502314449451375</c:v>
                </c:pt>
                <c:pt idx="8">
                  <c:v>0.165878527930785</c:v>
                </c:pt>
                <c:pt idx="9">
                  <c:v>0.16690311186869078</c:v>
                </c:pt>
                <c:pt idx="10">
                  <c:v>0.16808753444746494</c:v>
                </c:pt>
                <c:pt idx="11">
                  <c:v>0.16942218847352844</c:v>
                </c:pt>
                <c:pt idx="12">
                  <c:v>0.17089722142048905</c:v>
                </c:pt>
                <c:pt idx="13">
                  <c:v>0.17250253542914146</c:v>
                </c:pt>
                <c:pt idx="14">
                  <c:v>0.17422778730746757</c:v>
                </c:pt>
                <c:pt idx="15">
                  <c:v>0.17606238853063599</c:v>
                </c:pt>
                <c:pt idx="16">
                  <c:v>0.17799550524100244</c:v>
                </c:pt>
                <c:pt idx="17">
                  <c:v>0.18001605824810976</c:v>
                </c:pt>
                <c:pt idx="18">
                  <c:v>0.1821127230286872</c:v>
                </c:pt>
                <c:pt idx="19">
                  <c:v>0.18427392972665155</c:v>
                </c:pt>
                <c:pt idx="20">
                  <c:v>0.18648786315310636</c:v>
                </c:pt>
                <c:pt idx="21">
                  <c:v>0.18874246278634213</c:v>
                </c:pt>
                <c:pt idx="22">
                  <c:v>0.19102542277183632</c:v>
                </c:pt>
                <c:pt idx="23">
                  <c:v>0.19332419192225347</c:v>
                </c:pt>
                <c:pt idx="24">
                  <c:v>0.195625973717445</c:v>
                </c:pt>
                <c:pt idx="25">
                  <c:v>0.1979177263044492</c:v>
                </c:pt>
                <c:pt idx="26">
                  <c:v>0.20018616249749166</c:v>
                </c:pt>
                <c:pt idx="27">
                  <c:v>0.20241774977798452</c:v>
                </c:pt>
                <c:pt idx="28">
                  <c:v>0.20459871029452709</c:v>
                </c:pt>
                <c:pt idx="29">
                  <c:v>0.2067150208629058</c:v>
                </c:pt>
                <c:pt idx="30">
                  <c:v>0.20875241296609368</c:v>
                </c:pt>
                <c:pt idx="31">
                  <c:v>0.21069637275425107</c:v>
                </c:pt>
                <c:pt idx="32">
                  <c:v>0.21253214104472506</c:v>
                </c:pt>
                <c:pt idx="33">
                  <c:v>0.21424471332205006</c:v>
                </c:pt>
                <c:pt idx="34">
                  <c:v>0.21581883973794672</c:v>
                </c:pt>
                <c:pt idx="35">
                  <c:v>0.21723902511132337</c:v>
                </c:pt>
                <c:pt idx="36">
                  <c:v>0.21848952892827503</c:v>
                </c:pt>
                <c:pt idx="37">
                  <c:v>0.21955436534208375</c:v>
                </c:pt>
                <c:pt idx="38">
                  <c:v>0.22041730317321845</c:v>
                </c:pt>
                <c:pt idx="39">
                  <c:v>0.22106186590933513</c:v>
                </c:pt>
                <c:pt idx="40">
                  <c:v>0.22147133170527666</c:v>
                </c:pt>
                <c:pt idx="41">
                  <c:v>0.22162873338307298</c:v>
                </c:pt>
                <c:pt idx="42">
                  <c:v>0.22151685843194088</c:v>
                </c:pt>
                <c:pt idx="43">
                  <c:v>0.2211182490082842</c:v>
                </c:pt>
                <c:pt idx="44">
                  <c:v>0.22041520193569381</c:v>
                </c:pt>
                <c:pt idx="45">
                  <c:v>0.21938976870494731</c:v>
                </c:pt>
                <c:pt idx="46">
                  <c:v>0.21802375547400954</c:v>
                </c:pt>
                <c:pt idx="47">
                  <c:v>0.21629872306803224</c:v>
                </c:pt>
                <c:pt idx="48">
                  <c:v>0.21419598697935385</c:v>
                </c:pt>
                <c:pt idx="49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'166'!$U$42:$U$91</c:f>
              <c:numCache>
                <c:formatCode>0.00</c:formatCode>
                <c:ptCount val="50"/>
                <c:pt idx="0">
                  <c:v>164.5079509</c:v>
                </c:pt>
                <c:pt idx="1">
                  <c:v>163.9374066796727</c:v>
                </c:pt>
                <c:pt idx="2">
                  <c:v>163.59472666757779</c:v>
                </c:pt>
                <c:pt idx="3">
                  <c:v>163.4722663326406</c:v>
                </c:pt>
                <c:pt idx="4">
                  <c:v>163.56213581097305</c:v>
                </c:pt>
                <c:pt idx="5">
                  <c:v>163.85619990587423</c:v>
                </c:pt>
                <c:pt idx="6">
                  <c:v>164.34607808783014</c:v>
                </c:pt>
                <c:pt idx="7">
                  <c:v>165.02314449451376</c:v>
                </c:pt>
                <c:pt idx="8">
                  <c:v>165.878527930785</c:v>
                </c:pt>
                <c:pt idx="9">
                  <c:v>166.90311186869079</c:v>
                </c:pt>
                <c:pt idx="10">
                  <c:v>168.08753444746495</c:v>
                </c:pt>
                <c:pt idx="11">
                  <c:v>169.42218847352845</c:v>
                </c:pt>
                <c:pt idx="12">
                  <c:v>170.89722142048905</c:v>
                </c:pt>
                <c:pt idx="13">
                  <c:v>172.50253542914146</c:v>
                </c:pt>
                <c:pt idx="14">
                  <c:v>174.22778730746757</c:v>
                </c:pt>
                <c:pt idx="15">
                  <c:v>176.06238853063599</c:v>
                </c:pt>
                <c:pt idx="16">
                  <c:v>177.99550524100243</c:v>
                </c:pt>
                <c:pt idx="17">
                  <c:v>180.01605824810977</c:v>
                </c:pt>
                <c:pt idx="18">
                  <c:v>182.11272302868718</c:v>
                </c:pt>
                <c:pt idx="19">
                  <c:v>184.27392972665155</c:v>
                </c:pt>
                <c:pt idx="20">
                  <c:v>186.48786315310633</c:v>
                </c:pt>
                <c:pt idx="21">
                  <c:v>188.74246278634212</c:v>
                </c:pt>
                <c:pt idx="22">
                  <c:v>191.0254227718363</c:v>
                </c:pt>
                <c:pt idx="23">
                  <c:v>193.32419192225348</c:v>
                </c:pt>
                <c:pt idx="24">
                  <c:v>195.62597371744499</c:v>
                </c:pt>
                <c:pt idx="25">
                  <c:v>197.91772630444922</c:v>
                </c:pt>
                <c:pt idx="26">
                  <c:v>200.18616249749167</c:v>
                </c:pt>
                <c:pt idx="27">
                  <c:v>202.41774977798451</c:v>
                </c:pt>
                <c:pt idx="28">
                  <c:v>204.59871029452708</c:v>
                </c:pt>
                <c:pt idx="29">
                  <c:v>206.71502086290579</c:v>
                </c:pt>
                <c:pt idx="30">
                  <c:v>208.75241296609369</c:v>
                </c:pt>
                <c:pt idx="31">
                  <c:v>210.69637275425106</c:v>
                </c:pt>
                <c:pt idx="32">
                  <c:v>212.53214104472505</c:v>
                </c:pt>
                <c:pt idx="33">
                  <c:v>214.24471332205005</c:v>
                </c:pt>
                <c:pt idx="34">
                  <c:v>215.81883973794672</c:v>
                </c:pt>
                <c:pt idx="35">
                  <c:v>217.2390251113234</c:v>
                </c:pt>
                <c:pt idx="36">
                  <c:v>218.48952892827504</c:v>
                </c:pt>
                <c:pt idx="37">
                  <c:v>219.55436534208374</c:v>
                </c:pt>
                <c:pt idx="38">
                  <c:v>220.41730317321844</c:v>
                </c:pt>
                <c:pt idx="39">
                  <c:v>221.06186590933513</c:v>
                </c:pt>
                <c:pt idx="40">
                  <c:v>221.47133170527667</c:v>
                </c:pt>
                <c:pt idx="41">
                  <c:v>221.62873338307298</c:v>
                </c:pt>
                <c:pt idx="42">
                  <c:v>221.51685843194088</c:v>
                </c:pt>
                <c:pt idx="43">
                  <c:v>221.11824900828421</c:v>
                </c:pt>
                <c:pt idx="44">
                  <c:v>220.4152019356938</c:v>
                </c:pt>
                <c:pt idx="45">
                  <c:v>219.3897687049473</c:v>
                </c:pt>
                <c:pt idx="46">
                  <c:v>218.02375547400959</c:v>
                </c:pt>
                <c:pt idx="47">
                  <c:v>216.29872306803225</c:v>
                </c:pt>
                <c:pt idx="48">
                  <c:v>214.19598697935385</c:v>
                </c:pt>
                <c:pt idx="49">
                  <c:v>211.69661736750004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88-47F7-B61D-65D3DC8E3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4.2143620474832701E-2</c:v>
                </c:pt>
                <c:pt idx="2">
                  <c:v>8.4819424426521198E-2</c:v>
                </c:pt>
                <c:pt idx="3">
                  <c:v>0.12640776892616301</c:v>
                </c:pt>
                <c:pt idx="4">
                  <c:v>0.166726689634947</c:v>
                </c:pt>
                <c:pt idx="5">
                  <c:v>0.20562587205789901</c:v>
                </c:pt>
                <c:pt idx="6">
                  <c:v>0.242984468951638</c:v>
                </c:pt>
                <c:pt idx="7">
                  <c:v>0.27870891773212603</c:v>
                </c:pt>
                <c:pt idx="8">
                  <c:v>0.312730757882418</c:v>
                </c:pt>
                <c:pt idx="9">
                  <c:v>0.34500444836041599</c:v>
                </c:pt>
                <c:pt idx="10">
                  <c:v>0.37550518500662</c:v>
                </c:pt>
                <c:pt idx="11">
                  <c:v>0.40422671795187698</c:v>
                </c:pt>
                <c:pt idx="12">
                  <c:v>0.43117916902513498</c:v>
                </c:pt>
                <c:pt idx="13">
                  <c:v>0.45638684916119399</c:v>
                </c:pt>
                <c:pt idx="14">
                  <c:v>0.47988607580845599</c:v>
                </c:pt>
                <c:pt idx="15">
                  <c:v>0.501722990336678</c:v>
                </c:pt>
                <c:pt idx="16">
                  <c:v>0.52195137544472403</c:v>
                </c:pt>
                <c:pt idx="17">
                  <c:v>0.54063047256831398</c:v>
                </c:pt>
                <c:pt idx="18">
                  <c:v>0.557822799287778</c:v>
                </c:pt>
                <c:pt idx="19">
                  <c:v>0.57359196673580504</c:v>
                </c:pt>
                <c:pt idx="20">
                  <c:v>0.58800049700519696</c:v>
                </c:pt>
                <c:pt idx="21">
                  <c:v>0.60110764055661903</c:v>
                </c:pt>
                <c:pt idx="22">
                  <c:v>0.61296719362634899</c:v>
                </c:pt>
                <c:pt idx="23">
                  <c:v>0.62362531563403401</c:v>
                </c:pt>
                <c:pt idx="24">
                  <c:v>0.63311834659043698</c:v>
                </c:pt>
                <c:pt idx="25">
                  <c:v>0.64147062450518899</c:v>
                </c:pt>
                <c:pt idx="26">
                  <c:v>0.64869230279454404</c:v>
                </c:pt>
                <c:pt idx="27">
                  <c:v>0.65477716768912497</c:v>
                </c:pt>
                <c:pt idx="28">
                  <c:v>0.65970045564168001</c:v>
                </c:pt>
                <c:pt idx="29">
                  <c:v>0.66341667073483201</c:v>
                </c:pt>
                <c:pt idx="30">
                  <c:v>0.66585740208883004</c:v>
                </c:pt>
                <c:pt idx="31">
                  <c:v>0.66692914126930103</c:v>
                </c:pt>
                <c:pt idx="32">
                  <c:v>0.666511099694999</c:v>
                </c:pt>
                <c:pt idx="33">
                  <c:v>0.664453026045562</c:v>
                </c:pt>
                <c:pt idx="34">
                  <c:v>0.66057302366925796</c:v>
                </c:pt>
                <c:pt idx="35">
                  <c:v>0.65465536799073798</c:v>
                </c:pt>
                <c:pt idx="36">
                  <c:v>0.64644832391878904</c:v>
                </c:pt>
                <c:pt idx="37">
                  <c:v>0.63566196325408597</c:v>
                </c:pt>
                <c:pt idx="38">
                  <c:v>0.62196598209693699</c:v>
                </c:pt>
                <c:pt idx="39">
                  <c:v>0.60498751825504404</c:v>
                </c:pt>
                <c:pt idx="40">
                  <c:v>0.58430896865124904</c:v>
                </c:pt>
                <c:pt idx="41">
                  <c:v>0.55946580673128299</c:v>
                </c:pt>
                <c:pt idx="42">
                  <c:v>0.52994439987152397</c:v>
                </c:pt>
                <c:pt idx="43">
                  <c:v>0.49517982678674599</c:v>
                </c:pt>
                <c:pt idx="44">
                  <c:v>0.45455369493786202</c:v>
                </c:pt>
                <c:pt idx="45">
                  <c:v>0.40739195793969302</c:v>
                </c:pt>
                <c:pt idx="46">
                  <c:v>0.352962732968707</c:v>
                </c:pt>
                <c:pt idx="47">
                  <c:v>0.29047411817076202</c:v>
                </c:pt>
                <c:pt idx="48">
                  <c:v>0.21907201006888699</c:v>
                </c:pt>
                <c:pt idx="49">
                  <c:v>0.13783792097099901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'166'!$V$41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'166'!$P$42:$P$91</c:f>
              <c:numCache>
                <c:formatCode>0</c:formatCode>
                <c:ptCount val="50"/>
                <c:pt idx="0">
                  <c:v>0</c:v>
                </c:pt>
                <c:pt idx="1">
                  <c:v>10.204081632653001</c:v>
                </c:pt>
                <c:pt idx="2">
                  <c:v>20.408163265306101</c:v>
                </c:pt>
                <c:pt idx="3">
                  <c:v>30.612244897959098</c:v>
                </c:pt>
                <c:pt idx="4">
                  <c:v>40.816326530612201</c:v>
                </c:pt>
                <c:pt idx="5">
                  <c:v>51.020408163265301</c:v>
                </c:pt>
                <c:pt idx="6">
                  <c:v>61.224489795918295</c:v>
                </c:pt>
                <c:pt idx="7">
                  <c:v>71.428571428571402</c:v>
                </c:pt>
                <c:pt idx="8">
                  <c:v>81.632653061224403</c:v>
                </c:pt>
                <c:pt idx="9">
                  <c:v>91.836734693877503</c:v>
                </c:pt>
                <c:pt idx="10">
                  <c:v>102.04081632653001</c:v>
                </c:pt>
                <c:pt idx="11">
                  <c:v>112.24489795918299</c:v>
                </c:pt>
                <c:pt idx="12">
                  <c:v>122.44897959183599</c:v>
                </c:pt>
                <c:pt idx="13">
                  <c:v>132.65306122448899</c:v>
                </c:pt>
                <c:pt idx="14">
                  <c:v>142.85714285714201</c:v>
                </c:pt>
                <c:pt idx="15">
                  <c:v>153.06122448979499</c:v>
                </c:pt>
                <c:pt idx="16">
                  <c:v>163.26530612244801</c:v>
                </c:pt>
                <c:pt idx="17">
                  <c:v>173.46938775510199</c:v>
                </c:pt>
                <c:pt idx="18">
                  <c:v>183.67346938775501</c:v>
                </c:pt>
                <c:pt idx="19">
                  <c:v>193.87755102040799</c:v>
                </c:pt>
                <c:pt idx="20">
                  <c:v>204.08163265306104</c:v>
                </c:pt>
                <c:pt idx="21">
                  <c:v>214.28571428571399</c:v>
                </c:pt>
                <c:pt idx="22">
                  <c:v>224.48979591836701</c:v>
                </c:pt>
                <c:pt idx="23">
                  <c:v>234.69387755101997</c:v>
                </c:pt>
                <c:pt idx="24">
                  <c:v>244.89795918367301</c:v>
                </c:pt>
                <c:pt idx="25">
                  <c:v>255.102040816326</c:v>
                </c:pt>
                <c:pt idx="26">
                  <c:v>265.30612244897901</c:v>
                </c:pt>
                <c:pt idx="27">
                  <c:v>275.51020408163203</c:v>
                </c:pt>
                <c:pt idx="28">
                  <c:v>285.71428571428498</c:v>
                </c:pt>
                <c:pt idx="29">
                  <c:v>295.918367346938</c:v>
                </c:pt>
                <c:pt idx="30">
                  <c:v>306.12244897959101</c:v>
                </c:pt>
                <c:pt idx="31">
                  <c:v>316.32653061224403</c:v>
                </c:pt>
                <c:pt idx="32">
                  <c:v>326.53061224489699</c:v>
                </c:pt>
                <c:pt idx="33">
                  <c:v>336.73469387755102</c:v>
                </c:pt>
                <c:pt idx="34">
                  <c:v>346.93877551020398</c:v>
                </c:pt>
                <c:pt idx="35">
                  <c:v>357.14285714285705</c:v>
                </c:pt>
                <c:pt idx="36">
                  <c:v>367.34693877551001</c:v>
                </c:pt>
                <c:pt idx="37">
                  <c:v>377.55102040816303</c:v>
                </c:pt>
                <c:pt idx="38">
                  <c:v>387.75510204081598</c:v>
                </c:pt>
                <c:pt idx="39">
                  <c:v>397.959183673469</c:v>
                </c:pt>
                <c:pt idx="40">
                  <c:v>408.16326530612207</c:v>
                </c:pt>
                <c:pt idx="41">
                  <c:v>418.36734693877503</c:v>
                </c:pt>
                <c:pt idx="42">
                  <c:v>428.57142857142799</c:v>
                </c:pt>
                <c:pt idx="43">
                  <c:v>438.775510204081</c:v>
                </c:pt>
                <c:pt idx="44">
                  <c:v>448.97959183673402</c:v>
                </c:pt>
                <c:pt idx="45">
                  <c:v>459.18367346938697</c:v>
                </c:pt>
                <c:pt idx="46">
                  <c:v>469.38775510203993</c:v>
                </c:pt>
                <c:pt idx="47">
                  <c:v>479.591836734693</c:v>
                </c:pt>
                <c:pt idx="48">
                  <c:v>489.79591836734602</c:v>
                </c:pt>
                <c:pt idx="49">
                  <c:v>500</c:v>
                </c:pt>
              </c:numCache>
            </c:numRef>
          </c:xVal>
          <c:yVal>
            <c:numRef>
              <c:f>'166'!$V$42:$V$91</c:f>
              <c:numCache>
                <c:formatCode>0.00</c:formatCode>
                <c:ptCount val="50"/>
                <c:pt idx="0">
                  <c:v>-0.1403846154</c:v>
                </c:pt>
                <c:pt idx="1">
                  <c:v>4.2143620474832542</c:v>
                </c:pt>
                <c:pt idx="2">
                  <c:v>8.4819424426521106</c:v>
                </c:pt>
                <c:pt idx="3">
                  <c:v>12.640776892616334</c:v>
                </c:pt>
                <c:pt idx="4">
                  <c:v>16.672668963494729</c:v>
                </c:pt>
                <c:pt idx="5">
                  <c:v>20.562587205789956</c:v>
                </c:pt>
                <c:pt idx="6">
                  <c:v>24.298446895163842</c:v>
                </c:pt>
                <c:pt idx="7">
                  <c:v>27.870891773212627</c:v>
                </c:pt>
                <c:pt idx="8">
                  <c:v>31.273075788241822</c:v>
                </c:pt>
                <c:pt idx="9">
                  <c:v>34.50044483604168</c:v>
                </c:pt>
                <c:pt idx="10">
                  <c:v>37.550518500661894</c:v>
                </c:pt>
                <c:pt idx="11">
                  <c:v>40.422671795187583</c:v>
                </c:pt>
                <c:pt idx="12">
                  <c:v>43.117916902513372</c:v>
                </c:pt>
                <c:pt idx="13">
                  <c:v>45.638684916119225</c:v>
                </c:pt>
                <c:pt idx="14">
                  <c:v>47.988607580845418</c:v>
                </c:pt>
                <c:pt idx="15">
                  <c:v>50.172299033667656</c:v>
                </c:pt>
                <c:pt idx="16">
                  <c:v>52.195137544472274</c:v>
                </c:pt>
                <c:pt idx="17">
                  <c:v>54.063047256831446</c:v>
                </c:pt>
                <c:pt idx="18">
                  <c:v>55.782279928777825</c:v>
                </c:pt>
                <c:pt idx="19">
                  <c:v>57.359196673580527</c:v>
                </c:pt>
                <c:pt idx="20">
                  <c:v>58.800049700519722</c:v>
                </c:pt>
                <c:pt idx="21">
                  <c:v>60.110764055661875</c:v>
                </c:pt>
                <c:pt idx="22">
                  <c:v>61.296719362634931</c:v>
                </c:pt>
                <c:pt idx="23">
                  <c:v>62.362531563403429</c:v>
                </c:pt>
                <c:pt idx="24">
                  <c:v>63.311834659043697</c:v>
                </c:pt>
                <c:pt idx="25">
                  <c:v>64.147062450518931</c:v>
                </c:pt>
                <c:pt idx="26">
                  <c:v>64.869230279454356</c:v>
                </c:pt>
                <c:pt idx="27">
                  <c:v>65.477716768912472</c:v>
                </c:pt>
                <c:pt idx="28">
                  <c:v>65.970045564168032</c:v>
                </c:pt>
                <c:pt idx="29">
                  <c:v>66.341667073483237</c:v>
                </c:pt>
                <c:pt idx="30">
                  <c:v>66.585740208883038</c:v>
                </c:pt>
                <c:pt idx="31">
                  <c:v>66.69291412693012</c:v>
                </c:pt>
                <c:pt idx="32">
                  <c:v>66.651109969499984</c:v>
                </c:pt>
                <c:pt idx="33">
                  <c:v>66.445302604556289</c:v>
                </c:pt>
                <c:pt idx="34">
                  <c:v>66.057302366925825</c:v>
                </c:pt>
                <c:pt idx="35">
                  <c:v>65.465536799073874</c:v>
                </c:pt>
                <c:pt idx="36">
                  <c:v>64.644832391879049</c:v>
                </c:pt>
                <c:pt idx="37">
                  <c:v>63.566196325408669</c:v>
                </c:pt>
                <c:pt idx="38">
                  <c:v>62.196598209693803</c:v>
                </c:pt>
                <c:pt idx="39">
                  <c:v>60.498751825504542</c:v>
                </c:pt>
                <c:pt idx="40">
                  <c:v>58.430896865124993</c:v>
                </c:pt>
                <c:pt idx="41">
                  <c:v>55.946580673128551</c:v>
                </c:pt>
                <c:pt idx="42">
                  <c:v>52.994439987152703</c:v>
                </c:pt>
                <c:pt idx="43">
                  <c:v>49.517982678674684</c:v>
                </c:pt>
                <c:pt idx="44">
                  <c:v>45.455369493786577</c:v>
                </c:pt>
                <c:pt idx="45">
                  <c:v>40.73919579396977</c:v>
                </c:pt>
                <c:pt idx="46">
                  <c:v>35.296273296870936</c:v>
                </c:pt>
                <c:pt idx="47">
                  <c:v>29.047411817076977</c:v>
                </c:pt>
                <c:pt idx="48">
                  <c:v>21.907201006889466</c:v>
                </c:pt>
                <c:pt idx="49">
                  <c:v>13.78379209709999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03-4AE5-BBA9-8C40C106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'166'!$AS$5:$AS$15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8-4445-882D-BC185130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'166'!$AS$16:$AS$26</c:f>
              <c:numCache>
                <c:formatCode>0.000</c:formatCode>
                <c:ptCount val="11"/>
                <c:pt idx="0">
                  <c:v>5.9361764709999996</c:v>
                </c:pt>
                <c:pt idx="1">
                  <c:v>5.7628761625597393</c:v>
                </c:pt>
                <c:pt idx="2">
                  <c:v>5.4755452928932202</c:v>
                </c:pt>
                <c:pt idx="3">
                  <c:v>5.1278798915973267</c:v>
                </c:pt>
                <c:pt idx="4">
                  <c:v>4.7645678596837486</c:v>
                </c:pt>
                <c:pt idx="5">
                  <c:v>4.4070656679505316</c:v>
                </c:pt>
                <c:pt idx="6">
                  <c:v>4.0394557255784704</c:v>
                </c:pt>
                <c:pt idx="7">
                  <c:v>3.5941188122386101</c:v>
                </c:pt>
                <c:pt idx="8">
                  <c:v>2.9376463654525566</c:v>
                </c:pt>
                <c:pt idx="9">
                  <c:v>1.8565744915970883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F7-46E9-8240-705B9B338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'166'!$AT$5:$AT$15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0.21626220265422544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80-4CE7-A525-BD5EF8B5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'166'!$AT$4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'166'!$AT$16:$AT$26</c:f>
              <c:numCache>
                <c:formatCode>0.000</c:formatCode>
                <c:ptCount val="11"/>
                <c:pt idx="0">
                  <c:v>0.16450795090000001</c:v>
                </c:pt>
                <c:pt idx="1">
                  <c:v>0.16381763673750055</c:v>
                </c:pt>
                <c:pt idx="2">
                  <c:v>0.16783800634990648</c:v>
                </c:pt>
                <c:pt idx="3">
                  <c:v>0.17550085424396453</c:v>
                </c:pt>
                <c:pt idx="4">
                  <c:v>0.18559652544240779</c:v>
                </c:pt>
                <c:pt idx="5">
                  <c:v>0.1967735837606657</c:v>
                </c:pt>
                <c:pt idx="6">
                  <c:v>0.207540477510332</c:v>
                </c:pt>
                <c:pt idx="7">
                  <c:v>0.21626220265422541</c:v>
                </c:pt>
                <c:pt idx="8">
                  <c:v>0.22116364248061843</c:v>
                </c:pt>
                <c:pt idx="9">
                  <c:v>0.22032789707165432</c:v>
                </c:pt>
                <c:pt idx="10">
                  <c:v>0.21169661736750003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'166'!$AU$4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'166'!$AR$16:$AR$26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</c:numCache>
            </c:numRef>
          </c:xVal>
          <c:yVal>
            <c:numRef>
              <c:f>'166'!$AU$16:$AU$26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0.20180097227331531</c:v>
                </c:pt>
                <c:pt idx="2">
                  <c:v>0.36954764818996783</c:v>
                </c:pt>
                <c:pt idx="3">
                  <c:v>0.49534508898955182</c:v>
                </c:pt>
                <c:pt idx="4">
                  <c:v>0.5823972374645412</c:v>
                </c:pt>
                <c:pt idx="5">
                  <c:v>0.63743549612153461</c:v>
                </c:pt>
                <c:pt idx="6">
                  <c:v>0.6645511896448798</c:v>
                </c:pt>
                <c:pt idx="7">
                  <c:v>0.65902817826664406</c:v>
                </c:pt>
                <c:pt idx="8">
                  <c:v>0.6011755184964156</c:v>
                </c:pt>
                <c:pt idx="9">
                  <c:v>0.45015984717538848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16-4908-831E-EC02146B3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10-4E73-98F0-393B07CD3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F4-46CE-8BF3-386581A1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'168'!$C$42:$C$91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B-44FE-9014-AFD11DD183AC}"/>
            </c:ext>
          </c:extLst>
        </c:ser>
        <c:ser>
          <c:idx val="1"/>
          <c:order val="1"/>
          <c:tx>
            <c:strRef>
              <c:f>'168'!$G$41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'168'!$G$42:$G$91</c:f>
              <c:numCache>
                <c:formatCode>0.000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4.7559040479098496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4.5383056394001233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4.2716840961662914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3.6116356482595027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AB-44FE-9014-AFD11DD1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8-4E64-87EB-4C48D346230F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'168'!$K$42:$K$91</c:f>
              <c:numCache>
                <c:formatCode>0.000</c:formatCode>
                <c:ptCount val="50"/>
                <c:pt idx="0">
                  <c:v>1.236913564E-5</c:v>
                </c:pt>
                <c:pt idx="1">
                  <c:v>4.8927521651919929E-2</c:v>
                </c:pt>
                <c:pt idx="2">
                  <c:v>9.4820096230171055E-2</c:v>
                </c:pt>
                <c:pt idx="3">
                  <c:v>0.13795922269791988</c:v>
                </c:pt>
                <c:pt idx="4">
                  <c:v>0.17858739338734966</c:v>
                </c:pt>
                <c:pt idx="5">
                  <c:v>0.21692142991281618</c:v>
                </c:pt>
                <c:pt idx="6">
                  <c:v>0.25315344994836336</c:v>
                </c:pt>
                <c:pt idx="7">
                  <c:v>0.28745183400524005</c:v>
                </c:pt>
                <c:pt idx="8">
                  <c:v>0.31996219220941474</c:v>
                </c:pt>
                <c:pt idx="9">
                  <c:v>0.3508083310790937</c:v>
                </c:pt>
                <c:pt idx="10">
                  <c:v>0.38009322030223563</c:v>
                </c:pt>
                <c:pt idx="11">
                  <c:v>0.40789995951406899</c:v>
                </c:pt>
                <c:pt idx="12">
                  <c:v>0.43429274507460208</c:v>
                </c:pt>
                <c:pt idx="13">
                  <c:v>0.4593178368461488</c:v>
                </c:pt>
                <c:pt idx="14">
                  <c:v>0.48300452497084001</c:v>
                </c:pt>
                <c:pt idx="15">
                  <c:v>0.50536609664813437</c:v>
                </c:pt>
                <c:pt idx="16">
                  <c:v>0.52640080291234437</c:v>
                </c:pt>
                <c:pt idx="17">
                  <c:v>0.54609282541014526</c:v>
                </c:pt>
                <c:pt idx="18">
                  <c:v>0.56441324317809494</c:v>
                </c:pt>
                <c:pt idx="19">
                  <c:v>0.58132099942014392</c:v>
                </c:pt>
                <c:pt idx="20">
                  <c:v>0.59676386828516026</c:v>
                </c:pt>
                <c:pt idx="21">
                  <c:v>0.61067942164444022</c:v>
                </c:pt>
                <c:pt idx="22">
                  <c:v>0.6229959958692215</c:v>
                </c:pt>
                <c:pt idx="23">
                  <c:v>0.63363365860820731</c:v>
                </c:pt>
                <c:pt idx="24">
                  <c:v>0.64250517556507547</c:v>
                </c:pt>
                <c:pt idx="25">
                  <c:v>0.64951697727599822</c:v>
                </c:pt>
                <c:pt idx="26">
                  <c:v>0.65457012588715557</c:v>
                </c:pt>
                <c:pt idx="27">
                  <c:v>0.65756128193225383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0.65308367814896817</c:v>
                </c:pt>
                <c:pt idx="31">
                  <c:v>0.64673927423045474</c:v>
                </c:pt>
                <c:pt idx="32">
                  <c:v>0.63778399344035075</c:v>
                </c:pt>
                <c:pt idx="33">
                  <c:v>0.62610838896535081</c:v>
                </c:pt>
                <c:pt idx="34">
                  <c:v>0.61160537982228635</c:v>
                </c:pt>
                <c:pt idx="35">
                  <c:v>0.59417121763563996</c:v>
                </c:pt>
                <c:pt idx="36">
                  <c:v>0.5737064534150691</c:v>
                </c:pt>
                <c:pt idx="37">
                  <c:v>0.55011690433291316</c:v>
                </c:pt>
                <c:pt idx="38">
                  <c:v>0.52331462050171129</c:v>
                </c:pt>
                <c:pt idx="39">
                  <c:v>0.49321885175172314</c:v>
                </c:pt>
                <c:pt idx="40">
                  <c:v>0.45975701440844446</c:v>
                </c:pt>
                <c:pt idx="41">
                  <c:v>0.42286565807011484</c:v>
                </c:pt>
                <c:pt idx="42">
                  <c:v>0.38249143238524125</c:v>
                </c:pt>
                <c:pt idx="43">
                  <c:v>0.3385920538301167</c:v>
                </c:pt>
                <c:pt idx="44">
                  <c:v>0.29113727248632726</c:v>
                </c:pt>
                <c:pt idx="45">
                  <c:v>0.24010983881827655</c:v>
                </c:pt>
                <c:pt idx="46">
                  <c:v>0.18550647045068844</c:v>
                </c:pt>
                <c:pt idx="47">
                  <c:v>0.12733881894615082</c:v>
                </c:pt>
                <c:pt idx="48">
                  <c:v>6.5634436582598141E-2</c:v>
                </c:pt>
                <c:pt idx="49">
                  <c:v>4.3774313084014692E-4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8-4E64-87EB-4C48D346230F}"/>
            </c:ext>
          </c:extLst>
        </c:ser>
        <c:ser>
          <c:idx val="2"/>
          <c:order val="2"/>
          <c:tx>
            <c:strRef>
              <c:f>'168'!$N$41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'168'!$N$42:$N$91</c:f>
              <c:numCache>
                <c:formatCode>0.000</c:formatCode>
                <c:ptCount val="50"/>
                <c:pt idx="0">
                  <c:v>0</c:v>
                </c:pt>
                <c:pt idx="1">
                  <c:v>4.570409270574171E-2</c:v>
                </c:pt>
                <c:pt idx="2">
                  <c:v>9.1243582821768435E-2</c:v>
                </c:pt>
                <c:pt idx="3">
                  <c:v>0.1357686534317879</c:v>
                </c:pt>
                <c:pt idx="4">
                  <c:v>0.1786216144282663</c:v>
                </c:pt>
                <c:pt idx="5">
                  <c:v>0.21933019106172899</c:v>
                </c:pt>
                <c:pt idx="6">
                  <c:v>0.25759446538855341</c:v>
                </c:pt>
                <c:pt idx="7">
                  <c:v>0.29326827325244309</c:v>
                </c:pt>
                <c:pt idx="8">
                  <c:v>0.32633628648302898</c:v>
                </c:pt>
                <c:pt idx="9">
                  <c:v>0.35688828935018185</c:v>
                </c:pt>
                <c:pt idx="10">
                  <c:v>0.38509226588104278</c:v>
                </c:pt>
                <c:pt idx="11">
                  <c:v>0.41116785398706263</c:v>
                </c:pt>
                <c:pt idx="12">
                  <c:v>0.43536152094589686</c:v>
                </c:pt>
                <c:pt idx="13">
                  <c:v>0.45792451604491013</c:v>
                </c:pt>
                <c:pt idx="14">
                  <c:v>0.47909430965852845</c:v>
                </c:pt>
                <c:pt idx="15">
                  <c:v>0.4990798802934962</c:v>
                </c:pt>
                <c:pt idx="16">
                  <c:v>0.51805089925561743</c:v>
                </c:pt>
                <c:pt idx="17">
                  <c:v>0.53613061077144175</c:v>
                </c:pt>
                <c:pt idx="18">
                  <c:v>0.55339202471981996</c:v>
                </c:pt>
                <c:pt idx="19">
                  <c:v>0.56985692953339084</c:v>
                </c:pt>
                <c:pt idx="20">
                  <c:v>0.58549718630239378</c:v>
                </c:pt>
                <c:pt idx="21">
                  <c:v>0.60023776910162374</c:v>
                </c:pt>
                <c:pt idx="22">
                  <c:v>0.61396105697531866</c:v>
                </c:pt>
                <c:pt idx="23">
                  <c:v>0.62651194644108432</c:v>
                </c:pt>
                <c:pt idx="24">
                  <c:v>0.6377034284430525</c:v>
                </c:pt>
                <c:pt idx="25">
                  <c:v>0.64732235169102814</c:v>
                </c:pt>
                <c:pt idx="26">
                  <c:v>0.65513516929722226</c:v>
                </c:pt>
                <c:pt idx="27">
                  <c:v>0.66089353406335127</c:v>
                </c:pt>
                <c:pt idx="28">
                  <c:v>0.66433966821570845</c:v>
                </c:pt>
                <c:pt idx="29">
                  <c:v>0.66521148595970447</c:v>
                </c:pt>
                <c:pt idx="30">
                  <c:v>0.66324749325795918</c:v>
                </c:pt>
                <c:pt idx="31">
                  <c:v>0.65819153100170003</c:v>
                </c:pt>
                <c:pt idx="32">
                  <c:v>0.64979746836407448</c:v>
                </c:pt>
                <c:pt idx="33">
                  <c:v>0.63783399666234397</c:v>
                </c:pt>
                <c:pt idx="34">
                  <c:v>0.62208972587959099</c:v>
                </c:pt>
                <c:pt idx="35">
                  <c:v>0.60237885348387277</c:v>
                </c:pt>
                <c:pt idx="36">
                  <c:v>0.57854776899257632</c:v>
                </c:pt>
                <c:pt idx="37">
                  <c:v>0.55048309398928519</c:v>
                </c:pt>
                <c:pt idx="38">
                  <c:v>0.51812186140998684</c:v>
                </c:pt>
                <c:pt idx="39">
                  <c:v>0.48146485127664024</c:v>
                </c:pt>
                <c:pt idx="40">
                  <c:v>0.4405945923047021</c:v>
                </c:pt>
                <c:pt idx="41">
                  <c:v>0.39570033071303595</c:v>
                </c:pt>
                <c:pt idx="42">
                  <c:v>0.34711357534803117</c:v>
                </c:pt>
                <c:pt idx="43">
                  <c:v>0.29536005264794601</c:v>
                </c:pt>
                <c:pt idx="44">
                  <c:v>0.24123781783304216</c:v>
                </c:pt>
                <c:pt idx="45">
                  <c:v>0.18593842238727007</c:v>
                </c:pt>
                <c:pt idx="46">
                  <c:v>0.13124171389391676</c:v>
                </c:pt>
                <c:pt idx="47">
                  <c:v>7.9842391148294334E-2</c:v>
                </c:pt>
                <c:pt idx="48">
                  <c:v>3.5925468026852841E-2</c:v>
                </c:pt>
                <c:pt idx="49">
                  <c:v>6.2441061262261599E-3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8-4E64-87EB-4C48D3462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'168'!$E$41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0.19696747028473799</c:v>
                </c:pt>
                <c:pt idx="2">
                  <c:v>0.20099473765430401</c:v>
                </c:pt>
                <c:pt idx="3">
                  <c:v>0.20413151987550901</c:v>
                </c:pt>
                <c:pt idx="4">
                  <c:v>0.206541072670371</c:v>
                </c:pt>
                <c:pt idx="5">
                  <c:v>0.20837589236111501</c:v>
                </c:pt>
                <c:pt idx="6">
                  <c:v>0.20978299645575399</c:v>
                </c:pt>
                <c:pt idx="7">
                  <c:v>0.210902616558997</c:v>
                </c:pt>
                <c:pt idx="8">
                  <c:v>0.21186624328970999</c:v>
                </c:pt>
                <c:pt idx="9">
                  <c:v>0.21279473332225399</c:v>
                </c:pt>
                <c:pt idx="10">
                  <c:v>0.21379665352937499</c:v>
                </c:pt>
                <c:pt idx="11">
                  <c:v>0.214966927733442</c:v>
                </c:pt>
                <c:pt idx="12">
                  <c:v>0.21638581289516201</c:v>
                </c:pt>
                <c:pt idx="13">
                  <c:v>0.21811820987698899</c:v>
                </c:pt>
                <c:pt idx="14">
                  <c:v>0.220213298287214</c:v>
                </c:pt>
                <c:pt idx="15">
                  <c:v>0.222704472824657</c:v>
                </c:pt>
                <c:pt idx="16">
                  <c:v>0.22560954941791</c:v>
                </c:pt>
                <c:pt idx="17">
                  <c:v>0.22893120311294601</c:v>
                </c:pt>
                <c:pt idx="18">
                  <c:v>0.23265759594499899</c:v>
                </c:pt>
                <c:pt idx="19">
                  <c:v>0.23676315168502099</c:v>
                </c:pt>
                <c:pt idx="20">
                  <c:v>0.241209435039936</c:v>
                </c:pt>
                <c:pt idx="21">
                  <c:v>0.245946095212903</c:v>
                </c:pt>
                <c:pt idx="22">
                  <c:v>0.25091183727550498</c:v>
                </c:pt>
                <c:pt idx="23">
                  <c:v>0.25603538916023</c:v>
                </c:pt>
                <c:pt idx="24">
                  <c:v>0.26123643687754999</c:v>
                </c:pt>
                <c:pt idx="25">
                  <c:v>0.266426505481479</c:v>
                </c:pt>
                <c:pt idx="26">
                  <c:v>0.27150976809986999</c:v>
                </c:pt>
                <c:pt idx="27">
                  <c:v>0.27638376982798002</c:v>
                </c:pt>
                <c:pt idx="28">
                  <c:v>0.28094005734045602</c:v>
                </c:pt>
                <c:pt idx="29">
                  <c:v>0.28506470865511802</c:v>
                </c:pt>
                <c:pt idx="30">
                  <c:v>0.28863876058947102</c:v>
                </c:pt>
                <c:pt idx="31">
                  <c:v>0.29153853415559999</c:v>
                </c:pt>
                <c:pt idx="32">
                  <c:v>0.29363586057761898</c:v>
                </c:pt>
                <c:pt idx="33">
                  <c:v>0.29479821301780201</c:v>
                </c:pt>
                <c:pt idx="34">
                  <c:v>0.29488875183855301</c:v>
                </c:pt>
                <c:pt idx="35">
                  <c:v>0.29376629494151402</c:v>
                </c:pt>
                <c:pt idx="36">
                  <c:v>0.29128523053514799</c:v>
                </c:pt>
                <c:pt idx="37">
                  <c:v>0.28729539968605899</c:v>
                </c:pt>
                <c:pt idx="38">
                  <c:v>0.28164199434854997</c:v>
                </c:pt>
                <c:pt idx="39">
                  <c:v>0.27416555188108199</c:v>
                </c:pt>
                <c:pt idx="40">
                  <c:v>0.26470219849361298</c:v>
                </c:pt>
                <c:pt idx="41">
                  <c:v>0.25308444703632299</c:v>
                </c:pt>
                <c:pt idx="42">
                  <c:v>0.23914320571598199</c:v>
                </c:pt>
                <c:pt idx="43">
                  <c:v>0.222712534054821</c:v>
                </c:pt>
                <c:pt idx="44">
                  <c:v>0.203641146858448</c:v>
                </c:pt>
                <c:pt idx="45">
                  <c:v>0.18182267208685199</c:v>
                </c:pt>
                <c:pt idx="46">
                  <c:v>0.15728864401662501</c:v>
                </c:pt>
                <c:pt idx="47">
                  <c:v>0.130583621845724</c:v>
                </c:pt>
                <c:pt idx="48">
                  <c:v>0.105385683394806</c:v>
                </c:pt>
                <c:pt idx="49">
                  <c:v>1.0930229601986701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5-4A8C-8CA1-89726B25577E}"/>
            </c:ext>
          </c:extLst>
        </c:ser>
        <c:ser>
          <c:idx val="1"/>
          <c:order val="1"/>
          <c:tx>
            <c:strRef>
              <c:f>'168'!$I$41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'168'!$I$42:$I$91</c:f>
              <c:numCache>
                <c:formatCode>0.000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E5-4A8C-8CA1-89726B25577E}"/>
            </c:ext>
          </c:extLst>
        </c:ser>
        <c:ser>
          <c:idx val="2"/>
          <c:order val="2"/>
          <c:tx>
            <c:strRef>
              <c:f>'168'!$M$41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'168'!$B$42:$B$91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28.571428571428498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114.28571428571399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185.71428571428501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228.57142857142799</c:v>
                </c:pt>
                <c:pt idx="17">
                  <c:v>242.85714285714201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685.71428571428498</c:v>
                </c:pt>
                <c:pt idx="49">
                  <c:v>700</c:v>
                </c:pt>
              </c:numCache>
            </c:numRef>
          </c:xVal>
          <c:yVal>
            <c:numRef>
              <c:f>'168'!$M$42:$M$91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0.1971618718904217</c:v>
                </c:pt>
                <c:pt idx="2">
                  <c:v>0.20119311406477211</c:v>
                </c:pt>
                <c:pt idx="3">
                  <c:v>0.20433299220582399</c:v>
                </c:pt>
                <c:pt idx="4">
                  <c:v>0.20674492316461224</c:v>
                </c:pt>
                <c:pt idx="5">
                  <c:v>0.2085815537731362</c:v>
                </c:pt>
                <c:pt idx="6">
                  <c:v>0.20999004664174281</c:v>
                </c:pt>
                <c:pt idx="7">
                  <c:v>0.21111077177997292</c:v>
                </c:pt>
                <c:pt idx="8">
                  <c:v>0.21207534958439983</c:v>
                </c:pt>
                <c:pt idx="9">
                  <c:v>0.2130047560116822</c:v>
                </c:pt>
                <c:pt idx="10">
                  <c:v>0.21400766508715083</c:v>
                </c:pt>
                <c:pt idx="11">
                  <c:v>0.21517909432044205</c:v>
                </c:pt>
                <c:pt idx="12">
                  <c:v>0.21659937988372724</c:v>
                </c:pt>
                <c:pt idx="13">
                  <c:v>0.2183334866948701</c:v>
                </c:pt>
                <c:pt idx="14">
                  <c:v>0.22043064290111475</c:v>
                </c:pt>
                <c:pt idx="15">
                  <c:v>0.22292427616095228</c:v>
                </c:pt>
                <c:pt idx="16">
                  <c:v>0.22583221998681702</c:v>
                </c:pt>
                <c:pt idx="17">
                  <c:v>0.22915715206488155</c:v>
                </c:pt>
                <c:pt idx="18">
                  <c:v>0.23288722274662776</c:v>
                </c:pt>
                <c:pt idx="19">
                  <c:v>0.23699683055995269</c:v>
                </c:pt>
                <c:pt idx="20">
                  <c:v>0.24144750227718192</c:v>
                </c:pt>
                <c:pt idx="21">
                  <c:v>0.24618883740658679</c:v>
                </c:pt>
                <c:pt idx="22">
                  <c:v>0.25115948052330062</c:v>
                </c:pt>
                <c:pt idx="23">
                  <c:v>0.256288089216197</c:v>
                </c:pt>
                <c:pt idx="24">
                  <c:v>0.2614942702279946</c:v>
                </c:pt>
                <c:pt idx="25">
                  <c:v>0.26668946129031207</c:v>
                </c:pt>
                <c:pt idx="26">
                  <c:v>0.27177774095244883</c:v>
                </c:pt>
                <c:pt idx="27">
                  <c:v>0.27665655318942417</c:v>
                </c:pt>
                <c:pt idx="28">
                  <c:v>0.28121733763536444</c:v>
                </c:pt>
                <c:pt idx="29">
                  <c:v>0.28534605987014977</c:v>
                </c:pt>
                <c:pt idx="30">
                  <c:v>0.28892363929781845</c:v>
                </c:pt>
                <c:pt idx="31">
                  <c:v>0.29182627486261337</c:v>
                </c:pt>
                <c:pt idx="32">
                  <c:v>0.29392567128951025</c:v>
                </c:pt>
                <c:pt idx="33">
                  <c:v>0.29508917094034937</c:v>
                </c:pt>
                <c:pt idx="34">
                  <c:v>0.29517979912048453</c:v>
                </c:pt>
                <c:pt idx="35">
                  <c:v>0.29405623438862172</c:v>
                </c:pt>
                <c:pt idx="36">
                  <c:v>0.2915727212382882</c:v>
                </c:pt>
                <c:pt idx="37">
                  <c:v>0.28757895253325527</c:v>
                </c:pt>
                <c:pt idx="38">
                  <c:v>0.28191996743644188</c:v>
                </c:pt>
                <c:pt idx="39">
                  <c:v>0.2744361459209595</c:v>
                </c:pt>
                <c:pt idx="40">
                  <c:v>0.26496345245773528</c:v>
                </c:pt>
                <c:pt idx="41">
                  <c:v>0.25333423459162907</c:v>
                </c:pt>
                <c:pt idx="42">
                  <c:v>0.23937923364035138</c:v>
                </c:pt>
                <c:pt idx="43">
                  <c:v>0.22293234534733133</c:v>
                </c:pt>
                <c:pt idx="44">
                  <c:v>0.20384213520375782</c:v>
                </c:pt>
                <c:pt idx="45">
                  <c:v>0.18200212618326592</c:v>
                </c:pt>
                <c:pt idx="46">
                  <c:v>0.15744388368593934</c:v>
                </c:pt>
                <c:pt idx="47">
                  <c:v>0.13071250437503498</c:v>
                </c:pt>
                <c:pt idx="48">
                  <c:v>0.10548969623528792</c:v>
                </c:pt>
                <c:pt idx="49">
                  <c:v>2.4994149934891885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E5-4A8C-8CA1-89726B25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FF-4513-A36E-FC960F62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8-4F58-B349-6B2C122E4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'168'!$Q$42:$Q$91</c:f>
              <c:numCache>
                <c:formatCode>General</c:formatCode>
                <c:ptCount val="50"/>
                <c:pt idx="0">
                  <c:v>5.9859841749999996</c:v>
                </c:pt>
                <c:pt idx="1">
                  <c:v>5.94728739443336</c:v>
                </c:pt>
                <c:pt idx="2">
                  <c:v>5.8806628868383104</c:v>
                </c:pt>
                <c:pt idx="3">
                  <c:v>5.7930963797075803</c:v>
                </c:pt>
                <c:pt idx="4">
                  <c:v>5.69073596627344</c:v>
                </c:pt>
                <c:pt idx="5">
                  <c:v>5.5789327668610298</c:v>
                </c:pt>
                <c:pt idx="6">
                  <c:v>5.4622815902418296</c:v>
                </c:pt>
                <c:pt idx="7">
                  <c:v>5.3446615949870004</c:v>
                </c:pt>
                <c:pt idx="8">
                  <c:v>5.2292769508207604</c:v>
                </c:pt>
                <c:pt idx="9">
                  <c:v>5.1186974999738402</c:v>
                </c:pt>
                <c:pt idx="10">
                  <c:v>5.0148994185367997</c:v>
                </c:pt>
                <c:pt idx="11">
                  <c:v>4.9193058778134597</c:v>
                </c:pt>
                <c:pt idx="12">
                  <c:v>4.8328277056743101</c:v>
                </c:pt>
                <c:pt idx="13">
                  <c:v>4.7559040479098398</c:v>
                </c:pt>
                <c:pt idx="14">
                  <c:v>4.6885430295839896</c:v>
                </c:pt>
                <c:pt idx="15">
                  <c:v>4.6303624163875199</c:v>
                </c:pt>
                <c:pt idx="16">
                  <c:v>4.5806302759913704</c:v>
                </c:pt>
                <c:pt idx="17">
                  <c:v>4.5383056394001198</c:v>
                </c:pt>
                <c:pt idx="18">
                  <c:v>4.5020791623053</c:v>
                </c:pt>
                <c:pt idx="19">
                  <c:v>4.47041378643884</c:v>
                </c:pt>
                <c:pt idx="20">
                  <c:v>4.4415854009264599</c:v>
                </c:pt>
                <c:pt idx="21">
                  <c:v>4.4137235036410001</c:v>
                </c:pt>
                <c:pt idx="22">
                  <c:v>4.3848518625558803</c:v>
                </c:pt>
                <c:pt idx="23">
                  <c:v>4.3529291770984697</c:v>
                </c:pt>
                <c:pt idx="24">
                  <c:v>4.3158897395034703</c:v>
                </c:pt>
                <c:pt idx="25">
                  <c:v>4.2716840961662896</c:v>
                </c:pt>
                <c:pt idx="26">
                  <c:v>4.2183197089964697</c:v>
                </c:pt>
                <c:pt idx="27">
                  <c:v>4.1539016167710603</c:v>
                </c:pt>
                <c:pt idx="28">
                  <c:v>4.0766730964879896</c:v>
                </c:pt>
                <c:pt idx="29">
                  <c:v>3.9850563247195199</c:v>
                </c:pt>
                <c:pt idx="30">
                  <c:v>3.87769303896554</c:v>
                </c:pt>
                <c:pt idx="31">
                  <c:v>3.7534851990070499</c:v>
                </c:pt>
                <c:pt idx="32">
                  <c:v>3.6116356482595</c:v>
                </c:pt>
                <c:pt idx="33">
                  <c:v>3.45168877512616</c:v>
                </c:pt>
                <c:pt idx="34">
                  <c:v>3.27357117435161</c:v>
                </c:pt>
                <c:pt idx="35">
                  <c:v>3.0776323083749899</c:v>
                </c:pt>
                <c:pt idx="36">
                  <c:v>2.86468516868353</c:v>
                </c:pt>
                <c:pt idx="37">
                  <c:v>2.6360469371658399</c:v>
                </c:pt>
                <c:pt idx="38">
                  <c:v>2.3935796474653701</c:v>
                </c:pt>
                <c:pt idx="39">
                  <c:v>2.1397308463336699</c:v>
                </c:pt>
                <c:pt idx="40">
                  <c:v>1.87757425498405</c:v>
                </c:pt>
                <c:pt idx="41">
                  <c:v>1.61085043044464</c:v>
                </c:pt>
                <c:pt idx="42">
                  <c:v>1.3440074269119899</c:v>
                </c:pt>
                <c:pt idx="43">
                  <c:v>1.0822414571044501</c:v>
                </c:pt>
                <c:pt idx="44">
                  <c:v>0.83153755361550397</c:v>
                </c:pt>
                <c:pt idx="45">
                  <c:v>0.59871023026717296</c:v>
                </c:pt>
                <c:pt idx="46">
                  <c:v>0.39144414346337397</c:v>
                </c:pt>
                <c:pt idx="47">
                  <c:v>0.21833475354335899</c:v>
                </c:pt>
                <c:pt idx="48">
                  <c:v>8.8928986135243804E-2</c:v>
                </c:pt>
                <c:pt idx="49">
                  <c:v>1.3765893509017199E-2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CB-4A69-8948-4EB97D28039F}"/>
            </c:ext>
          </c:extLst>
        </c:ser>
        <c:ser>
          <c:idx val="1"/>
          <c:order val="1"/>
          <c:tx>
            <c:strRef>
              <c:f>'168'!$T$41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'168'!$T$42:$T$91</c:f>
              <c:numCache>
                <c:formatCode>0.00</c:formatCode>
                <c:ptCount val="50"/>
                <c:pt idx="0">
                  <c:v>5.9859841749999996</c:v>
                </c:pt>
                <c:pt idx="1">
                  <c:v>5.9472873944333662</c:v>
                </c:pt>
                <c:pt idx="2">
                  <c:v>5.8806628868383175</c:v>
                </c:pt>
                <c:pt idx="3">
                  <c:v>5.7930963797075892</c:v>
                </c:pt>
                <c:pt idx="4">
                  <c:v>5.69073596627344</c:v>
                </c:pt>
                <c:pt idx="5">
                  <c:v>5.5789327668610325</c:v>
                </c:pt>
                <c:pt idx="6">
                  <c:v>5.4622815902418331</c:v>
                </c:pt>
                <c:pt idx="7">
                  <c:v>5.3446615949870004</c:v>
                </c:pt>
                <c:pt idx="8">
                  <c:v>5.2292769508207675</c:v>
                </c:pt>
                <c:pt idx="9">
                  <c:v>5.1186974999738455</c:v>
                </c:pt>
                <c:pt idx="10">
                  <c:v>5.014899418536805</c:v>
                </c:pt>
                <c:pt idx="11">
                  <c:v>4.9193058778134677</c:v>
                </c:pt>
                <c:pt idx="12">
                  <c:v>4.8328277056743154</c:v>
                </c:pt>
                <c:pt idx="13">
                  <c:v>4.7559040479098504</c:v>
                </c:pt>
                <c:pt idx="14">
                  <c:v>4.6885430295839985</c:v>
                </c:pt>
                <c:pt idx="15">
                  <c:v>4.6303624163875261</c:v>
                </c:pt>
                <c:pt idx="16">
                  <c:v>4.5806302759913811</c:v>
                </c:pt>
                <c:pt idx="17">
                  <c:v>4.5383056394001242</c:v>
                </c:pt>
                <c:pt idx="18">
                  <c:v>4.5020791623053018</c:v>
                </c:pt>
                <c:pt idx="19">
                  <c:v>4.4704137864388462</c:v>
                </c:pt>
                <c:pt idx="20">
                  <c:v>4.4415854009264608</c:v>
                </c:pt>
                <c:pt idx="21">
                  <c:v>4.4137235036410001</c:v>
                </c:pt>
                <c:pt idx="22">
                  <c:v>4.3848518625558865</c:v>
                </c:pt>
                <c:pt idx="23">
                  <c:v>4.3529291770984813</c:v>
                </c:pt>
                <c:pt idx="24">
                  <c:v>4.3158897395034774</c:v>
                </c:pt>
                <c:pt idx="25">
                  <c:v>4.2716840961662905</c:v>
                </c:pt>
                <c:pt idx="26">
                  <c:v>4.2183197089964741</c:v>
                </c:pt>
                <c:pt idx="27">
                  <c:v>4.153901616771063</c:v>
                </c:pt>
                <c:pt idx="28">
                  <c:v>4.0766730964879976</c:v>
                </c:pt>
                <c:pt idx="29">
                  <c:v>3.9850563247195288</c:v>
                </c:pt>
                <c:pt idx="30">
                  <c:v>3.8776930389655586</c:v>
                </c:pt>
                <c:pt idx="31">
                  <c:v>3.7534851990070628</c:v>
                </c:pt>
                <c:pt idx="32">
                  <c:v>3.6116356482594938</c:v>
                </c:pt>
                <c:pt idx="33">
                  <c:v>3.4516887751261756</c:v>
                </c:pt>
                <c:pt idx="34">
                  <c:v>3.2735711743516216</c:v>
                </c:pt>
                <c:pt idx="35">
                  <c:v>3.0776323083749908</c:v>
                </c:pt>
                <c:pt idx="36">
                  <c:v>2.8646851686835397</c:v>
                </c:pt>
                <c:pt idx="37">
                  <c:v>2.6360469371658724</c:v>
                </c:pt>
                <c:pt idx="38">
                  <c:v>2.3935796474653657</c:v>
                </c:pt>
                <c:pt idx="39">
                  <c:v>2.1397308463336771</c:v>
                </c:pt>
                <c:pt idx="40">
                  <c:v>1.8775742549840615</c:v>
                </c:pt>
                <c:pt idx="41">
                  <c:v>1.6108504304446569</c:v>
                </c:pt>
                <c:pt idx="42">
                  <c:v>1.3440074269119933</c:v>
                </c:pt>
                <c:pt idx="43">
                  <c:v>1.0822414571044732</c:v>
                </c:pt>
                <c:pt idx="44">
                  <c:v>0.83153755361552584</c:v>
                </c:pt>
                <c:pt idx="45">
                  <c:v>0.59871023026716585</c:v>
                </c:pt>
                <c:pt idx="46">
                  <c:v>0.39144414346337442</c:v>
                </c:pt>
                <c:pt idx="47">
                  <c:v>0.21833475354338816</c:v>
                </c:pt>
                <c:pt idx="48">
                  <c:v>8.8928986135272226E-2</c:v>
                </c:pt>
                <c:pt idx="49">
                  <c:v>1.3765893509017246E-2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B-4A69-8948-4EB97D280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'168'!$S$42:$S$91</c:f>
              <c:numCache>
                <c:formatCode>General</c:formatCode>
                <c:ptCount val="50"/>
                <c:pt idx="0">
                  <c:v>0.2136055392</c:v>
                </c:pt>
                <c:pt idx="1">
                  <c:v>0.21106735053160314</c:v>
                </c:pt>
                <c:pt idx="2">
                  <c:v>0.20907936587424472</c:v>
                </c:pt>
                <c:pt idx="3">
                  <c:v>0.20762981780929618</c:v>
                </c:pt>
                <c:pt idx="4">
                  <c:v>0.20670531414810231</c:v>
                </c:pt>
                <c:pt idx="5">
                  <c:v>0.20629083793198147</c:v>
                </c:pt>
                <c:pt idx="6">
                  <c:v>0.20636974743222555</c:v>
                </c:pt>
                <c:pt idx="7">
                  <c:v>0.20692377615009999</c:v>
                </c:pt>
                <c:pt idx="8">
                  <c:v>0.20793303281684364</c:v>
                </c:pt>
                <c:pt idx="9">
                  <c:v>0.20937600139366888</c:v>
                </c:pt>
                <c:pt idx="10">
                  <c:v>0.21122954107176165</c:v>
                </c:pt>
                <c:pt idx="11">
                  <c:v>0.21346888627228155</c:v>
                </c:pt>
                <c:pt idx="12">
                  <c:v>0.21606764664636124</c:v>
                </c:pt>
                <c:pt idx="13">
                  <c:v>0.21899780707510735</c:v>
                </c:pt>
                <c:pt idx="14">
                  <c:v>0.2222297276696</c:v>
                </c:pt>
                <c:pt idx="15">
                  <c:v>0.22573214377089229</c:v>
                </c:pt>
                <c:pt idx="16">
                  <c:v>0.22947216595001138</c:v>
                </c:pt>
                <c:pt idx="17">
                  <c:v>0.23341528000795772</c:v>
                </c:pt>
                <c:pt idx="18">
                  <c:v>0.23752534697570576</c:v>
                </c:pt>
                <c:pt idx="19">
                  <c:v>0.24176460311420234</c:v>
                </c:pt>
                <c:pt idx="20">
                  <c:v>0.24609365991436877</c:v>
                </c:pt>
                <c:pt idx="21">
                  <c:v>0.25047150409710006</c:v>
                </c:pt>
                <c:pt idx="22">
                  <c:v>0.25485549761326337</c:v>
                </c:pt>
                <c:pt idx="23">
                  <c:v>0.25920137764370083</c:v>
                </c:pt>
                <c:pt idx="24">
                  <c:v>0.26346325659922737</c:v>
                </c:pt>
                <c:pt idx="25">
                  <c:v>0.26759362212063198</c:v>
                </c:pt>
                <c:pt idx="26">
                  <c:v>0.27154333707867612</c:v>
                </c:pt>
                <c:pt idx="27">
                  <c:v>0.27526163957409566</c:v>
                </c:pt>
                <c:pt idx="28">
                  <c:v>0.27869614293760003</c:v>
                </c:pt>
                <c:pt idx="29">
                  <c:v>0.28179283572987129</c:v>
                </c:pt>
                <c:pt idx="30">
                  <c:v>0.28449608174156593</c:v>
                </c:pt>
                <c:pt idx="31">
                  <c:v>0.28674861999331358</c:v>
                </c:pt>
                <c:pt idx="32">
                  <c:v>0.28849156473571747</c:v>
                </c:pt>
                <c:pt idx="33">
                  <c:v>0.28966440544935407</c:v>
                </c:pt>
                <c:pt idx="34">
                  <c:v>0.29020500684477374</c:v>
                </c:pt>
                <c:pt idx="35">
                  <c:v>0.29004960886250003</c:v>
                </c:pt>
                <c:pt idx="36">
                  <c:v>0.28913282667303025</c:v>
                </c:pt>
                <c:pt idx="37">
                  <c:v>0.2873876506768353</c:v>
                </c:pt>
                <c:pt idx="38">
                  <c:v>0.28474544650435912</c:v>
                </c:pt>
                <c:pt idx="39">
                  <c:v>0.28113595501601935</c:v>
                </c:pt>
                <c:pt idx="40">
                  <c:v>0.27648729230220764</c:v>
                </c:pt>
                <c:pt idx="41">
                  <c:v>0.27072594968328872</c:v>
                </c:pt>
                <c:pt idx="42">
                  <c:v>0.26377679370960005</c:v>
                </c:pt>
                <c:pt idx="43">
                  <c:v>0.25556306616145469</c:v>
                </c:pt>
                <c:pt idx="44">
                  <c:v>0.24600638404913738</c:v>
                </c:pt>
                <c:pt idx="45">
                  <c:v>0.23502673961290685</c:v>
                </c:pt>
                <c:pt idx="46">
                  <c:v>0.22254250032299461</c:v>
                </c:pt>
                <c:pt idx="47">
                  <c:v>0.20847040887960816</c:v>
                </c:pt>
                <c:pt idx="48">
                  <c:v>0.19272558321292621</c:v>
                </c:pt>
                <c:pt idx="49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'168'!$U$42:$U$91</c:f>
              <c:numCache>
                <c:formatCode>0.00</c:formatCode>
                <c:ptCount val="50"/>
                <c:pt idx="0">
                  <c:v>213.60553920000001</c:v>
                </c:pt>
                <c:pt idx="1">
                  <c:v>211.06735053160313</c:v>
                </c:pt>
                <c:pt idx="2">
                  <c:v>209.07936587424473</c:v>
                </c:pt>
                <c:pt idx="3">
                  <c:v>207.62981780929618</c:v>
                </c:pt>
                <c:pt idx="4">
                  <c:v>206.7053141481023</c:v>
                </c:pt>
                <c:pt idx="5">
                  <c:v>206.29083793198146</c:v>
                </c:pt>
                <c:pt idx="6">
                  <c:v>206.36974743222555</c:v>
                </c:pt>
                <c:pt idx="7">
                  <c:v>206.9237761501</c:v>
                </c:pt>
                <c:pt idx="8">
                  <c:v>207.93303281684365</c:v>
                </c:pt>
                <c:pt idx="9">
                  <c:v>209.37600139366887</c:v>
                </c:pt>
                <c:pt idx="10">
                  <c:v>211.22954107176164</c:v>
                </c:pt>
                <c:pt idx="11">
                  <c:v>213.46888627228157</c:v>
                </c:pt>
                <c:pt idx="12">
                  <c:v>216.06764664636125</c:v>
                </c:pt>
                <c:pt idx="13">
                  <c:v>218.99780707510735</c:v>
                </c:pt>
                <c:pt idx="14">
                  <c:v>222.22972766960001</c:v>
                </c:pt>
                <c:pt idx="15">
                  <c:v>225.73214377089229</c:v>
                </c:pt>
                <c:pt idx="16">
                  <c:v>229.47216595001137</c:v>
                </c:pt>
                <c:pt idx="17">
                  <c:v>233.41528000795773</c:v>
                </c:pt>
                <c:pt idx="18">
                  <c:v>237.52534697570576</c:v>
                </c:pt>
                <c:pt idx="19">
                  <c:v>241.76460311420234</c:v>
                </c:pt>
                <c:pt idx="20">
                  <c:v>246.09365991436877</c:v>
                </c:pt>
                <c:pt idx="21">
                  <c:v>250.47150409710005</c:v>
                </c:pt>
                <c:pt idx="22">
                  <c:v>254.8554976132634</c:v>
                </c:pt>
                <c:pt idx="23">
                  <c:v>259.20137764370082</c:v>
                </c:pt>
                <c:pt idx="24">
                  <c:v>263.46325659922735</c:v>
                </c:pt>
                <c:pt idx="25">
                  <c:v>267.59362212063201</c:v>
                </c:pt>
                <c:pt idx="26">
                  <c:v>271.54333707867613</c:v>
                </c:pt>
                <c:pt idx="27">
                  <c:v>275.26163957409568</c:v>
                </c:pt>
                <c:pt idx="28">
                  <c:v>278.69614293760003</c:v>
                </c:pt>
                <c:pt idx="29">
                  <c:v>281.79283572987129</c:v>
                </c:pt>
                <c:pt idx="30">
                  <c:v>284.49608174156594</c:v>
                </c:pt>
                <c:pt idx="31">
                  <c:v>286.74861999331358</c:v>
                </c:pt>
                <c:pt idx="32">
                  <c:v>288.49156473571747</c:v>
                </c:pt>
                <c:pt idx="33">
                  <c:v>289.66440544935409</c:v>
                </c:pt>
                <c:pt idx="34">
                  <c:v>290.20500684477372</c:v>
                </c:pt>
                <c:pt idx="35">
                  <c:v>290.04960886250001</c:v>
                </c:pt>
                <c:pt idx="36">
                  <c:v>289.13282667303025</c:v>
                </c:pt>
                <c:pt idx="37">
                  <c:v>287.38765067683528</c:v>
                </c:pt>
                <c:pt idx="38">
                  <c:v>284.74544650435911</c:v>
                </c:pt>
                <c:pt idx="39">
                  <c:v>281.13595501601935</c:v>
                </c:pt>
                <c:pt idx="40">
                  <c:v>276.48729230220766</c:v>
                </c:pt>
                <c:pt idx="41">
                  <c:v>270.72594968328872</c:v>
                </c:pt>
                <c:pt idx="42">
                  <c:v>263.77679370960004</c:v>
                </c:pt>
                <c:pt idx="43">
                  <c:v>255.56306616145471</c:v>
                </c:pt>
                <c:pt idx="44">
                  <c:v>246.00638404913738</c:v>
                </c:pt>
                <c:pt idx="45">
                  <c:v>235.02673961290685</c:v>
                </c:pt>
                <c:pt idx="46">
                  <c:v>222.54250032299461</c:v>
                </c:pt>
                <c:pt idx="47">
                  <c:v>208.47040887960816</c:v>
                </c:pt>
                <c:pt idx="48">
                  <c:v>192.72558321292621</c:v>
                </c:pt>
                <c:pt idx="49">
                  <c:v>175.2215164831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8-4B6F-8451-C7DFF3FEE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4.89275216519202E-2</c:v>
                </c:pt>
                <c:pt idx="2">
                  <c:v>9.4820096230171194E-2</c:v>
                </c:pt>
                <c:pt idx="3">
                  <c:v>0.13795922269791999</c:v>
                </c:pt>
                <c:pt idx="4">
                  <c:v>0.178587393387349</c:v>
                </c:pt>
                <c:pt idx="5">
                  <c:v>0.21692142991281599</c:v>
                </c:pt>
                <c:pt idx="6">
                  <c:v>0.25315344994836297</c:v>
                </c:pt>
                <c:pt idx="7">
                  <c:v>0.28745183400523999</c:v>
                </c:pt>
                <c:pt idx="8">
                  <c:v>0.31996219220941502</c:v>
                </c:pt>
                <c:pt idx="9">
                  <c:v>0.35080833107909498</c:v>
                </c:pt>
                <c:pt idx="10">
                  <c:v>0.38009322030223702</c:v>
                </c:pt>
                <c:pt idx="11">
                  <c:v>0.40789995951406899</c:v>
                </c:pt>
                <c:pt idx="12">
                  <c:v>0.43429274507460203</c:v>
                </c:pt>
                <c:pt idx="13">
                  <c:v>0.45931783684614902</c:v>
                </c:pt>
                <c:pt idx="14">
                  <c:v>0.48300452497084001</c:v>
                </c:pt>
                <c:pt idx="15">
                  <c:v>0.50536609664813403</c:v>
                </c:pt>
                <c:pt idx="16">
                  <c:v>0.52640080291234403</c:v>
                </c:pt>
                <c:pt idx="17">
                  <c:v>0.54609282541014603</c:v>
                </c:pt>
                <c:pt idx="18">
                  <c:v>0.56441324317809505</c:v>
                </c:pt>
                <c:pt idx="19">
                  <c:v>0.58132099942014404</c:v>
                </c:pt>
                <c:pt idx="20">
                  <c:v>0.59676386828516104</c:v>
                </c:pt>
                <c:pt idx="21">
                  <c:v>0.61067942164444</c:v>
                </c:pt>
                <c:pt idx="22">
                  <c:v>0.62299599586922105</c:v>
                </c:pt>
                <c:pt idx="23">
                  <c:v>0.63363365860820697</c:v>
                </c:pt>
                <c:pt idx="24">
                  <c:v>0.64250517556507603</c:v>
                </c:pt>
                <c:pt idx="25">
                  <c:v>0.649516977275998</c:v>
                </c:pt>
                <c:pt idx="26">
                  <c:v>0.65457012588715502</c:v>
                </c:pt>
                <c:pt idx="27">
                  <c:v>0.65756128193225305</c:v>
                </c:pt>
                <c:pt idx="28">
                  <c:v>0.65838367111004004</c:v>
                </c:pt>
                <c:pt idx="29">
                  <c:v>0.65692805106181895</c:v>
                </c:pt>
                <c:pt idx="30">
                  <c:v>0.65308367814896695</c:v>
                </c:pt>
                <c:pt idx="31">
                  <c:v>0.64673927423045396</c:v>
                </c:pt>
                <c:pt idx="32">
                  <c:v>0.63778399344034997</c:v>
                </c:pt>
                <c:pt idx="33">
                  <c:v>0.62610838896535004</c:v>
                </c:pt>
                <c:pt idx="34">
                  <c:v>0.61160537982228502</c:v>
                </c:pt>
                <c:pt idx="35">
                  <c:v>0.59417121763563996</c:v>
                </c:pt>
                <c:pt idx="36">
                  <c:v>0.57370645341506799</c:v>
                </c:pt>
                <c:pt idx="37">
                  <c:v>0.55011690433291105</c:v>
                </c:pt>
                <c:pt idx="38">
                  <c:v>0.52331462050170996</c:v>
                </c:pt>
                <c:pt idx="39">
                  <c:v>0.49321885175172198</c:v>
                </c:pt>
                <c:pt idx="40">
                  <c:v>0.45975701440844202</c:v>
                </c:pt>
                <c:pt idx="41">
                  <c:v>0.422865658070112</c:v>
                </c:pt>
                <c:pt idx="42">
                  <c:v>0.38249143238524103</c:v>
                </c:pt>
                <c:pt idx="43">
                  <c:v>0.33859205383011498</c:v>
                </c:pt>
                <c:pt idx="44">
                  <c:v>0.29113727248632498</c:v>
                </c:pt>
                <c:pt idx="45">
                  <c:v>0.240109838818272</c:v>
                </c:pt>
                <c:pt idx="46">
                  <c:v>0.18550647045068699</c:v>
                </c:pt>
                <c:pt idx="47">
                  <c:v>0.12733881894614699</c:v>
                </c:pt>
                <c:pt idx="48">
                  <c:v>6.5634436582594102E-2</c:v>
                </c:pt>
                <c:pt idx="49">
                  <c:v>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'168'!$V$41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'168'!$P$42:$P$91</c:f>
              <c:numCache>
                <c:formatCode>0</c:formatCode>
                <c:ptCount val="50"/>
                <c:pt idx="0">
                  <c:v>0</c:v>
                </c:pt>
                <c:pt idx="1">
                  <c:v>14.285714285714199</c:v>
                </c:pt>
                <c:pt idx="2">
                  <c:v>28.571428571428495</c:v>
                </c:pt>
                <c:pt idx="3">
                  <c:v>42.857142857142797</c:v>
                </c:pt>
                <c:pt idx="4">
                  <c:v>57.142857142857103</c:v>
                </c:pt>
                <c:pt idx="5">
                  <c:v>71.428571428571402</c:v>
                </c:pt>
                <c:pt idx="6">
                  <c:v>85.714285714285694</c:v>
                </c:pt>
                <c:pt idx="7">
                  <c:v>100</c:v>
                </c:pt>
                <c:pt idx="8">
                  <c:v>114.28571428571398</c:v>
                </c:pt>
                <c:pt idx="9">
                  <c:v>128.57142857142799</c:v>
                </c:pt>
                <c:pt idx="10">
                  <c:v>142.85714285714201</c:v>
                </c:pt>
                <c:pt idx="11">
                  <c:v>157.142857142857</c:v>
                </c:pt>
                <c:pt idx="12">
                  <c:v>171.42857142857099</c:v>
                </c:pt>
                <c:pt idx="13">
                  <c:v>185.71428571428498</c:v>
                </c:pt>
                <c:pt idx="14">
                  <c:v>200</c:v>
                </c:pt>
                <c:pt idx="15">
                  <c:v>214.28571428571399</c:v>
                </c:pt>
                <c:pt idx="16">
                  <c:v>228.57142857142796</c:v>
                </c:pt>
                <c:pt idx="17">
                  <c:v>242.85714285714204</c:v>
                </c:pt>
                <c:pt idx="18">
                  <c:v>257.142857142857</c:v>
                </c:pt>
                <c:pt idx="19">
                  <c:v>271.42857142857099</c:v>
                </c:pt>
                <c:pt idx="20">
                  <c:v>285.71428571428498</c:v>
                </c:pt>
                <c:pt idx="21">
                  <c:v>300</c:v>
                </c:pt>
                <c:pt idx="22">
                  <c:v>314.28571428571399</c:v>
                </c:pt>
                <c:pt idx="23">
                  <c:v>328.57142857142799</c:v>
                </c:pt>
                <c:pt idx="24">
                  <c:v>342.85714285714198</c:v>
                </c:pt>
                <c:pt idx="25">
                  <c:v>357.14285714285705</c:v>
                </c:pt>
                <c:pt idx="26">
                  <c:v>371.42857142857099</c:v>
                </c:pt>
                <c:pt idx="27">
                  <c:v>385.71428571428498</c:v>
                </c:pt>
                <c:pt idx="28">
                  <c:v>400</c:v>
                </c:pt>
                <c:pt idx="29">
                  <c:v>414.28571428571399</c:v>
                </c:pt>
                <c:pt idx="30">
                  <c:v>428.57142857142799</c:v>
                </c:pt>
                <c:pt idx="31">
                  <c:v>442.85714285714198</c:v>
                </c:pt>
                <c:pt idx="32">
                  <c:v>457.14285714285705</c:v>
                </c:pt>
                <c:pt idx="33">
                  <c:v>471.42857142857099</c:v>
                </c:pt>
                <c:pt idx="34">
                  <c:v>485.71428571428498</c:v>
                </c:pt>
                <c:pt idx="35">
                  <c:v>500</c:v>
                </c:pt>
                <c:pt idx="36">
                  <c:v>514.28571428571399</c:v>
                </c:pt>
                <c:pt idx="37">
                  <c:v>528.57142857142799</c:v>
                </c:pt>
                <c:pt idx="38">
                  <c:v>542.85714285714198</c:v>
                </c:pt>
                <c:pt idx="39">
                  <c:v>557.142857142857</c:v>
                </c:pt>
                <c:pt idx="40">
                  <c:v>571.42857142857099</c:v>
                </c:pt>
                <c:pt idx="41">
                  <c:v>585.71428571428498</c:v>
                </c:pt>
                <c:pt idx="42">
                  <c:v>600</c:v>
                </c:pt>
                <c:pt idx="43">
                  <c:v>614.28571428571399</c:v>
                </c:pt>
                <c:pt idx="44">
                  <c:v>628.57142857142799</c:v>
                </c:pt>
                <c:pt idx="45">
                  <c:v>642.85714285714198</c:v>
                </c:pt>
                <c:pt idx="46">
                  <c:v>657.142857142857</c:v>
                </c:pt>
                <c:pt idx="47">
                  <c:v>671.42857142857099</c:v>
                </c:pt>
                <c:pt idx="48">
                  <c:v>685.71428571428487</c:v>
                </c:pt>
                <c:pt idx="49">
                  <c:v>700</c:v>
                </c:pt>
              </c:numCache>
            </c:numRef>
          </c:xVal>
          <c:yVal>
            <c:numRef>
              <c:f>'168'!$V$42:$V$91</c:f>
              <c:numCache>
                <c:formatCode>0.00</c:formatCode>
                <c:ptCount val="50"/>
                <c:pt idx="0">
                  <c:v>1.236913564E-3</c:v>
                </c:pt>
                <c:pt idx="1">
                  <c:v>4.8927521651919932</c:v>
                </c:pt>
                <c:pt idx="2">
                  <c:v>9.482009623017106</c:v>
                </c:pt>
                <c:pt idx="3">
                  <c:v>13.795922269791989</c:v>
                </c:pt>
                <c:pt idx="4">
                  <c:v>17.858739338734967</c:v>
                </c:pt>
                <c:pt idx="5">
                  <c:v>21.692142991281617</c:v>
                </c:pt>
                <c:pt idx="6">
                  <c:v>25.315344994836334</c:v>
                </c:pt>
                <c:pt idx="7">
                  <c:v>28.745183400524002</c:v>
                </c:pt>
                <c:pt idx="8">
                  <c:v>31.996219220941459</c:v>
                </c:pt>
                <c:pt idx="9">
                  <c:v>35.08083310790937</c:v>
                </c:pt>
                <c:pt idx="10">
                  <c:v>38.009322030223565</c:v>
                </c:pt>
                <c:pt idx="11">
                  <c:v>40.789995951406901</c:v>
                </c:pt>
                <c:pt idx="12">
                  <c:v>43.429274507460207</c:v>
                </c:pt>
                <c:pt idx="13">
                  <c:v>45.931783684614878</c:v>
                </c:pt>
                <c:pt idx="14">
                  <c:v>48.300452497084002</c:v>
                </c:pt>
                <c:pt idx="15">
                  <c:v>50.53660966481344</c:v>
                </c:pt>
                <c:pt idx="16">
                  <c:v>52.640080291234426</c:v>
                </c:pt>
                <c:pt idx="17">
                  <c:v>54.609282541014529</c:v>
                </c:pt>
                <c:pt idx="18">
                  <c:v>56.441324317809489</c:v>
                </c:pt>
                <c:pt idx="19">
                  <c:v>58.132099942014392</c:v>
                </c:pt>
                <c:pt idx="20">
                  <c:v>59.676386828516023</c:v>
                </c:pt>
                <c:pt idx="21">
                  <c:v>61.06794216444402</c:v>
                </c:pt>
                <c:pt idx="22">
                  <c:v>62.299599586922149</c:v>
                </c:pt>
                <c:pt idx="23">
                  <c:v>63.363365860820728</c:v>
                </c:pt>
                <c:pt idx="24">
                  <c:v>64.250517556507546</c:v>
                </c:pt>
                <c:pt idx="25">
                  <c:v>64.951697727599822</c:v>
                </c:pt>
                <c:pt idx="26">
                  <c:v>65.457012588715557</c:v>
                </c:pt>
                <c:pt idx="27">
                  <c:v>65.756128193225379</c:v>
                </c:pt>
                <c:pt idx="28">
                  <c:v>65.838367111004004</c:v>
                </c:pt>
                <c:pt idx="29">
                  <c:v>65.692805106181893</c:v>
                </c:pt>
                <c:pt idx="30">
                  <c:v>65.308367814896812</c:v>
                </c:pt>
                <c:pt idx="31">
                  <c:v>64.67392742304547</c:v>
                </c:pt>
                <c:pt idx="32">
                  <c:v>63.778399344035059</c:v>
                </c:pt>
                <c:pt idx="33">
                  <c:v>62.610838896535085</c:v>
                </c:pt>
                <c:pt idx="34">
                  <c:v>61.160537982228632</c:v>
                </c:pt>
                <c:pt idx="35">
                  <c:v>59.417121763563991</c:v>
                </c:pt>
                <c:pt idx="36">
                  <c:v>57.370645341506915</c:v>
                </c:pt>
                <c:pt idx="37">
                  <c:v>55.011690433291314</c:v>
                </c:pt>
                <c:pt idx="38">
                  <c:v>52.331462050171126</c:v>
                </c:pt>
                <c:pt idx="39">
                  <c:v>49.321885175172312</c:v>
                </c:pt>
                <c:pt idx="40">
                  <c:v>45.975701440844446</c:v>
                </c:pt>
                <c:pt idx="41">
                  <c:v>42.286565807011485</c:v>
                </c:pt>
                <c:pt idx="42">
                  <c:v>38.249143238524127</c:v>
                </c:pt>
                <c:pt idx="43">
                  <c:v>33.85920538301167</c:v>
                </c:pt>
                <c:pt idx="44">
                  <c:v>29.113727248632728</c:v>
                </c:pt>
                <c:pt idx="45">
                  <c:v>24.010983881827656</c:v>
                </c:pt>
                <c:pt idx="46">
                  <c:v>18.550647045068843</c:v>
                </c:pt>
                <c:pt idx="47">
                  <c:v>12.733881894615081</c:v>
                </c:pt>
                <c:pt idx="48">
                  <c:v>6.5634436582597004</c:v>
                </c:pt>
                <c:pt idx="49">
                  <c:v>4.3774313084014693E-2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52-4866-93F0-95447CDF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'168'!$AS$5:$AS$15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00-4D51-AF91-43B43D02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'168'!$AS$16:$AS$26</c:f>
              <c:numCache>
                <c:formatCode>0.000</c:formatCode>
                <c:ptCount val="11"/>
                <c:pt idx="0">
                  <c:v>5.9859841749999996</c:v>
                </c:pt>
                <c:pt idx="1">
                  <c:v>5.590490208674737</c:v>
                </c:pt>
                <c:pt idx="2">
                  <c:v>5.0350741866876367</c:v>
                </c:pt>
                <c:pt idx="3">
                  <c:v>4.6468579757070057</c:v>
                </c:pt>
                <c:pt idx="4">
                  <c:v>4.4529664931627613</c:v>
                </c:pt>
                <c:pt idx="5">
                  <c:v>4.2948119080589171</c:v>
                </c:pt>
                <c:pt idx="6">
                  <c:v>3.9440965670541659</c:v>
                </c:pt>
                <c:pt idx="7">
                  <c:v>3.2166259100881711</c:v>
                </c:pt>
                <c:pt idx="8">
                  <c:v>2.0877481370226905</c:v>
                </c:pt>
                <c:pt idx="9">
                  <c:v>0.80716515101407194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62-4678-A363-515F71DEC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'168'!$AT$5:$AT$15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'168'!$AR$5:$AR$15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0.64624941755387599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E4-46FD-9C4C-DE65009F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'168'!$AT$4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'168'!$AT$16:$AT$26</c:f>
              <c:numCache>
                <c:formatCode>0.000</c:formatCode>
                <c:ptCount val="11"/>
                <c:pt idx="0">
                  <c:v>0.2136055392</c:v>
                </c:pt>
                <c:pt idx="1">
                  <c:v>0.20630937159680704</c:v>
                </c:pt>
                <c:pt idx="2">
                  <c:v>0.21082631601207469</c:v>
                </c:pt>
                <c:pt idx="3">
                  <c:v>0.22465396217434885</c:v>
                </c:pt>
                <c:pt idx="4">
                  <c:v>0.24435309888767071</c:v>
                </c:pt>
                <c:pt idx="5">
                  <c:v>0.26554784349528049</c:v>
                </c:pt>
                <c:pt idx="6">
                  <c:v>0.2829253696932697</c:v>
                </c:pt>
                <c:pt idx="7">
                  <c:v>0.29023618455854994</c:v>
                </c:pt>
                <c:pt idx="8">
                  <c:v>0.28029399296920682</c:v>
                </c:pt>
                <c:pt idx="9">
                  <c:v>0.24497572080278021</c:v>
                </c:pt>
                <c:pt idx="10">
                  <c:v>0.1752215164831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'168'!$AU$4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'168'!$AR$16:$AR$26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70</c:v>
                </c:pt>
                <c:pt idx="2">
                  <c:v>140</c:v>
                </c:pt>
                <c:pt idx="3">
                  <c:v>210</c:v>
                </c:pt>
                <c:pt idx="4">
                  <c:v>280</c:v>
                </c:pt>
                <c:pt idx="5">
                  <c:v>350</c:v>
                </c:pt>
                <c:pt idx="6">
                  <c:v>420</c:v>
                </c:pt>
                <c:pt idx="7">
                  <c:v>490</c:v>
                </c:pt>
                <c:pt idx="8">
                  <c:v>560</c:v>
                </c:pt>
                <c:pt idx="9">
                  <c:v>630</c:v>
                </c:pt>
                <c:pt idx="10">
                  <c:v>700</c:v>
                </c:pt>
              </c:numCache>
            </c:numRef>
          </c:xVal>
          <c:yVal>
            <c:numRef>
              <c:f>'168'!$AU$16:$AU$26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0.21318982544725823</c:v>
                </c:pt>
                <c:pt idx="2">
                  <c:v>0.37435902843492297</c:v>
                </c:pt>
                <c:pt idx="3">
                  <c:v>0.49879606802470844</c:v>
                </c:pt>
                <c:pt idx="4">
                  <c:v>0.59076493144408571</c:v>
                </c:pt>
                <c:pt idx="5">
                  <c:v>0.64624941755387588</c:v>
                </c:pt>
                <c:pt idx="6">
                  <c:v>0.65568495404405547</c:v>
                </c:pt>
                <c:pt idx="7">
                  <c:v>0.60669045550979317</c:v>
                </c:pt>
                <c:pt idx="8">
                  <c:v>0.48680020819713377</c:v>
                </c:pt>
                <c:pt idx="9">
                  <c:v>0.28619574870038073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BA-4A99-AA47-A7D4FBB3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DE-4AAC-A103-D980BC649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43-46E5-8A10-2378C96C2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'191'!$C$42:$C$91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40-4FF6-9454-F07B8C417100}"/>
            </c:ext>
          </c:extLst>
        </c:ser>
        <c:ser>
          <c:idx val="1"/>
          <c:order val="1"/>
          <c:tx>
            <c:strRef>
              <c:f>'191'!$G$41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'191'!$G$42:$G$91</c:f>
              <c:numCache>
                <c:formatCode>0.000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4.0529998461092545</c:v>
                </c:pt>
                <c:pt idx="31">
                  <c:v>3.8908912588488391</c:v>
                </c:pt>
                <c:pt idx="32">
                  <c:v>3.7284912215051627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1.9100711863092315</c:v>
                </c:pt>
                <c:pt idx="44">
                  <c:v>1.6958222720646603</c:v>
                </c:pt>
                <c:pt idx="45">
                  <c:v>1.4533834783299824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40-4FF6-9454-F07B8C417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'191'!$D$42:$D$91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C-4040-AEE3-5C9D6686D56B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'191'!$K$42:$K$91</c:f>
              <c:numCache>
                <c:formatCode>0.000</c:formatCode>
                <c:ptCount val="50"/>
                <c:pt idx="0">
                  <c:v>8.263128805E-4</c:v>
                </c:pt>
                <c:pt idx="1">
                  <c:v>4.7330403332995236E-2</c:v>
                </c:pt>
                <c:pt idx="2">
                  <c:v>9.3726868623804305E-2</c:v>
                </c:pt>
                <c:pt idx="3">
                  <c:v>0.13957564550492385</c:v>
                </c:pt>
                <c:pt idx="4">
                  <c:v>0.18449648775624797</c:v>
                </c:pt>
                <c:pt idx="5">
                  <c:v>0.22816544702797079</c:v>
                </c:pt>
                <c:pt idx="6">
                  <c:v>0.2703113536829897</c:v>
                </c:pt>
                <c:pt idx="7">
                  <c:v>0.31071229763930813</c:v>
                </c:pt>
                <c:pt idx="8">
                  <c:v>0.34919210921243865</c:v>
                </c:pt>
                <c:pt idx="9">
                  <c:v>0.38561683995780555</c:v>
                </c:pt>
                <c:pt idx="10">
                  <c:v>0.41989124351314799</c:v>
                </c:pt>
                <c:pt idx="11">
                  <c:v>0.45195525644092244</c:v>
                </c:pt>
                <c:pt idx="12">
                  <c:v>0.48178047907070753</c:v>
                </c:pt>
                <c:pt idx="13">
                  <c:v>0.50936665634160516</c:v>
                </c:pt>
                <c:pt idx="14">
                  <c:v>0.53473815864464502</c:v>
                </c:pt>
                <c:pt idx="15">
                  <c:v>0.55794046266518071</c:v>
                </c:pt>
                <c:pt idx="16">
                  <c:v>0.57903663222530488</c:v>
                </c:pt>
                <c:pt idx="17">
                  <c:v>0.59810379912624423</c:v>
                </c:pt>
                <c:pt idx="18">
                  <c:v>0.61522964399075941</c:v>
                </c:pt>
                <c:pt idx="19">
                  <c:v>0.63050887710555759</c:v>
                </c:pt>
                <c:pt idx="20">
                  <c:v>0.64403971926368908</c:v>
                </c:pt>
                <c:pt idx="21">
                  <c:v>0.65592038260694818</c:v>
                </c:pt>
                <c:pt idx="22">
                  <c:v>0.66624555146828257</c:v>
                </c:pt>
                <c:pt idx="23">
                  <c:v>0.67510286321419277</c:v>
                </c:pt>
                <c:pt idx="24">
                  <c:v>0.68256938908713294</c:v>
                </c:pt>
                <c:pt idx="25">
                  <c:v>0.68870811504791807</c:v>
                </c:pt>
                <c:pt idx="26">
                  <c:v>0.69356442261812357</c:v>
                </c:pt>
                <c:pt idx="27">
                  <c:v>0.69716256972249258</c:v>
                </c:pt>
                <c:pt idx="28">
                  <c:v>0.69950217153133165</c:v>
                </c:pt>
                <c:pt idx="29">
                  <c:v>0.70055468130292153</c:v>
                </c:pt>
                <c:pt idx="30">
                  <c:v>0.70025987122591404</c:v>
                </c:pt>
                <c:pt idx="31">
                  <c:v>0.69852231326173808</c:v>
                </c:pt>
                <c:pt idx="32">
                  <c:v>0.69520785998700374</c:v>
                </c:pt>
                <c:pt idx="33">
                  <c:v>0.69014012543590075</c:v>
                </c:pt>
                <c:pt idx="34">
                  <c:v>0.68309696594260605</c:v>
                </c:pt>
                <c:pt idx="35">
                  <c:v>0.67380696098368442</c:v>
                </c:pt>
                <c:pt idx="36">
                  <c:v>0.66194589402048964</c:v>
                </c:pt>
                <c:pt idx="37">
                  <c:v>0.64713323334157391</c:v>
                </c:pt>
                <c:pt idx="38">
                  <c:v>0.62892861290508284</c:v>
                </c:pt>
                <c:pt idx="39">
                  <c:v>0.60682831318116259</c:v>
                </c:pt>
                <c:pt idx="40">
                  <c:v>0.58026174199436353</c:v>
                </c:pt>
                <c:pt idx="41">
                  <c:v>0.54858791536604201</c:v>
                </c:pt>
                <c:pt idx="42">
                  <c:v>0.51109193835676026</c:v>
                </c:pt>
                <c:pt idx="43">
                  <c:v>0.46698148590869037</c:v>
                </c:pt>
                <c:pt idx="44">
                  <c:v>0.41538328368803151</c:v>
                </c:pt>
                <c:pt idx="45">
                  <c:v>0.35533958892738382</c:v>
                </c:pt>
                <c:pt idx="46">
                  <c:v>0.28580467126817555</c:v>
                </c:pt>
                <c:pt idx="47">
                  <c:v>0.20564129360306652</c:v>
                </c:pt>
                <c:pt idx="48">
                  <c:v>0.11361719291833197</c:v>
                </c:pt>
                <c:pt idx="49">
                  <c:v>8.4015611362644911E-3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C-4040-AEE3-5C9D6686D56B}"/>
            </c:ext>
          </c:extLst>
        </c:ser>
        <c:ser>
          <c:idx val="2"/>
          <c:order val="2"/>
          <c:tx>
            <c:strRef>
              <c:f>'191'!$N$41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'191'!$N$42:$N$91</c:f>
              <c:numCache>
                <c:formatCode>0.000</c:formatCode>
                <c:ptCount val="50"/>
                <c:pt idx="0">
                  <c:v>0</c:v>
                </c:pt>
                <c:pt idx="1">
                  <c:v>4.8006648979407138E-2</c:v>
                </c:pt>
                <c:pt idx="2">
                  <c:v>9.563363191501538E-2</c:v>
                </c:pt>
                <c:pt idx="3">
                  <c:v>0.14223803791754674</c:v>
                </c:pt>
                <c:pt idx="4">
                  <c:v>0.1873633920295002</c:v>
                </c:pt>
                <c:pt idx="5">
                  <c:v>0.23070640324403174</c:v>
                </c:pt>
                <c:pt idx="6">
                  <c:v>0.27208530455317825</c:v>
                </c:pt>
                <c:pt idx="7">
                  <c:v>0.31141069372850821</c:v>
                </c:pt>
                <c:pt idx="8">
                  <c:v>0.34865954913870539</c:v>
                </c:pt>
                <c:pt idx="9">
                  <c:v>0.38385285604287933</c:v>
                </c:pt>
                <c:pt idx="10">
                  <c:v>0.4170370530180586</c:v>
                </c:pt>
                <c:pt idx="11">
                  <c:v>0.44826930857996866</c:v>
                </c:pt>
                <c:pt idx="12">
                  <c:v>0.47760647292452241</c:v>
                </c:pt>
                <c:pt idx="13">
                  <c:v>0.5050974228044004</c:v>
                </c:pt>
                <c:pt idx="14">
                  <c:v>0.53077842878016401</c:v>
                </c:pt>
                <c:pt idx="15">
                  <c:v>0.55467112046916411</c:v>
                </c:pt>
                <c:pt idx="16">
                  <c:v>0.5767826020649971</c:v>
                </c:pt>
                <c:pt idx="17">
                  <c:v>0.59710727141190512</c:v>
                </c:pt>
                <c:pt idx="18">
                  <c:v>0.61562991512360032</c:v>
                </c:pt>
                <c:pt idx="19">
                  <c:v>0.63232968374662502</c:v>
                </c:pt>
                <c:pt idx="20">
                  <c:v>0.64718458953033431</c:v>
                </c:pt>
                <c:pt idx="21">
                  <c:v>0.66017621053761544</c:v>
                </c:pt>
                <c:pt idx="22">
                  <c:v>0.67129432502345432</c:v>
                </c:pt>
                <c:pt idx="23">
                  <c:v>0.68054123642541131</c:v>
                </c:pt>
                <c:pt idx="24">
                  <c:v>0.68793557981564812</c:v>
                </c:pt>
                <c:pt idx="25">
                  <c:v>0.6935154236107951</c:v>
                </c:pt>
                <c:pt idx="26">
                  <c:v>0.69734049436520329</c:v>
                </c:pt>
                <c:pt idx="27">
                  <c:v>0.69949335629653941</c:v>
                </c:pt>
                <c:pt idx="28">
                  <c:v>0.70007936935035686</c:v>
                </c:pt>
                <c:pt idx="29">
                  <c:v>0.69922522819601163</c:v>
                </c:pt>
                <c:pt idx="30">
                  <c:v>0.69707584686909951</c:v>
                </c:pt>
                <c:pt idx="31">
                  <c:v>0.6937892959210834</c:v>
                </c:pt>
                <c:pt idx="32">
                  <c:v>0.68952941515548849</c:v>
                </c:pt>
                <c:pt idx="33">
                  <c:v>0.68445560685470219</c:v>
                </c:pt>
                <c:pt idx="34">
                  <c:v>0.67870914932151394</c:v>
                </c:pt>
                <c:pt idx="35">
                  <c:v>0.67239513998710387</c:v>
                </c:pt>
                <c:pt idx="36">
                  <c:v>0.66555885341704601</c:v>
                </c:pt>
                <c:pt idx="37">
                  <c:v>0.65815484005955405</c:v>
                </c:pt>
                <c:pt idx="38">
                  <c:v>0.6500064316436498</c:v>
                </c:pt>
                <c:pt idx="39">
                  <c:v>0.64075235742185965</c:v>
                </c:pt>
                <c:pt idx="40">
                  <c:v>0.62977575081531645</c:v>
                </c:pt>
                <c:pt idx="41">
                  <c:v>0.61610867692707705</c:v>
                </c:pt>
                <c:pt idx="42">
                  <c:v>0.59830200373946707</c:v>
                </c:pt>
                <c:pt idx="43">
                  <c:v>0.57424523490257851</c:v>
                </c:pt>
                <c:pt idx="44">
                  <c:v>0.5409125276051262</c:v>
                </c:pt>
                <c:pt idx="45">
                  <c:v>0.49399720380287154</c:v>
                </c:pt>
                <c:pt idx="46">
                  <c:v>0.42737327351250226</c:v>
                </c:pt>
                <c:pt idx="47">
                  <c:v>0.33228037174184355</c:v>
                </c:pt>
                <c:pt idx="48">
                  <c:v>0.19605090721737059</c:v>
                </c:pt>
                <c:pt idx="49">
                  <c:v>4.8476716433880694E-5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C-4040-AEE3-5C9D6686D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'191'!$E$41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'191'!$E$42:$E$91</c:f>
              <c:numCache>
                <c:formatCode>0.000</c:formatCode>
                <c:ptCount val="50"/>
                <c:pt idx="0">
                  <c:v>0</c:v>
                </c:pt>
                <c:pt idx="1">
                  <c:v>0.19938503325422599</c:v>
                </c:pt>
                <c:pt idx="2">
                  <c:v>0.200032138026946</c:v>
                </c:pt>
                <c:pt idx="3">
                  <c:v>0.199505827983709</c:v>
                </c:pt>
                <c:pt idx="4">
                  <c:v>0.198782784170315</c:v>
                </c:pt>
                <c:pt idx="5">
                  <c:v>0.19811651366944599</c:v>
                </c:pt>
                <c:pt idx="6">
                  <c:v>0.19762162463758301</c:v>
                </c:pt>
                <c:pt idx="7">
                  <c:v>0.197361293933244</c:v>
                </c:pt>
                <c:pt idx="8">
                  <c:v>0.19737097963775399</c:v>
                </c:pt>
                <c:pt idx="9">
                  <c:v>0.19766746048199199</c:v>
                </c:pt>
                <c:pt idx="10">
                  <c:v>0.19825321716176</c:v>
                </c:pt>
                <c:pt idx="11">
                  <c:v>0.19911898378180801</c:v>
                </c:pt>
                <c:pt idx="12">
                  <c:v>0.20024547410393601</c:v>
                </c:pt>
                <c:pt idx="13">
                  <c:v>0.20160471285371001</c:v>
                </c:pt>
                <c:pt idx="14">
                  <c:v>0.20316118909671699</c:v>
                </c:pt>
                <c:pt idx="15">
                  <c:v>0.20487295760764099</c:v>
                </c:pt>
                <c:pt idx="16">
                  <c:v>0.20669276936299599</c:v>
                </c:pt>
                <c:pt idx="17">
                  <c:v>0.20856928627916499</c:v>
                </c:pt>
                <c:pt idx="18">
                  <c:v>0.21044841690881</c:v>
                </c:pt>
                <c:pt idx="19">
                  <c:v>0.21227479401253699</c:v>
                </c:pt>
                <c:pt idx="20">
                  <c:v>0.213993399415737</c:v>
                </c:pt>
                <c:pt idx="21">
                  <c:v>0.21555132537108701</c:v>
                </c:pt>
                <c:pt idx="22">
                  <c:v>0.21689964464653</c:v>
                </c:pt>
                <c:pt idx="23">
                  <c:v>0.21799534425049999</c:v>
                </c:pt>
                <c:pt idx="24">
                  <c:v>0.21880326110999601</c:v>
                </c:pt>
                <c:pt idx="25">
                  <c:v>0.219297943551304</c:v>
                </c:pt>
                <c:pt idx="26">
                  <c:v>0.21946535175329901</c:v>
                </c:pt>
                <c:pt idx="27">
                  <c:v>0.21930430512059099</c:v>
                </c:pt>
                <c:pt idx="28">
                  <c:v>0.218827586171947</c:v>
                </c:pt>
                <c:pt idx="29">
                  <c:v>0.21806261992293599</c:v>
                </c:pt>
                <c:pt idx="30">
                  <c:v>0.217051664913336</c:v>
                </c:pt>
                <c:pt idx="31">
                  <c:v>0.21585147605385799</c:v>
                </c:pt>
                <c:pt idx="32">
                  <c:v>0.21453242837563999</c:v>
                </c:pt>
                <c:pt idx="33">
                  <c:v>0.21317712166907099</c:v>
                </c:pt>
                <c:pt idx="34">
                  <c:v>0.21187851532159899</c:v>
                </c:pt>
                <c:pt idx="35">
                  <c:v>0.210737666438745</c:v>
                </c:pt>
                <c:pt idx="36">
                  <c:v>0.209861158383085</c:v>
                </c:pt>
                <c:pt idx="37">
                  <c:v>0.20935830663817501</c:v>
                </c:pt>
                <c:pt idx="38">
                  <c:v>0.20933820846277401</c:v>
                </c:pt>
                <c:pt idx="39">
                  <c:v>0.20990665197348901</c:v>
                </c:pt>
                <c:pt idx="40">
                  <c:v>0.21116279739506499</c:v>
                </c:pt>
                <c:pt idx="41">
                  <c:v>0.213195336050781</c:v>
                </c:pt>
                <c:pt idx="42">
                  <c:v>0.216077385019628</c:v>
                </c:pt>
                <c:pt idx="43">
                  <c:v>0.21985829979781399</c:v>
                </c:pt>
                <c:pt idx="44">
                  <c:v>0.224547650428495</c:v>
                </c:pt>
                <c:pt idx="45">
                  <c:v>0.23007723854776499</c:v>
                </c:pt>
                <c:pt idx="46">
                  <c:v>0.23619030638783001</c:v>
                </c:pt>
                <c:pt idx="47">
                  <c:v>0.242011101737515</c:v>
                </c:pt>
                <c:pt idx="48">
                  <c:v>0.243210437668509</c:v>
                </c:pt>
                <c:pt idx="49">
                  <c:v>7.5843329835972005E-4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6-42B8-86E0-CC6184A82912}"/>
            </c:ext>
          </c:extLst>
        </c:ser>
        <c:ser>
          <c:idx val="1"/>
          <c:order val="1"/>
          <c:tx>
            <c:strRef>
              <c:f>'191'!$I$41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'191'!$I$42:$I$91</c:f>
              <c:numCache>
                <c:formatCode>0.000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6-42B8-86E0-CC6184A82912}"/>
            </c:ext>
          </c:extLst>
        </c:ser>
        <c:ser>
          <c:idx val="2"/>
          <c:order val="2"/>
          <c:tx>
            <c:strRef>
              <c:f>'191'!$M$41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'191'!$B$42:$B$91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330.61224489795899</c:v>
                </c:pt>
                <c:pt idx="31">
                  <c:v>341.632653061224</c:v>
                </c:pt>
                <c:pt idx="32">
                  <c:v>352.65306122448902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473.87755102040802</c:v>
                </c:pt>
                <c:pt idx="44">
                  <c:v>484.89795918367298</c:v>
                </c:pt>
                <c:pt idx="45">
                  <c:v>495.918367346938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'191'!$M$42:$M$91</c:f>
              <c:numCache>
                <c:formatCode>0.000</c:formatCode>
                <c:ptCount val="50"/>
                <c:pt idx="0">
                  <c:v>0</c:v>
                </c:pt>
                <c:pt idx="1">
                  <c:v>0.19958182092966326</c:v>
                </c:pt>
                <c:pt idx="2">
                  <c:v>0.20022956437742201</c:v>
                </c:pt>
                <c:pt idx="3">
                  <c:v>0.19970273488030096</c:v>
                </c:pt>
                <c:pt idx="4">
                  <c:v>0.19897897744207352</c:v>
                </c:pt>
                <c:pt idx="5">
                  <c:v>0.19831204935010532</c:v>
                </c:pt>
                <c:pt idx="6">
                  <c:v>0.19781667187605298</c:v>
                </c:pt>
                <c:pt idx="7">
                  <c:v>0.19755608423229712</c:v>
                </c:pt>
                <c:pt idx="8">
                  <c:v>0.19756577949633761</c:v>
                </c:pt>
                <c:pt idx="9">
                  <c:v>0.19786255295921035</c:v>
                </c:pt>
                <c:pt idx="10">
                  <c:v>0.19844888776509678</c:v>
                </c:pt>
                <c:pt idx="11">
                  <c:v>0.19931550887355778</c:v>
                </c:pt>
                <c:pt idx="12">
                  <c:v>0.200443111011393</c:v>
                </c:pt>
                <c:pt idx="13">
                  <c:v>0.20180369129332501</c:v>
                </c:pt>
                <c:pt idx="14">
                  <c:v>0.20336170373660165</c:v>
                </c:pt>
                <c:pt idx="15">
                  <c:v>0.20507516171709431</c:v>
                </c:pt>
                <c:pt idx="16">
                  <c:v>0.2068967695777994</c:v>
                </c:pt>
                <c:pt idx="17">
                  <c:v>0.20877513856579152</c:v>
                </c:pt>
                <c:pt idx="18">
                  <c:v>0.2106561238469235</c:v>
                </c:pt>
                <c:pt idx="19">
                  <c:v>0.21248430353582257</c:v>
                </c:pt>
                <c:pt idx="20">
                  <c:v>0.21420460515642134</c:v>
                </c:pt>
                <c:pt idx="21">
                  <c:v>0.21576406874286733</c:v>
                </c:pt>
                <c:pt idx="22">
                  <c:v>0.21711371877324004</c:v>
                </c:pt>
                <c:pt idx="23">
                  <c:v>0.21821049980330598</c:v>
                </c:pt>
                <c:pt idx="24">
                  <c:v>0.21901921405505495</c:v>
                </c:pt>
                <c:pt idx="25">
                  <c:v>0.21951438473465243</c:v>
                </c:pt>
                <c:pt idx="26">
                  <c:v>0.2196819581640482</c:v>
                </c:pt>
                <c:pt idx="27">
                  <c:v>0.21952075258263792</c:v>
                </c:pt>
                <c:pt idx="28">
                  <c:v>0.2190435631251878</c:v>
                </c:pt>
                <c:pt idx="29">
                  <c:v>0.21827784187502389</c:v>
                </c:pt>
                <c:pt idx="30">
                  <c:v>0.21726588907996894</c:v>
                </c:pt>
                <c:pt idx="31">
                  <c:v>0.21606451566630472</c:v>
                </c:pt>
                <c:pt idx="32">
                  <c:v>0.21474416612343708</c:v>
                </c:pt>
                <c:pt idx="33">
                  <c:v>0.21338752176553205</c:v>
                </c:pt>
                <c:pt idx="34">
                  <c:v>0.2120876337284551</c:v>
                </c:pt>
                <c:pt idx="35">
                  <c:v>0.21094565885837899</c:v>
                </c:pt>
                <c:pt idx="36">
                  <c:v>0.21006828571279751</c:v>
                </c:pt>
                <c:pt idx="37">
                  <c:v>0.20956493766671477</c:v>
                </c:pt>
                <c:pt idx="38">
                  <c:v>0.20954481965495381</c:v>
                </c:pt>
                <c:pt idx="39">
                  <c:v>0.21011382420415459</c:v>
                </c:pt>
                <c:pt idx="40">
                  <c:v>0.21137120940754048</c:v>
                </c:pt>
                <c:pt idx="41">
                  <c:v>0.21340575412434615</c:v>
                </c:pt>
                <c:pt idx="42">
                  <c:v>0.21629064759815858</c:v>
                </c:pt>
                <c:pt idx="43">
                  <c:v>0.22007529403773385</c:v>
                </c:pt>
                <c:pt idx="44">
                  <c:v>0.22476927293160348</c:v>
                </c:pt>
                <c:pt idx="45">
                  <c:v>0.23030431860590839</c:v>
                </c:pt>
                <c:pt idx="46">
                  <c:v>0.23642341987983212</c:v>
                </c:pt>
                <c:pt idx="47">
                  <c:v>0.24224996019827094</c:v>
                </c:pt>
                <c:pt idx="48">
                  <c:v>0.24345047984161855</c:v>
                </c:pt>
                <c:pt idx="49">
                  <c:v>7.5918185166545934E-4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6-42B8-86E0-CC6184A8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9-4B7A-A100-BDED18E0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27-4F19-B60C-43A593A27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'191'!$Q$42:$Q$91</c:f>
              <c:numCache>
                <c:formatCode>General</c:formatCode>
                <c:ptCount val="50"/>
                <c:pt idx="0">
                  <c:v>7.5681751740000003</c:v>
                </c:pt>
                <c:pt idx="1">
                  <c:v>7.5493270710572098</c:v>
                </c:pt>
                <c:pt idx="2">
                  <c:v>7.4991038831821104</c:v>
                </c:pt>
                <c:pt idx="3">
                  <c:v>7.4253932361308497</c:v>
                </c:pt>
                <c:pt idx="4">
                  <c:v>7.3347001072139504</c:v>
                </c:pt>
                <c:pt idx="5">
                  <c:v>7.2322932914462497</c:v>
                </c:pt>
                <c:pt idx="6">
                  <c:v>7.1223446155300199</c:v>
                </c:pt>
                <c:pt idx="7">
                  <c:v>7.0080608996712304</c:v>
                </c:pt>
                <c:pt idx="8">
                  <c:v>6.8918086672288696</c:v>
                </c:pt>
                <c:pt idx="9">
                  <c:v>6.7752316021975201</c:v>
                </c:pt>
                <c:pt idx="10">
                  <c:v>6.6593607545229698</c:v>
                </c:pt>
                <c:pt idx="11">
                  <c:v>6.5447174932510404</c:v>
                </c:pt>
                <c:pt idx="12">
                  <c:v>6.4314092075095202</c:v>
                </c:pt>
                <c:pt idx="13">
                  <c:v>6.3192177553231801</c:v>
                </c:pt>
                <c:pt idx="14">
                  <c:v>6.2076806602620902</c:v>
                </c:pt>
                <c:pt idx="15">
                  <c:v>6.0961650559228699</c:v>
                </c:pt>
                <c:pt idx="16">
                  <c:v>5.9839343782432204</c:v>
                </c:pt>
                <c:pt idx="17">
                  <c:v>5.8702078056495504</c:v>
                </c:pt>
                <c:pt idx="18">
                  <c:v>5.7542124470377196</c:v>
                </c:pt>
                <c:pt idx="19">
                  <c:v>5.6352282775869904</c:v>
                </c:pt>
                <c:pt idx="20">
                  <c:v>5.5126258224070304</c:v>
                </c:pt>
                <c:pt idx="21">
                  <c:v>5.3858965880180802</c:v>
                </c:pt>
                <c:pt idx="22">
                  <c:v>5.2546762416643196</c:v>
                </c:pt>
                <c:pt idx="23">
                  <c:v>5.1187605384603003</c:v>
                </c:pt>
                <c:pt idx="24">
                  <c:v>4.9781139963705403</c:v>
                </c:pt>
                <c:pt idx="25">
                  <c:v>4.8328713190222601</c:v>
                </c:pt>
                <c:pt idx="26">
                  <c:v>4.68333156635126</c:v>
                </c:pt>
                <c:pt idx="27">
                  <c:v>4.5299450730809498</c:v>
                </c:pt>
                <c:pt idx="28">
                  <c:v>4.37329311503448</c:v>
                </c:pt>
                <c:pt idx="29">
                  <c:v>4.21406032328004</c:v>
                </c:pt>
                <c:pt idx="30">
                  <c:v>4.0529998461092598</c:v>
                </c:pt>
                <c:pt idx="31">
                  <c:v>3.89089125884882</c:v>
                </c:pt>
                <c:pt idx="32">
                  <c:v>3.7284912215051298</c:v>
                </c:pt>
                <c:pt idx="33">
                  <c:v>3.5664768842422001</c:v>
                </c:pt>
                <c:pt idx="34">
                  <c:v>3.4053820406926301</c:v>
                </c:pt>
                <c:pt idx="35">
                  <c:v>3.2455260291016002</c:v>
                </c:pt>
                <c:pt idx="36">
                  <c:v>3.0869353813043201</c:v>
                </c:pt>
                <c:pt idx="37">
                  <c:v>2.9292582195364001</c:v>
                </c:pt>
                <c:pt idx="38">
                  <c:v>2.7716714010772101</c:v>
                </c:pt>
                <c:pt idx="39">
                  <c:v>2.6127804107267498</c:v>
                </c:pt>
                <c:pt idx="40">
                  <c:v>2.45051200111538</c:v>
                </c:pt>
                <c:pt idx="41">
                  <c:v>2.2819995808468101</c:v>
                </c:pt>
                <c:pt idx="42">
                  <c:v>2.1034613504741402</c:v>
                </c:pt>
                <c:pt idx="43">
                  <c:v>1.9100711863092199</c:v>
                </c:pt>
                <c:pt idx="44">
                  <c:v>1.6958222720647</c:v>
                </c:pt>
                <c:pt idx="45">
                  <c:v>1.45338347832991</c:v>
                </c:pt>
                <c:pt idx="46">
                  <c:v>1.1739484898794701</c:v>
                </c:pt>
                <c:pt idx="47">
                  <c:v>0.84707768081470602</c:v>
                </c:pt>
                <c:pt idx="48">
                  <c:v>0.46053273753892598</c:v>
                </c:pt>
                <c:pt idx="49">
                  <c:v>1.0402956559119E-4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76-40A0-825F-CD9A5D00EB4B}"/>
            </c:ext>
          </c:extLst>
        </c:ser>
        <c:ser>
          <c:idx val="1"/>
          <c:order val="1"/>
          <c:tx>
            <c:strRef>
              <c:f>'191'!$T$41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'191'!$T$42:$T$91</c:f>
              <c:numCache>
                <c:formatCode>0.00</c:formatCode>
                <c:ptCount val="50"/>
                <c:pt idx="0">
                  <c:v>7.5681751740000003</c:v>
                </c:pt>
                <c:pt idx="1">
                  <c:v>7.5493270710572151</c:v>
                </c:pt>
                <c:pt idx="2">
                  <c:v>7.4991038831821175</c:v>
                </c:pt>
                <c:pt idx="3">
                  <c:v>7.4253932361308568</c:v>
                </c:pt>
                <c:pt idx="4">
                  <c:v>7.3347001072139522</c:v>
                </c:pt>
                <c:pt idx="5">
                  <c:v>7.2322932914462505</c:v>
                </c:pt>
                <c:pt idx="6">
                  <c:v>7.1223446155300278</c:v>
                </c:pt>
                <c:pt idx="7">
                  <c:v>7.0080608996712357</c:v>
                </c:pt>
                <c:pt idx="8">
                  <c:v>6.8918086672288759</c:v>
                </c:pt>
                <c:pt idx="9">
                  <c:v>6.7752316021975227</c:v>
                </c:pt>
                <c:pt idx="10">
                  <c:v>6.6593607545229743</c:v>
                </c:pt>
                <c:pt idx="11">
                  <c:v>6.5447174932510519</c:v>
                </c:pt>
                <c:pt idx="12">
                  <c:v>6.4314092075095255</c:v>
                </c:pt>
                <c:pt idx="13">
                  <c:v>6.3192177553231978</c:v>
                </c:pt>
                <c:pt idx="14">
                  <c:v>6.2076806602621026</c:v>
                </c:pt>
                <c:pt idx="15">
                  <c:v>6.0961650559228824</c:v>
                </c:pt>
                <c:pt idx="16">
                  <c:v>5.9839343782432337</c:v>
                </c:pt>
                <c:pt idx="17">
                  <c:v>5.8702078056495495</c:v>
                </c:pt>
                <c:pt idx="18">
                  <c:v>5.7542124470377303</c:v>
                </c:pt>
                <c:pt idx="19">
                  <c:v>5.6352282775870064</c:v>
                </c:pt>
                <c:pt idx="20">
                  <c:v>5.5126258224070375</c:v>
                </c:pt>
                <c:pt idx="21">
                  <c:v>5.3858965880180918</c:v>
                </c:pt>
                <c:pt idx="22">
                  <c:v>5.2546762416643373</c:v>
                </c:pt>
                <c:pt idx="23">
                  <c:v>5.1187605384603101</c:v>
                </c:pt>
                <c:pt idx="24">
                  <c:v>4.9781139963705439</c:v>
                </c:pt>
                <c:pt idx="25">
                  <c:v>4.8328713190222672</c:v>
                </c:pt>
                <c:pt idx="26">
                  <c:v>4.6833315663512831</c:v>
                </c:pt>
                <c:pt idx="27">
                  <c:v>4.5299450730809632</c:v>
                </c:pt>
                <c:pt idx="28">
                  <c:v>4.3732931150344987</c:v>
                </c:pt>
                <c:pt idx="29">
                  <c:v>4.2140603232800578</c:v>
                </c:pt>
                <c:pt idx="30">
                  <c:v>4.0529998461092775</c:v>
                </c:pt>
                <c:pt idx="31">
                  <c:v>3.890891258848832</c:v>
                </c:pt>
                <c:pt idx="32">
                  <c:v>3.728491221505168</c:v>
                </c:pt>
                <c:pt idx="33">
                  <c:v>3.5664768842422188</c:v>
                </c:pt>
                <c:pt idx="34">
                  <c:v>3.4053820406926167</c:v>
                </c:pt>
                <c:pt idx="35">
                  <c:v>3.245526029101601</c:v>
                </c:pt>
                <c:pt idx="36">
                  <c:v>3.0869353813043432</c:v>
                </c:pt>
                <c:pt idx="37">
                  <c:v>2.9292582195363899</c:v>
                </c:pt>
                <c:pt idx="38">
                  <c:v>2.7716714010772421</c:v>
                </c:pt>
                <c:pt idx="39">
                  <c:v>2.6127804107267565</c:v>
                </c:pt>
                <c:pt idx="40">
                  <c:v>2.4505120011154347</c:v>
                </c:pt>
                <c:pt idx="41">
                  <c:v>2.2819995808468505</c:v>
                </c:pt>
                <c:pt idx="42">
                  <c:v>2.103461350474177</c:v>
                </c:pt>
                <c:pt idx="43">
                  <c:v>1.910071186309203</c:v>
                </c:pt>
                <c:pt idx="44">
                  <c:v>1.6958222720646887</c:v>
                </c:pt>
                <c:pt idx="45">
                  <c:v>1.4533834783299397</c:v>
                </c:pt>
                <c:pt idx="46">
                  <c:v>1.1739484898794927</c:v>
                </c:pt>
                <c:pt idx="47">
                  <c:v>0.84707768081464963</c:v>
                </c:pt>
                <c:pt idx="48">
                  <c:v>0.46053273753896917</c:v>
                </c:pt>
                <c:pt idx="49">
                  <c:v>1.0402956559119048E-4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76-40A0-825F-CD9A5D00E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'191'!$S$42:$S$91</c:f>
              <c:numCache>
                <c:formatCode>General</c:formatCode>
                <c:ptCount val="50"/>
                <c:pt idx="0">
                  <c:v>0.19758204330000001</c:v>
                </c:pt>
                <c:pt idx="1">
                  <c:v>0.1967704116691556</c:v>
                </c:pt>
                <c:pt idx="2">
                  <c:v>0.196237345578189</c:v>
                </c:pt>
                <c:pt idx="3">
                  <c:v>0.19596472601917225</c:v>
                </c:pt>
                <c:pt idx="4">
                  <c:v>0.19593433956197887</c:v>
                </c:pt>
                <c:pt idx="5">
                  <c:v>0.19612787835428372</c:v>
                </c:pt>
                <c:pt idx="6">
                  <c:v>0.19652694012156294</c:v>
                </c:pt>
                <c:pt idx="7">
                  <c:v>0.197113028167094</c:v>
                </c:pt>
                <c:pt idx="8">
                  <c:v>0.19786755137195564</c:v>
                </c:pt>
                <c:pt idx="9">
                  <c:v>0.19877182419502809</c:v>
                </c:pt>
                <c:pt idx="10">
                  <c:v>0.19980706667299269</c:v>
                </c:pt>
                <c:pt idx="11">
                  <c:v>0.2009544044203323</c:v>
                </c:pt>
                <c:pt idx="12">
                  <c:v>0.20219486862933098</c:v>
                </c:pt>
                <c:pt idx="13">
                  <c:v>0.20350939607007421</c:v>
                </c:pt>
                <c:pt idx="14">
                  <c:v>0.20487882909044883</c:v>
                </c:pt>
                <c:pt idx="15">
                  <c:v>0.20628391561614268</c:v>
                </c:pt>
                <c:pt idx="16">
                  <c:v>0.20770530915064536</c:v>
                </c:pt>
                <c:pt idx="17">
                  <c:v>0.20912356877524763</c:v>
                </c:pt>
                <c:pt idx="18">
                  <c:v>0.2105191591490414</c:v>
                </c:pt>
                <c:pt idx="19">
                  <c:v>0.21187245050892015</c:v>
                </c:pt>
                <c:pt idx="20">
                  <c:v>0.2131637186695787</c:v>
                </c:pt>
                <c:pt idx="21">
                  <c:v>0.21437314502351287</c:v>
                </c:pt>
                <c:pt idx="22">
                  <c:v>0.21548081654102016</c:v>
                </c:pt>
                <c:pt idx="23">
                  <c:v>0.21646672577019935</c:v>
                </c:pt>
                <c:pt idx="24">
                  <c:v>0.21731077083695033</c:v>
                </c:pt>
                <c:pt idx="25">
                  <c:v>0.21799275544497451</c:v>
                </c:pt>
                <c:pt idx="26">
                  <c:v>0.21849238887577457</c:v>
                </c:pt>
                <c:pt idx="27">
                  <c:v>0.21878928598865452</c:v>
                </c:pt>
                <c:pt idx="28">
                  <c:v>0.21886296722071955</c:v>
                </c:pt>
                <c:pt idx="29">
                  <c:v>0.21869285858687657</c:v>
                </c:pt>
                <c:pt idx="30">
                  <c:v>0.21825829167983335</c:v>
                </c:pt>
                <c:pt idx="31">
                  <c:v>0.2175385036700993</c:v>
                </c:pt>
                <c:pt idx="32">
                  <c:v>0.21651263730598511</c:v>
                </c:pt>
                <c:pt idx="33">
                  <c:v>0.21515974091360252</c:v>
                </c:pt>
                <c:pt idx="34">
                  <c:v>0.21345876839686517</c:v>
                </c:pt>
                <c:pt idx="35">
                  <c:v>0.21138857923748744</c:v>
                </c:pt>
                <c:pt idx="36">
                  <c:v>0.20892793849498514</c:v>
                </c:pt>
                <c:pt idx="37">
                  <c:v>0.20605551680667589</c:v>
                </c:pt>
                <c:pt idx="38">
                  <c:v>0.20274989038767818</c:v>
                </c:pt>
                <c:pt idx="39">
                  <c:v>0.19898954103091157</c:v>
                </c:pt>
                <c:pt idx="40">
                  <c:v>0.19475285610709783</c:v>
                </c:pt>
                <c:pt idx="41">
                  <c:v>0.19001812856475944</c:v>
                </c:pt>
                <c:pt idx="42">
                  <c:v>0.18476355693022017</c:v>
                </c:pt>
                <c:pt idx="43">
                  <c:v>0.17896724530760477</c:v>
                </c:pt>
                <c:pt idx="44">
                  <c:v>0.17260720337884075</c:v>
                </c:pt>
                <c:pt idx="45">
                  <c:v>0.16566134640365554</c:v>
                </c:pt>
                <c:pt idx="46">
                  <c:v>0.15810749521957776</c:v>
                </c:pt>
                <c:pt idx="47">
                  <c:v>0.14992337624193913</c:v>
                </c:pt>
                <c:pt idx="48">
                  <c:v>0.14108662146387102</c:v>
                </c:pt>
                <c:pt idx="49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'191'!$U$42:$U$91</c:f>
              <c:numCache>
                <c:formatCode>0.00</c:formatCode>
                <c:ptCount val="50"/>
                <c:pt idx="0">
                  <c:v>197.58204330000001</c:v>
                </c:pt>
                <c:pt idx="1">
                  <c:v>196.77041166915561</c:v>
                </c:pt>
                <c:pt idx="2">
                  <c:v>196.23734557818901</c:v>
                </c:pt>
                <c:pt idx="3">
                  <c:v>195.96472601917225</c:v>
                </c:pt>
                <c:pt idx="4">
                  <c:v>195.93433956197887</c:v>
                </c:pt>
                <c:pt idx="5">
                  <c:v>196.12787835428372</c:v>
                </c:pt>
                <c:pt idx="6">
                  <c:v>196.52694012156294</c:v>
                </c:pt>
                <c:pt idx="7">
                  <c:v>197.113028167094</c:v>
                </c:pt>
                <c:pt idx="8">
                  <c:v>197.86755137195564</c:v>
                </c:pt>
                <c:pt idx="9">
                  <c:v>198.7718241950281</c:v>
                </c:pt>
                <c:pt idx="10">
                  <c:v>199.8070666729927</c:v>
                </c:pt>
                <c:pt idx="11">
                  <c:v>200.95440442033231</c:v>
                </c:pt>
                <c:pt idx="12">
                  <c:v>202.19486862933098</c:v>
                </c:pt>
                <c:pt idx="13">
                  <c:v>203.50939607007422</c:v>
                </c:pt>
                <c:pt idx="14">
                  <c:v>204.87882909044882</c:v>
                </c:pt>
                <c:pt idx="15">
                  <c:v>206.28391561614268</c:v>
                </c:pt>
                <c:pt idx="16">
                  <c:v>207.70530915064535</c:v>
                </c:pt>
                <c:pt idx="17">
                  <c:v>209.12356877524763</c:v>
                </c:pt>
                <c:pt idx="18">
                  <c:v>210.5191591490414</c:v>
                </c:pt>
                <c:pt idx="19">
                  <c:v>211.87245050892014</c:v>
                </c:pt>
                <c:pt idx="20">
                  <c:v>213.16371866957871</c:v>
                </c:pt>
                <c:pt idx="21">
                  <c:v>214.37314502351288</c:v>
                </c:pt>
                <c:pt idx="22">
                  <c:v>215.48081654102018</c:v>
                </c:pt>
                <c:pt idx="23">
                  <c:v>216.46672577019936</c:v>
                </c:pt>
                <c:pt idx="24">
                  <c:v>217.31077083695033</c:v>
                </c:pt>
                <c:pt idx="25">
                  <c:v>217.99275544497451</c:v>
                </c:pt>
                <c:pt idx="26">
                  <c:v>218.49238887577457</c:v>
                </c:pt>
                <c:pt idx="27">
                  <c:v>218.78928598865451</c:v>
                </c:pt>
                <c:pt idx="28">
                  <c:v>218.86296722071955</c:v>
                </c:pt>
                <c:pt idx="29">
                  <c:v>218.69285858687655</c:v>
                </c:pt>
                <c:pt idx="30">
                  <c:v>218.25829167983332</c:v>
                </c:pt>
                <c:pt idx="31">
                  <c:v>217.53850367009935</c:v>
                </c:pt>
                <c:pt idx="32">
                  <c:v>216.51263730598515</c:v>
                </c:pt>
                <c:pt idx="33">
                  <c:v>215.15974091360252</c:v>
                </c:pt>
                <c:pt idx="34">
                  <c:v>213.45876839686517</c:v>
                </c:pt>
                <c:pt idx="35">
                  <c:v>211.38857923748745</c:v>
                </c:pt>
                <c:pt idx="36">
                  <c:v>208.92793849498514</c:v>
                </c:pt>
                <c:pt idx="37">
                  <c:v>206.05551680667588</c:v>
                </c:pt>
                <c:pt idx="38">
                  <c:v>202.74989038767819</c:v>
                </c:pt>
                <c:pt idx="39">
                  <c:v>198.98954103091157</c:v>
                </c:pt>
                <c:pt idx="40">
                  <c:v>194.75285610709784</c:v>
                </c:pt>
                <c:pt idx="41">
                  <c:v>190.01812856475945</c:v>
                </c:pt>
                <c:pt idx="42">
                  <c:v>184.76355693022018</c:v>
                </c:pt>
                <c:pt idx="43">
                  <c:v>178.96724530760474</c:v>
                </c:pt>
                <c:pt idx="44">
                  <c:v>172.60720337884078</c:v>
                </c:pt>
                <c:pt idx="45">
                  <c:v>165.66134640365559</c:v>
                </c:pt>
                <c:pt idx="46">
                  <c:v>158.10749521957777</c:v>
                </c:pt>
                <c:pt idx="47">
                  <c:v>149.92337624193914</c:v>
                </c:pt>
                <c:pt idx="48">
                  <c:v>141.08662146387101</c:v>
                </c:pt>
                <c:pt idx="49">
                  <c:v>131.57476845630561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7-4277-9E11-E988F10B5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'191'!$R$42:$R$91</c:f>
              <c:numCache>
                <c:formatCode>0.000</c:formatCode>
                <c:ptCount val="50"/>
                <c:pt idx="0">
                  <c:v>1E-3</c:v>
                </c:pt>
                <c:pt idx="1">
                  <c:v>4.7330403332995201E-2</c:v>
                </c:pt>
                <c:pt idx="2">
                  <c:v>9.3726868623804305E-2</c:v>
                </c:pt>
                <c:pt idx="3">
                  <c:v>0.13957564550492299</c:v>
                </c:pt>
                <c:pt idx="4">
                  <c:v>0.184496487756248</c:v>
                </c:pt>
                <c:pt idx="5">
                  <c:v>0.22816544702797001</c:v>
                </c:pt>
                <c:pt idx="6">
                  <c:v>0.27031135368298898</c:v>
                </c:pt>
                <c:pt idx="7">
                  <c:v>0.31071229763930802</c:v>
                </c:pt>
                <c:pt idx="8">
                  <c:v>0.34919210921243798</c:v>
                </c:pt>
                <c:pt idx="9">
                  <c:v>0.38561683995780499</c:v>
                </c:pt>
                <c:pt idx="10">
                  <c:v>0.41989124351314799</c:v>
                </c:pt>
                <c:pt idx="11">
                  <c:v>0.45195525644092299</c:v>
                </c:pt>
                <c:pt idx="12">
                  <c:v>0.48178047907070898</c:v>
                </c:pt>
                <c:pt idx="13">
                  <c:v>0.50936665634160705</c:v>
                </c:pt>
                <c:pt idx="14">
                  <c:v>0.53473815864464502</c:v>
                </c:pt>
                <c:pt idx="15">
                  <c:v>0.55794046266518205</c:v>
                </c:pt>
                <c:pt idx="16">
                  <c:v>0.57903663222530599</c:v>
                </c:pt>
                <c:pt idx="17">
                  <c:v>0.59810379912624401</c:v>
                </c:pt>
                <c:pt idx="18">
                  <c:v>0.61522964399075997</c:v>
                </c:pt>
                <c:pt idx="19">
                  <c:v>0.63050887710555803</c:v>
                </c:pt>
                <c:pt idx="20">
                  <c:v>0.64403971926368897</c:v>
                </c:pt>
                <c:pt idx="21">
                  <c:v>0.65592038260694796</c:v>
                </c:pt>
                <c:pt idx="22">
                  <c:v>0.66624555146828301</c:v>
                </c:pt>
                <c:pt idx="23">
                  <c:v>0.67510286321419299</c:v>
                </c:pt>
                <c:pt idx="24">
                  <c:v>0.68256938908713305</c:v>
                </c:pt>
                <c:pt idx="25">
                  <c:v>0.68870811504791796</c:v>
                </c:pt>
                <c:pt idx="26">
                  <c:v>0.69356442261812401</c:v>
                </c:pt>
                <c:pt idx="27">
                  <c:v>0.69716256972249202</c:v>
                </c:pt>
                <c:pt idx="28">
                  <c:v>0.69950217153133198</c:v>
                </c:pt>
                <c:pt idx="29">
                  <c:v>0.70055468130292098</c:v>
                </c:pt>
                <c:pt idx="30">
                  <c:v>0.70025987122591304</c:v>
                </c:pt>
                <c:pt idx="31">
                  <c:v>0.69852231326173797</c:v>
                </c:pt>
                <c:pt idx="32">
                  <c:v>0.69520785998700296</c:v>
                </c:pt>
                <c:pt idx="33">
                  <c:v>0.69014012543589998</c:v>
                </c:pt>
                <c:pt idx="34">
                  <c:v>0.68309696594260505</c:v>
                </c:pt>
                <c:pt idx="35">
                  <c:v>0.67380696098368298</c:v>
                </c:pt>
                <c:pt idx="36">
                  <c:v>0.66194589402048898</c:v>
                </c:pt>
                <c:pt idx="37">
                  <c:v>0.64713323334157402</c:v>
                </c:pt>
                <c:pt idx="38">
                  <c:v>0.62892861290508195</c:v>
                </c:pt>
                <c:pt idx="39">
                  <c:v>0.60682831318116204</c:v>
                </c:pt>
                <c:pt idx="40">
                  <c:v>0.58026174199436298</c:v>
                </c:pt>
                <c:pt idx="41">
                  <c:v>0.54858791536603901</c:v>
                </c:pt>
                <c:pt idx="42">
                  <c:v>0.51109193835675604</c:v>
                </c:pt>
                <c:pt idx="43">
                  <c:v>0.46698148590868799</c:v>
                </c:pt>
                <c:pt idx="44">
                  <c:v>0.41538328368802802</c:v>
                </c:pt>
                <c:pt idx="45">
                  <c:v>0.35533958892738099</c:v>
                </c:pt>
                <c:pt idx="46">
                  <c:v>0.28580467126817699</c:v>
                </c:pt>
                <c:pt idx="47">
                  <c:v>0.20564129360306599</c:v>
                </c:pt>
                <c:pt idx="48">
                  <c:v>0.11361719291832501</c:v>
                </c:pt>
                <c:pt idx="49">
                  <c:v>8.4015611362644894E-3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'191'!$V$41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'191'!$P$42:$P$91</c:f>
              <c:numCache>
                <c:formatCode>0</c:formatCode>
                <c:ptCount val="50"/>
                <c:pt idx="0">
                  <c:v>0</c:v>
                </c:pt>
                <c:pt idx="1">
                  <c:v>11.0204081632653</c:v>
                </c:pt>
                <c:pt idx="2">
                  <c:v>22.040816326530599</c:v>
                </c:pt>
                <c:pt idx="3">
                  <c:v>33.061224489795897</c:v>
                </c:pt>
                <c:pt idx="4">
                  <c:v>44.081632653061199</c:v>
                </c:pt>
                <c:pt idx="5">
                  <c:v>55.1020408163265</c:v>
                </c:pt>
                <c:pt idx="6">
                  <c:v>66.122448979591795</c:v>
                </c:pt>
                <c:pt idx="7">
                  <c:v>77.142857142857096</c:v>
                </c:pt>
                <c:pt idx="8">
                  <c:v>88.163265306122398</c:v>
                </c:pt>
                <c:pt idx="9">
                  <c:v>99.183673469387699</c:v>
                </c:pt>
                <c:pt idx="10">
                  <c:v>110.204081632653</c:v>
                </c:pt>
                <c:pt idx="11">
                  <c:v>121.224489795918</c:v>
                </c:pt>
                <c:pt idx="12">
                  <c:v>132.24489795918299</c:v>
                </c:pt>
                <c:pt idx="13">
                  <c:v>143.26530612244801</c:v>
                </c:pt>
                <c:pt idx="14">
                  <c:v>154.28571428571399</c:v>
                </c:pt>
                <c:pt idx="15">
                  <c:v>165.30612244897901</c:v>
                </c:pt>
                <c:pt idx="16">
                  <c:v>176.326530612244</c:v>
                </c:pt>
                <c:pt idx="17">
                  <c:v>187.34693877551001</c:v>
                </c:pt>
                <c:pt idx="18">
                  <c:v>198.367346938775</c:v>
                </c:pt>
                <c:pt idx="19">
                  <c:v>209.38775510203999</c:v>
                </c:pt>
                <c:pt idx="20">
                  <c:v>220.408163265306</c:v>
                </c:pt>
                <c:pt idx="21">
                  <c:v>231.42857142857099</c:v>
                </c:pt>
                <c:pt idx="22">
                  <c:v>242.44897959183601</c:v>
                </c:pt>
                <c:pt idx="23">
                  <c:v>253.46938775510199</c:v>
                </c:pt>
                <c:pt idx="24">
                  <c:v>264.48979591836701</c:v>
                </c:pt>
                <c:pt idx="25">
                  <c:v>275.51020408163203</c:v>
                </c:pt>
                <c:pt idx="26">
                  <c:v>286.53061224489699</c:v>
                </c:pt>
                <c:pt idx="27">
                  <c:v>297.55102040816303</c:v>
                </c:pt>
                <c:pt idx="28">
                  <c:v>308.57142857142799</c:v>
                </c:pt>
                <c:pt idx="29">
                  <c:v>319.591836734693</c:v>
                </c:pt>
                <c:pt idx="30">
                  <c:v>330.61224489795893</c:v>
                </c:pt>
                <c:pt idx="31">
                  <c:v>341.63265306122395</c:v>
                </c:pt>
                <c:pt idx="32">
                  <c:v>352.65306122448897</c:v>
                </c:pt>
                <c:pt idx="33">
                  <c:v>363.67346938775501</c:v>
                </c:pt>
                <c:pt idx="34">
                  <c:v>374.69387755102002</c:v>
                </c:pt>
                <c:pt idx="35">
                  <c:v>385.71428571428498</c:v>
                </c:pt>
                <c:pt idx="36">
                  <c:v>396.73469387755102</c:v>
                </c:pt>
                <c:pt idx="37">
                  <c:v>407.75510204081598</c:v>
                </c:pt>
                <c:pt idx="38">
                  <c:v>418.775510204081</c:v>
                </c:pt>
                <c:pt idx="39">
                  <c:v>429.79591836734699</c:v>
                </c:pt>
                <c:pt idx="40">
                  <c:v>440.816326530612</c:v>
                </c:pt>
                <c:pt idx="41">
                  <c:v>451.83673469387702</c:v>
                </c:pt>
                <c:pt idx="42">
                  <c:v>462.85714285714198</c:v>
                </c:pt>
                <c:pt idx="43">
                  <c:v>473.87755102040796</c:v>
                </c:pt>
                <c:pt idx="44">
                  <c:v>484.89795918367304</c:v>
                </c:pt>
                <c:pt idx="45">
                  <c:v>495.91836734693806</c:v>
                </c:pt>
                <c:pt idx="46">
                  <c:v>506.93877551020398</c:v>
                </c:pt>
                <c:pt idx="47">
                  <c:v>517.95918367346906</c:v>
                </c:pt>
                <c:pt idx="48">
                  <c:v>528.97959183673402</c:v>
                </c:pt>
                <c:pt idx="49">
                  <c:v>540</c:v>
                </c:pt>
              </c:numCache>
            </c:numRef>
          </c:xVal>
          <c:yVal>
            <c:numRef>
              <c:f>'191'!$V$42:$V$91</c:f>
              <c:numCache>
                <c:formatCode>0.00</c:formatCode>
                <c:ptCount val="50"/>
                <c:pt idx="0">
                  <c:v>8.2631288050000001E-2</c:v>
                </c:pt>
                <c:pt idx="1">
                  <c:v>4.7330403332995239</c:v>
                </c:pt>
                <c:pt idx="2">
                  <c:v>9.37268686238043</c:v>
                </c:pt>
                <c:pt idx="3">
                  <c:v>13.957564550492386</c:v>
                </c:pt>
                <c:pt idx="4">
                  <c:v>18.449648775624798</c:v>
                </c:pt>
                <c:pt idx="5">
                  <c:v>22.816544702797078</c:v>
                </c:pt>
                <c:pt idx="6">
                  <c:v>27.031135368298969</c:v>
                </c:pt>
                <c:pt idx="7">
                  <c:v>31.071229763930813</c:v>
                </c:pt>
                <c:pt idx="8">
                  <c:v>34.919210921243867</c:v>
                </c:pt>
                <c:pt idx="9">
                  <c:v>38.561683995780555</c:v>
                </c:pt>
                <c:pt idx="10">
                  <c:v>41.9891243513148</c:v>
                </c:pt>
                <c:pt idx="11">
                  <c:v>45.195525644092243</c:v>
                </c:pt>
                <c:pt idx="12">
                  <c:v>48.178047907070756</c:v>
                </c:pt>
                <c:pt idx="13">
                  <c:v>50.936665634160512</c:v>
                </c:pt>
                <c:pt idx="14">
                  <c:v>53.473815864464505</c:v>
                </c:pt>
                <c:pt idx="15">
                  <c:v>55.794046266518073</c:v>
                </c:pt>
                <c:pt idx="16">
                  <c:v>57.90366322253049</c:v>
                </c:pt>
                <c:pt idx="17">
                  <c:v>59.810379912624427</c:v>
                </c:pt>
                <c:pt idx="18">
                  <c:v>61.522964399075946</c:v>
                </c:pt>
                <c:pt idx="19">
                  <c:v>63.050887710555756</c:v>
                </c:pt>
                <c:pt idx="20">
                  <c:v>64.403971926368911</c:v>
                </c:pt>
                <c:pt idx="21">
                  <c:v>65.592038260694821</c:v>
                </c:pt>
                <c:pt idx="22">
                  <c:v>66.624555146828257</c:v>
                </c:pt>
                <c:pt idx="23">
                  <c:v>67.510286321419272</c:v>
                </c:pt>
                <c:pt idx="24">
                  <c:v>68.256938908713295</c:v>
                </c:pt>
                <c:pt idx="25">
                  <c:v>68.870811504791803</c:v>
                </c:pt>
                <c:pt idx="26">
                  <c:v>69.356442261812361</c:v>
                </c:pt>
                <c:pt idx="27">
                  <c:v>69.716256972249255</c:v>
                </c:pt>
                <c:pt idx="28">
                  <c:v>69.950217153133167</c:v>
                </c:pt>
                <c:pt idx="29">
                  <c:v>70.055468130292155</c:v>
                </c:pt>
                <c:pt idx="30">
                  <c:v>70.025987122591332</c:v>
                </c:pt>
                <c:pt idx="31">
                  <c:v>69.85223132617385</c:v>
                </c:pt>
                <c:pt idx="32">
                  <c:v>69.520785998700319</c:v>
                </c:pt>
                <c:pt idx="33">
                  <c:v>69.01401254359007</c:v>
                </c:pt>
                <c:pt idx="34">
                  <c:v>68.3096965942606</c:v>
                </c:pt>
                <c:pt idx="35">
                  <c:v>67.380696098368446</c:v>
                </c:pt>
                <c:pt idx="36">
                  <c:v>66.194589402048962</c:v>
                </c:pt>
                <c:pt idx="37">
                  <c:v>64.713323334157394</c:v>
                </c:pt>
                <c:pt idx="38">
                  <c:v>62.892861290508279</c:v>
                </c:pt>
                <c:pt idx="39">
                  <c:v>60.682831318116257</c:v>
                </c:pt>
                <c:pt idx="40">
                  <c:v>58.026174199436355</c:v>
                </c:pt>
                <c:pt idx="41">
                  <c:v>54.858791536604201</c:v>
                </c:pt>
                <c:pt idx="42">
                  <c:v>51.109193835676024</c:v>
                </c:pt>
                <c:pt idx="43">
                  <c:v>46.698148590869096</c:v>
                </c:pt>
                <c:pt idx="44">
                  <c:v>41.538328368803093</c:v>
                </c:pt>
                <c:pt idx="45">
                  <c:v>35.533958892738383</c:v>
                </c:pt>
                <c:pt idx="46">
                  <c:v>28.580467126817553</c:v>
                </c:pt>
                <c:pt idx="47">
                  <c:v>20.564129360306652</c:v>
                </c:pt>
                <c:pt idx="48">
                  <c:v>11.361719291833197</c:v>
                </c:pt>
                <c:pt idx="49">
                  <c:v>0.84015611362644904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1A-4C07-A942-19E1E113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'191'!$AS$5:$AS$15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1.6731626484869582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C-4FB9-AFBD-9FF5FC30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'191'!$AS$16:$AS$26</c:f>
              <c:numCache>
                <c:formatCode>0.000</c:formatCode>
                <c:ptCount val="11"/>
                <c:pt idx="0">
                  <c:v>7.5681751740000003</c:v>
                </c:pt>
                <c:pt idx="1">
                  <c:v>7.2430122718256937</c:v>
                </c:pt>
                <c:pt idx="2">
                  <c:v>6.682462689149637</c:v>
                </c:pt>
                <c:pt idx="3">
                  <c:v>6.129620519006779</c:v>
                </c:pt>
                <c:pt idx="4">
                  <c:v>5.562133405563225</c:v>
                </c:pt>
                <c:pt idx="5">
                  <c:v>4.9060585196552156</c:v>
                </c:pt>
                <c:pt idx="6">
                  <c:v>4.1497989261301766</c:v>
                </c:pt>
                <c:pt idx="7">
                  <c:v>3.3572738848287638</c:v>
                </c:pt>
                <c:pt idx="8">
                  <c:v>2.5807346929846835</c:v>
                </c:pt>
                <c:pt idx="9">
                  <c:v>1.6731626484869595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63-4F88-BD23-634EAD91A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'191'!$AT$5:$AT$15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0.17193987542552641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'191'!$AR$5:$AR$15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'191'!$AU$5:$AU$15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0.40979913913894789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F82-A4F3-6992B6AE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'191'!$AT$4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'191'!$AT$16:$AT$26</c:f>
              <c:numCache>
                <c:formatCode>0.000</c:formatCode>
                <c:ptCount val="11"/>
                <c:pt idx="0">
                  <c:v>0.19758204330000001</c:v>
                </c:pt>
                <c:pt idx="1">
                  <c:v>0.19609852837029859</c:v>
                </c:pt>
                <c:pt idx="2">
                  <c:v>0.19958983841667149</c:v>
                </c:pt>
                <c:pt idx="3">
                  <c:v>0.20585967185740464</c:v>
                </c:pt>
                <c:pt idx="4">
                  <c:v>0.21265559991984154</c:v>
                </c:pt>
                <c:pt idx="5">
                  <c:v>0.21767328292735899</c:v>
                </c:pt>
                <c:pt idx="6">
                  <c:v>0.21855225597432737</c:v>
                </c:pt>
                <c:pt idx="7">
                  <c:v>0.21287803508943509</c:v>
                </c:pt>
                <c:pt idx="8">
                  <c:v>0.1981816962615307</c:v>
                </c:pt>
                <c:pt idx="9">
                  <c:v>0.17193987542552647</c:v>
                </c:pt>
                <c:pt idx="10">
                  <c:v>0.13157476845630561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'191'!$AU$4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'191'!$AR$16:$AR$26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54</c:v>
                </c:pt>
                <c:pt idx="2">
                  <c:v>108</c:v>
                </c:pt>
                <c:pt idx="3">
                  <c:v>162</c:v>
                </c:pt>
                <c:pt idx="4">
                  <c:v>216</c:v>
                </c:pt>
                <c:pt idx="5">
                  <c:v>270</c:v>
                </c:pt>
                <c:pt idx="6">
                  <c:v>324</c:v>
                </c:pt>
                <c:pt idx="7">
                  <c:v>378</c:v>
                </c:pt>
                <c:pt idx="8">
                  <c:v>432</c:v>
                </c:pt>
                <c:pt idx="9">
                  <c:v>486</c:v>
                </c:pt>
                <c:pt idx="10">
                  <c:v>540</c:v>
                </c:pt>
              </c:numCache>
            </c:numRef>
          </c:xVal>
          <c:yVal>
            <c:numRef>
              <c:f>'191'!$AU$16:$AU$26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0.22385708706768168</c:v>
                </c:pt>
                <c:pt idx="2">
                  <c:v>0.41321063452260703</c:v>
                </c:pt>
                <c:pt idx="3">
                  <c:v>0.55120635507038684</c:v>
                </c:pt>
                <c:pt idx="4">
                  <c:v>0.63883234052041937</c:v>
                </c:pt>
                <c:pt idx="5">
                  <c:v>0.68580068498536728</c:v>
                </c:pt>
                <c:pt idx="6">
                  <c:v>0.70060311069805459</c:v>
                </c:pt>
                <c:pt idx="7">
                  <c:v>0.68056675197848615</c:v>
                </c:pt>
                <c:pt idx="8">
                  <c:v>0.60191025459721559</c:v>
                </c:pt>
                <c:pt idx="9">
                  <c:v>0.40979913913894822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E4-4DA9-B7E4-293779B2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из базы (таблица)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28-44ED-9A08-A9BBE029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</a:t>
            </a:r>
            <a:r>
              <a:rPr lang="ru-RU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из базы (таблица+полином)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'193'!$D$41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FC-4655-9DBD-151F8A29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'193'!$C$41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'193'!$C$42:$C$91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57-42E2-9F44-94055E2492E9}"/>
            </c:ext>
          </c:extLst>
        </c:ser>
        <c:ser>
          <c:idx val="1"/>
          <c:order val="1"/>
          <c:tx>
            <c:strRef>
              <c:f>'193'!$G$41</c:f>
              <c:strCache>
                <c:ptCount val="1"/>
                <c:pt idx="0">
                  <c:v>Напор расчет, 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'193'!$G$42:$G$91</c:f>
              <c:numCache>
                <c:formatCode>0.000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6.5307488919985408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4.3160718131017068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57-42E2-9F44-94055E2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'193'!$D$42:$D$91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026-9CD0-CEB15366D2CE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'193'!$K$42:$K$91</c:f>
              <c:numCache>
                <c:formatCode>0.000</c:formatCode>
                <c:ptCount val="50"/>
                <c:pt idx="0">
                  <c:v>1.009139303E-4</c:v>
                </c:pt>
                <c:pt idx="1">
                  <c:v>3.4582316738934658E-2</c:v>
                </c:pt>
                <c:pt idx="2">
                  <c:v>6.9180225819823984E-2</c:v>
                </c:pt>
                <c:pt idx="3">
                  <c:v>0.10360712141278831</c:v>
                </c:pt>
                <c:pt idx="4">
                  <c:v>0.13761145588712073</c:v>
                </c:pt>
                <c:pt idx="5">
                  <c:v>0.1709755469182338</c:v>
                </c:pt>
                <c:pt idx="6">
                  <c:v>0.20351347066430325</c:v>
                </c:pt>
                <c:pt idx="7">
                  <c:v>0.23506895494291502</c:v>
                </c:pt>
                <c:pt idx="8">
                  <c:v>0.26551327240770656</c:v>
                </c:pt>
                <c:pt idx="9">
                  <c:v>0.29474313372502337</c:v>
                </c:pt>
                <c:pt idx="10">
                  <c:v>0.32267858075054434</c:v>
                </c:pt>
                <c:pt idx="11">
                  <c:v>0.34926087970594649</c:v>
                </c:pt>
                <c:pt idx="12">
                  <c:v>0.37445041435554055</c:v>
                </c:pt>
                <c:pt idx="13">
                  <c:v>0.39822457918291954</c:v>
                </c:pt>
                <c:pt idx="14">
                  <c:v>0.42057567256759754</c:v>
                </c:pt>
                <c:pt idx="15">
                  <c:v>0.44150878996166526</c:v>
                </c:pt>
                <c:pt idx="16">
                  <c:v>0.46103971706642838</c:v>
                </c:pt>
                <c:pt idx="17">
                  <c:v>0.47919282300905519</c:v>
                </c:pt>
                <c:pt idx="18">
                  <c:v>0.4959989535192183</c:v>
                </c:pt>
                <c:pt idx="19">
                  <c:v>0.51149332410574555</c:v>
                </c:pt>
                <c:pt idx="20">
                  <c:v>0.52571341323326248</c:v>
                </c:pt>
                <c:pt idx="21">
                  <c:v>0.53869685549883739</c:v>
                </c:pt>
                <c:pt idx="22">
                  <c:v>0.55047933480862454</c:v>
                </c:pt>
                <c:pt idx="23">
                  <c:v>0.56109247755451475</c:v>
                </c:pt>
                <c:pt idx="24">
                  <c:v>0.57056174579077623</c:v>
                </c:pt>
                <c:pt idx="25">
                  <c:v>0.57890433041070255</c:v>
                </c:pt>
                <c:pt idx="26">
                  <c:v>0.58612704432325402</c:v>
                </c:pt>
                <c:pt idx="27">
                  <c:v>0.59222421562970784</c:v>
                </c:pt>
                <c:pt idx="28">
                  <c:v>0.5971755808003002</c:v>
                </c:pt>
                <c:pt idx="29">
                  <c:v>0.60094417785087328</c:v>
                </c:pt>
                <c:pt idx="30">
                  <c:v>0.60347423951951829</c:v>
                </c:pt>
                <c:pt idx="31">
                  <c:v>0.60468908644322306</c:v>
                </c:pt>
                <c:pt idx="32">
                  <c:v>0.60448902033451613</c:v>
                </c:pt>
                <c:pt idx="33">
                  <c:v>0.60274921715811247</c:v>
                </c:pt>
                <c:pt idx="34">
                  <c:v>0.59931762030755853</c:v>
                </c:pt>
                <c:pt idx="35">
                  <c:v>0.59401283378187686</c:v>
                </c:pt>
                <c:pt idx="36">
                  <c:v>0.58662201536221448</c:v>
                </c:pt>
                <c:pt idx="37">
                  <c:v>0.57689876978847976</c:v>
                </c:pt>
                <c:pt idx="38">
                  <c:v>0.56456104193600221</c:v>
                </c:pt>
                <c:pt idx="39">
                  <c:v>0.54928900999216357</c:v>
                </c:pt>
                <c:pt idx="40">
                  <c:v>0.53072297863304729</c:v>
                </c:pt>
                <c:pt idx="41">
                  <c:v>0.50846127220008952</c:v>
                </c:pt>
                <c:pt idx="42">
                  <c:v>0.48205812787672014</c:v>
                </c:pt>
                <c:pt idx="43">
                  <c:v>0.45102158886500376</c:v>
                </c:pt>
                <c:pt idx="44">
                  <c:v>0.41481139756229196</c:v>
                </c:pt>
                <c:pt idx="45">
                  <c:v>0.37283688873786275</c:v>
                </c:pt>
                <c:pt idx="46">
                  <c:v>0.32445488270957695</c:v>
                </c:pt>
                <c:pt idx="47">
                  <c:v>0.26896757852050712</c:v>
                </c:pt>
                <c:pt idx="48">
                  <c:v>0.20562044711559394</c:v>
                </c:pt>
                <c:pt idx="49">
                  <c:v>0.13360012451828537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3-4026-9CD0-CEB15366D2CE}"/>
            </c:ext>
          </c:extLst>
        </c:ser>
        <c:ser>
          <c:idx val="2"/>
          <c:order val="2"/>
          <c:tx>
            <c:strRef>
              <c:f>'193'!$N$41</c:f>
              <c:strCache>
                <c:ptCount val="1"/>
                <c:pt idx="0">
                  <c:v>КПД через мощность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'193'!$N$42:$N$91</c:f>
              <c:numCache>
                <c:formatCode>0.000</c:formatCode>
                <c:ptCount val="50"/>
                <c:pt idx="0">
                  <c:v>0</c:v>
                </c:pt>
                <c:pt idx="1">
                  <c:v>3.5440810116068096E-2</c:v>
                </c:pt>
                <c:pt idx="2">
                  <c:v>7.0267265767881684E-2</c:v>
                </c:pt>
                <c:pt idx="3">
                  <c:v>0.10447904326111983</c:v>
                </c:pt>
                <c:pt idx="4">
                  <c:v>0.13804347741126186</c:v>
                </c:pt>
                <c:pt idx="5">
                  <c:v>0.17090414050103911</c:v>
                </c:pt>
                <c:pt idx="6">
                  <c:v>0.20298787257982884</c:v>
                </c:pt>
                <c:pt idx="7">
                  <c:v>0.234210675448979</c:v>
                </c:pt>
                <c:pt idx="8">
                  <c:v>0.26448274228659979</c:v>
                </c:pt>
                <c:pt idx="9">
                  <c:v>0.2937127983996774</c:v>
                </c:pt>
                <c:pt idx="10">
                  <c:v>0.32181186147690233</c:v>
                </c:pt>
                <c:pt idx="11">
                  <c:v>0.34869648288938415</c:v>
                </c:pt>
                <c:pt idx="12">
                  <c:v>0.37429149931121547</c:v>
                </c:pt>
                <c:pt idx="13">
                  <c:v>0.39853230249176658</c:v>
                </c:pt>
                <c:pt idx="14">
                  <c:v>0.4213666219095733</c:v>
                </c:pt>
                <c:pt idx="15">
                  <c:v>0.44275580849782414</c:v>
                </c:pt>
                <c:pt idx="16">
                  <c:v>0.46267560628438692</c:v>
                </c:pt>
                <c:pt idx="17">
                  <c:v>0.48111640147941781</c:v>
                </c:pt>
                <c:pt idx="18">
                  <c:v>0.49808294421519617</c:v>
                </c:pt>
                <c:pt idx="19">
                  <c:v>0.51359354578387983</c:v>
                </c:pt>
                <c:pt idx="20">
                  <c:v>0.52767876284234339</c:v>
                </c:pt>
                <c:pt idx="21">
                  <c:v>0.54037958870648783</c:v>
                </c:pt>
                <c:pt idx="22">
                  <c:v>0.55174517964495584</c:v>
                </c:pt>
                <c:pt idx="23">
                  <c:v>0.56183015019776728</c:v>
                </c:pt>
                <c:pt idx="24">
                  <c:v>0.57069147529846598</c:v>
                </c:pt>
                <c:pt idx="25">
                  <c:v>0.57838503781612904</c:v>
                </c:pt>
                <c:pt idx="26">
                  <c:v>0.58496185764513065</c:v>
                </c:pt>
                <c:pt idx="27">
                  <c:v>0.59046403237865386</c:v>
                </c:pt>
                <c:pt idx="28">
                  <c:v>0.59492040973331006</c:v>
                </c:pt>
                <c:pt idx="29">
                  <c:v>0.59834199813271349</c:v>
                </c:pt>
                <c:pt idx="30">
                  <c:v>0.60071710408900603</c:v>
                </c:pt>
                <c:pt idx="31">
                  <c:v>0.60200616304183652</c:v>
                </c:pt>
                <c:pt idx="32">
                  <c:v>0.60213620374496668</c:v>
                </c:pt>
                <c:pt idx="33">
                  <c:v>0.60099485446019363</c:v>
                </c:pt>
                <c:pt idx="34">
                  <c:v>0.59842376102328809</c:v>
                </c:pt>
                <c:pt idx="35">
                  <c:v>0.59421124057531061</c:v>
                </c:pt>
                <c:pt idx="36">
                  <c:v>0.58808393784798652</c:v>
                </c:pt>
                <c:pt idx="37">
                  <c:v>0.57969717962825806</c:v>
                </c:pt>
                <c:pt idx="38">
                  <c:v>0.56862363204213551</c:v>
                </c:pt>
                <c:pt idx="39">
                  <c:v>0.55433974690955823</c:v>
                </c:pt>
                <c:pt idx="40">
                  <c:v>0.53620932659905785</c:v>
                </c:pt>
                <c:pt idx="41">
                  <c:v>0.51346332560963071</c:v>
                </c:pt>
                <c:pt idx="42">
                  <c:v>0.48517471824643071</c:v>
                </c:pt>
                <c:pt idx="43">
                  <c:v>0.45022686081568269</c:v>
                </c:pt>
                <c:pt idx="44">
                  <c:v>0.40727321211297274</c:v>
                </c:pt>
                <c:pt idx="45">
                  <c:v>0.35468546893379188</c:v>
                </c:pt>
                <c:pt idx="46">
                  <c:v>0.29048600188148344</c:v>
                </c:pt>
                <c:pt idx="47">
                  <c:v>0.21225874808290798</c:v>
                </c:pt>
                <c:pt idx="48">
                  <c:v>0.11703012058722415</c:v>
                </c:pt>
                <c:pt idx="49">
                  <c:v>1.1075163697181858E-3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A3-4026-9CD0-CEB15366D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исходных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'193'!$E$41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'193'!$E$42:$E$91</c:f>
              <c:numCache>
                <c:formatCode>0.000</c:formatCode>
                <c:ptCount val="50"/>
                <c:pt idx="0">
                  <c:v>0</c:v>
                </c:pt>
                <c:pt idx="1">
                  <c:v>0.32018905248088397</c:v>
                </c:pt>
                <c:pt idx="2">
                  <c:v>0.32290248543960898</c:v>
                </c:pt>
                <c:pt idx="3">
                  <c:v>0.32562222678291303</c:v>
                </c:pt>
                <c:pt idx="4">
                  <c:v>0.32850725642976603</c:v>
                </c:pt>
                <c:pt idx="5">
                  <c:v>0.33154213658384801</c:v>
                </c:pt>
                <c:pt idx="6">
                  <c:v>0.33469003357473198</c:v>
                </c:pt>
                <c:pt idx="7">
                  <c:v>0.33791322868721202</c:v>
                </c:pt>
                <c:pt idx="8">
                  <c:v>0.34117738832356598</c:v>
                </c:pt>
                <c:pt idx="9">
                  <c:v>0.34445245145908299</c:v>
                </c:pt>
                <c:pt idx="10">
                  <c:v>0.347712650168718</c:v>
                </c:pt>
                <c:pt idx="11">
                  <c:v>0.35093631176929102</c:v>
                </c:pt>
                <c:pt idx="12">
                  <c:v>0.35410563308607801</c:v>
                </c:pt>
                <c:pt idx="13">
                  <c:v>0.35720648174955499</c:v>
                </c:pt>
                <c:pt idx="14">
                  <c:v>0.36022823415858002</c:v>
                </c:pt>
                <c:pt idx="15">
                  <c:v>0.36316364347303098</c:v>
                </c:pt>
                <c:pt idx="16">
                  <c:v>0.36600872492488001</c:v>
                </c:pt>
                <c:pt idx="17">
                  <c:v>0.36876264348198901</c:v>
                </c:pt>
                <c:pt idx="18">
                  <c:v>0.37142758816346499</c:v>
                </c:pt>
                <c:pt idx="19">
                  <c:v>0.374008617251672</c:v>
                </c:pt>
                <c:pt idx="20">
                  <c:v>0.37651345898855298</c:v>
                </c:pt>
                <c:pt idx="21">
                  <c:v>0.37895225299994301</c:v>
                </c:pt>
                <c:pt idx="22">
                  <c:v>0.381337218632121</c:v>
                </c:pt>
                <c:pt idx="23">
                  <c:v>0.383682237558512</c:v>
                </c:pt>
                <c:pt idx="24">
                  <c:v>0.38600233930162697</c:v>
                </c:pt>
                <c:pt idx="25">
                  <c:v>0.38831307949083499</c:v>
                </c:pt>
                <c:pt idx="26">
                  <c:v>0.39062980137666797</c:v>
                </c:pt>
                <c:pt idx="27">
                  <c:v>0.39296677080645998</c:v>
                </c:pt>
                <c:pt idx="28">
                  <c:v>0.39533617276840999</c:v>
                </c:pt>
                <c:pt idx="29">
                  <c:v>0.39774695266472199</c:v>
                </c:pt>
                <c:pt idx="30">
                  <c:v>0.40020347618575602</c:v>
                </c:pt>
                <c:pt idx="31">
                  <c:v>0.40270396588053098</c:v>
                </c:pt>
                <c:pt idx="32">
                  <c:v>0.405238647054876</c:v>
                </c:pt>
                <c:pt idx="33">
                  <c:v>0.40778749549117799</c:v>
                </c:pt>
                <c:pt idx="34">
                  <c:v>0.41031741656507098</c:v>
                </c:pt>
                <c:pt idx="35">
                  <c:v>0.41277858592164202</c:v>
                </c:pt>
                <c:pt idx="36">
                  <c:v>0.41509952193285199</c:v>
                </c:pt>
                <c:pt idx="37">
                  <c:v>0.417180196096061</c:v>
                </c:pt>
                <c:pt idx="38">
                  <c:v>0.41888203742824098</c:v>
                </c:pt>
                <c:pt idx="39">
                  <c:v>0.42001289069652398</c:v>
                </c:pt>
                <c:pt idx="40">
                  <c:v>0.42030351911249297</c:v>
                </c:pt>
                <c:pt idx="41">
                  <c:v>0.41936939721917599</c:v>
                </c:pt>
                <c:pt idx="42">
                  <c:v>0.416645715098103</c:v>
                </c:pt>
                <c:pt idx="43">
                  <c:v>0.41127077854353</c:v>
                </c:pt>
                <c:pt idx="44">
                  <c:v>0.40186283532650002</c:v>
                </c:pt>
                <c:pt idx="45">
                  <c:v>0.38605656704213598</c:v>
                </c:pt>
                <c:pt idx="46">
                  <c:v>0.35943186025484503</c:v>
                </c:pt>
                <c:pt idx="47">
                  <c:v>0.312646483116225</c:v>
                </c:pt>
                <c:pt idx="48">
                  <c:v>0.22189917124183001</c:v>
                </c:pt>
                <c:pt idx="49">
                  <c:v>3.1706595361867501E-3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5-417B-9385-EECD03FC0EFC}"/>
            </c:ext>
          </c:extLst>
        </c:ser>
        <c:ser>
          <c:idx val="1"/>
          <c:order val="1"/>
          <c:tx>
            <c:strRef>
              <c:f>'193'!$I$41</c:f>
              <c:strCache>
                <c:ptCount val="1"/>
                <c:pt idx="0">
                  <c:v>Мощность расчет,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'193'!$I$42:$I$91</c:f>
              <c:numCache>
                <c:formatCode>0.000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5-417B-9385-EECD03FC0EFC}"/>
            </c:ext>
          </c:extLst>
        </c:ser>
        <c:ser>
          <c:idx val="2"/>
          <c:order val="2"/>
          <c:tx>
            <c:strRef>
              <c:f>'193'!$M$41</c:f>
              <c:strCache>
                <c:ptCount val="1"/>
                <c:pt idx="0">
                  <c:v>Мощность на валу через 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'193'!$B$42:$B$91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124.34693877551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248.69387755101999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497.38775510203999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'193'!$M$42:$M$91</c:f>
              <c:numCache>
                <c:formatCode>0.000</c:formatCode>
                <c:ptCount val="50"/>
                <c:pt idx="0">
                  <c:v>0</c:v>
                </c:pt>
                <c:pt idx="1">
                  <c:v>0.32050507048037746</c:v>
                </c:pt>
                <c:pt idx="2">
                  <c:v>0.32322118152459217</c:v>
                </c:pt>
                <c:pt idx="3">
                  <c:v>0.3259436071795927</c:v>
                </c:pt>
                <c:pt idx="4">
                  <c:v>0.32883148427325981</c:v>
                </c:pt>
                <c:pt idx="5">
                  <c:v>0.33186935977258447</c:v>
                </c:pt>
                <c:pt idx="6">
                  <c:v>0.3350203636532938</c:v>
                </c:pt>
                <c:pt idx="7">
                  <c:v>0.33824673997282545</c:v>
                </c:pt>
                <c:pt idx="8">
                  <c:v>0.341514121247116</c:v>
                </c:pt>
                <c:pt idx="9">
                  <c:v>0.34479241678202976</c:v>
                </c:pt>
                <c:pt idx="10">
                  <c:v>0.348055833220273</c:v>
                </c:pt>
                <c:pt idx="11">
                  <c:v>0.35128267648830841</c:v>
                </c:pt>
                <c:pt idx="12">
                  <c:v>0.35445512584015648</c:v>
                </c:pt>
                <c:pt idx="13">
                  <c:v>0.35755903495802382</c:v>
                </c:pt>
                <c:pt idx="14">
                  <c:v>0.36058376975555945</c:v>
                </c:pt>
                <c:pt idx="15">
                  <c:v>0.36352207624020411</c:v>
                </c:pt>
                <c:pt idx="16">
                  <c:v>0.36636996571107033</c:v>
                </c:pt>
                <c:pt idx="17">
                  <c:v>0.36912660231186883</c:v>
                </c:pt>
                <c:pt idx="18">
                  <c:v>0.37179417722220526</c:v>
                </c:pt>
                <c:pt idx="19">
                  <c:v>0.37437775371683724</c:v>
                </c:pt>
                <c:pt idx="20">
                  <c:v>0.37688506766527013</c:v>
                </c:pt>
                <c:pt idx="21">
                  <c:v>0.37932626870088287</c:v>
                </c:pt>
                <c:pt idx="22">
                  <c:v>0.38171358823011575</c:v>
                </c:pt>
                <c:pt idx="23">
                  <c:v>0.38406092162723621</c:v>
                </c:pt>
                <c:pt idx="24">
                  <c:v>0.38638331324848912</c:v>
                </c:pt>
                <c:pt idx="25">
                  <c:v>0.38869633407623466</c:v>
                </c:pt>
                <c:pt idx="26">
                  <c:v>0.39101534250437714</c:v>
                </c:pt>
                <c:pt idx="27">
                  <c:v>0.39335461846026182</c:v>
                </c:pt>
                <c:pt idx="28">
                  <c:v>0.39572635895834246</c:v>
                </c:pt>
                <c:pt idx="29">
                  <c:v>0.39813951822969706</c:v>
                </c:pt>
                <c:pt idx="30">
                  <c:v>0.4005984662735016</c:v>
                </c:pt>
                <c:pt idx="31">
                  <c:v>0.40310142388448084</c:v>
                </c:pt>
                <c:pt idx="32">
                  <c:v>0.40563860672110186</c:v>
                </c:pt>
                <c:pt idx="33">
                  <c:v>0.40818997080238956</c:v>
                </c:pt>
                <c:pt idx="34">
                  <c:v>0.41072238884046647</c:v>
                </c:pt>
                <c:pt idx="35">
                  <c:v>0.41318598730512485</c:v>
                </c:pt>
                <c:pt idx="36">
                  <c:v>0.41550921401787239</c:v>
                </c:pt>
                <c:pt idx="37">
                  <c:v>0.41759194175062708</c:v>
                </c:pt>
                <c:pt idx="38">
                  <c:v>0.4192954627545164</c:v>
                </c:pt>
                <c:pt idx="39">
                  <c:v>0.42042743214461803</c:v>
                </c:pt>
                <c:pt idx="40">
                  <c:v>0.42071834740303182</c:v>
                </c:pt>
                <c:pt idx="41">
                  <c:v>0.41978330355648324</c:v>
                </c:pt>
                <c:pt idx="42">
                  <c:v>0.41705693323427079</c:v>
                </c:pt>
                <c:pt idx="43">
                  <c:v>0.41167669176160537</c:v>
                </c:pt>
                <c:pt idx="44">
                  <c:v>0.40225946315717109</c:v>
                </c:pt>
                <c:pt idx="45">
                  <c:v>0.386437594510323</c:v>
                </c:pt>
                <c:pt idx="46">
                  <c:v>0.35978660985215694</c:v>
                </c:pt>
                <c:pt idx="47">
                  <c:v>0.31295505680223079</c:v>
                </c:pt>
                <c:pt idx="48">
                  <c:v>0.22211817976707787</c:v>
                </c:pt>
                <c:pt idx="49">
                  <c:v>3.1737888920342935E-3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35-417B-9385-EECD03FC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C0-454E-B349-6E12EB162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РНХ пересчет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1-4967-946E-137F5F46A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  <a:r>
                  <a:rPr lang="ru-RU" baseline="0"/>
                  <a:t> с вала 1 ст, кВт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'193'!$Q$41</c:f>
              <c:strCache>
                <c:ptCount val="1"/>
                <c:pt idx="0">
                  <c:v>Напор, м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'193'!$Q$42:$Q$91</c:f>
              <c:numCache>
                <c:formatCode>General</c:formatCode>
                <c:ptCount val="50"/>
                <c:pt idx="0">
                  <c:v>6.9916515840000004</c:v>
                </c:pt>
                <c:pt idx="1">
                  <c:v>7.0654712765782897</c:v>
                </c:pt>
                <c:pt idx="2">
                  <c:v>7.12695373525486</c:v>
                </c:pt>
                <c:pt idx="3">
                  <c:v>7.1756784096318498</c:v>
                </c:pt>
                <c:pt idx="4">
                  <c:v>7.2114091645308704</c:v>
                </c:pt>
                <c:pt idx="5">
                  <c:v>7.2340799006957903</c:v>
                </c:pt>
                <c:pt idx="6">
                  <c:v>7.2437801754955498</c:v>
                </c:pt>
                <c:pt idx="7">
                  <c:v>7.2407408236270001</c:v>
                </c:pt>
                <c:pt idx="8">
                  <c:v>7.2253195778176398</c:v>
                </c:pt>
                <c:pt idx="9">
                  <c:v>7.1979866895285101</c:v>
                </c:pt>
                <c:pt idx="10">
                  <c:v>7.1593105496569196</c:v>
                </c:pt>
                <c:pt idx="11">
                  <c:v>7.1099433092393101</c:v>
                </c:pt>
                <c:pt idx="12">
                  <c:v>7.0506065001540401</c:v>
                </c:pt>
                <c:pt idx="13">
                  <c:v>6.98207665582418</c:v>
                </c:pt>
                <c:pt idx="14">
                  <c:v>6.9051709319203596</c:v>
                </c:pt>
                <c:pt idx="15">
                  <c:v>6.8207327270635201</c:v>
                </c:pt>
                <c:pt idx="16">
                  <c:v>6.7296173035277702</c:v>
                </c:pt>
                <c:pt idx="17">
                  <c:v>6.6326774079431701</c:v>
                </c:pt>
                <c:pt idx="18">
                  <c:v>6.5307488919985301</c:v>
                </c:pt>
                <c:pt idx="19">
                  <c:v>6.4246363331442602</c:v>
                </c:pt>
                <c:pt idx="20">
                  <c:v>6.3150986552950998</c:v>
                </c:pt>
                <c:pt idx="21">
                  <c:v>6.2028347495330296</c:v>
                </c:pt>
                <c:pt idx="22">
                  <c:v>6.0884690948099598</c:v>
                </c:pt>
                <c:pt idx="23">
                  <c:v>5.9725373786506504</c:v>
                </c:pt>
                <c:pt idx="24">
                  <c:v>5.8554721178554399</c:v>
                </c:pt>
                <c:pt idx="25">
                  <c:v>5.7375882792030897</c:v>
                </c:pt>
                <c:pt idx="26">
                  <c:v>5.6190689001535796</c:v>
                </c:pt>
                <c:pt idx="27">
                  <c:v>5.4999507095508999</c:v>
                </c:pt>
                <c:pt idx="28">
                  <c:v>5.3801097483259097</c:v>
                </c:pt>
                <c:pt idx="29">
                  <c:v>5.2592469901990704</c:v>
                </c:pt>
                <c:pt idx="30">
                  <c:v>5.1368739623833202</c:v>
                </c:pt>
                <c:pt idx="31">
                  <c:v>5.0122983662868501</c:v>
                </c:pt>
                <c:pt idx="32">
                  <c:v>4.8846096982158898</c:v>
                </c:pt>
                <c:pt idx="33">
                  <c:v>4.7526648700775898</c:v>
                </c:pt>
                <c:pt idx="34">
                  <c:v>4.6150738300827099</c:v>
                </c:pt>
                <c:pt idx="35">
                  <c:v>4.4701851834485602</c:v>
                </c:pt>
                <c:pt idx="36">
                  <c:v>4.31607181310169</c:v>
                </c:pt>
                <c:pt idx="37">
                  <c:v>4.1505165003807898</c:v>
                </c:pt>
                <c:pt idx="38">
                  <c:v>3.9709975457394302</c:v>
                </c:pt>
                <c:pt idx="39">
                  <c:v>3.7746743894488999</c:v>
                </c:pt>
                <c:pt idx="40">
                  <c:v>3.5583732323010202</c:v>
                </c:pt>
                <c:pt idx="41">
                  <c:v>3.3185726563109199</c:v>
                </c:pt>
                <c:pt idx="42">
                  <c:v>3.0513892454198799</c:v>
                </c:pt>
                <c:pt idx="43">
                  <c:v>2.7525632061981198</c:v>
                </c:pt>
                <c:pt idx="44">
                  <c:v>2.41744398854761</c:v>
                </c:pt>
                <c:pt idx="45">
                  <c:v>2.0409759064048698</c:v>
                </c:pt>
                <c:pt idx="46">
                  <c:v>1.61768375844378</c:v>
                </c:pt>
                <c:pt idx="47">
                  <c:v>1.14165844877843</c:v>
                </c:pt>
                <c:pt idx="48">
                  <c:v>0.60654260766582602</c:v>
                </c:pt>
                <c:pt idx="49">
                  <c:v>5.5162122087963799E-3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42-443D-B91A-D9FF7B131035}"/>
            </c:ext>
          </c:extLst>
        </c:ser>
        <c:ser>
          <c:idx val="1"/>
          <c:order val="1"/>
          <c:tx>
            <c:strRef>
              <c:f>'193'!$T$41</c:f>
              <c:strCache>
                <c:ptCount val="1"/>
                <c:pt idx="0">
                  <c:v>Напор полином, 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'193'!$T$42:$T$91</c:f>
              <c:numCache>
                <c:formatCode>0.00</c:formatCode>
                <c:ptCount val="50"/>
                <c:pt idx="0">
                  <c:v>6.9916515840000004</c:v>
                </c:pt>
                <c:pt idx="1">
                  <c:v>7.0654712765782941</c:v>
                </c:pt>
                <c:pt idx="2">
                  <c:v>7.1269537352548644</c:v>
                </c:pt>
                <c:pt idx="3">
                  <c:v>7.1756784096318578</c:v>
                </c:pt>
                <c:pt idx="4">
                  <c:v>7.2114091645308758</c:v>
                </c:pt>
                <c:pt idx="5">
                  <c:v>7.2340799006957948</c:v>
                </c:pt>
                <c:pt idx="6">
                  <c:v>7.2437801754955577</c:v>
                </c:pt>
                <c:pt idx="7">
                  <c:v>7.2407408236270019</c:v>
                </c:pt>
                <c:pt idx="8">
                  <c:v>7.2253195778176496</c:v>
                </c:pt>
                <c:pt idx="9">
                  <c:v>7.1979866895285154</c:v>
                </c:pt>
                <c:pt idx="10">
                  <c:v>7.1593105496569258</c:v>
                </c:pt>
                <c:pt idx="11">
                  <c:v>7.1099433092393198</c:v>
                </c:pt>
                <c:pt idx="12">
                  <c:v>7.050606500154049</c:v>
                </c:pt>
                <c:pt idx="13">
                  <c:v>6.9820766558241898</c:v>
                </c:pt>
                <c:pt idx="14">
                  <c:v>6.9051709319203649</c:v>
                </c:pt>
                <c:pt idx="15">
                  <c:v>6.8207327270635281</c:v>
                </c:pt>
                <c:pt idx="16">
                  <c:v>6.7296173035277809</c:v>
                </c:pt>
                <c:pt idx="17">
                  <c:v>6.6326774079431736</c:v>
                </c:pt>
                <c:pt idx="18">
                  <c:v>6.5307488919985426</c:v>
                </c:pt>
                <c:pt idx="19">
                  <c:v>6.4246363331442664</c:v>
                </c:pt>
                <c:pt idx="20">
                  <c:v>6.3150986552951158</c:v>
                </c:pt>
                <c:pt idx="21">
                  <c:v>6.2028347495330305</c:v>
                </c:pt>
                <c:pt idx="22">
                  <c:v>6.0884690948099678</c:v>
                </c:pt>
                <c:pt idx="23">
                  <c:v>5.972537378650661</c:v>
                </c:pt>
                <c:pt idx="24">
                  <c:v>5.8554721178554532</c:v>
                </c:pt>
                <c:pt idx="25">
                  <c:v>5.7375882792030977</c:v>
                </c:pt>
                <c:pt idx="26">
                  <c:v>5.6190689001535832</c:v>
                </c:pt>
                <c:pt idx="27">
                  <c:v>5.4999507095509106</c:v>
                </c:pt>
                <c:pt idx="28">
                  <c:v>5.3801097483259177</c:v>
                </c:pt>
                <c:pt idx="29">
                  <c:v>5.2592469901990722</c:v>
                </c:pt>
                <c:pt idx="30">
                  <c:v>5.1368739623833273</c:v>
                </c:pt>
                <c:pt idx="31">
                  <c:v>5.0122983662868581</c:v>
                </c:pt>
                <c:pt idx="32">
                  <c:v>4.8846096982159093</c:v>
                </c:pt>
                <c:pt idx="33">
                  <c:v>4.7526648700775933</c:v>
                </c:pt>
                <c:pt idx="34">
                  <c:v>4.6150738300827214</c:v>
                </c:pt>
                <c:pt idx="35">
                  <c:v>4.4701851834485682</c:v>
                </c:pt>
                <c:pt idx="36">
                  <c:v>4.3160718131017104</c:v>
                </c:pt>
                <c:pt idx="37">
                  <c:v>4.1505165003807978</c:v>
                </c:pt>
                <c:pt idx="38">
                  <c:v>3.97099754573944</c:v>
                </c:pt>
                <c:pt idx="39">
                  <c:v>3.7746743894489114</c:v>
                </c:pt>
                <c:pt idx="40">
                  <c:v>3.5583732323010349</c:v>
                </c:pt>
                <c:pt idx="41">
                  <c:v>3.3185726563109217</c:v>
                </c:pt>
                <c:pt idx="42">
                  <c:v>3.051389245419891</c:v>
                </c:pt>
                <c:pt idx="43">
                  <c:v>2.7525632061981398</c:v>
                </c:pt>
                <c:pt idx="44">
                  <c:v>2.4174439885476318</c:v>
                </c:pt>
                <c:pt idx="45">
                  <c:v>2.0409759064048778</c:v>
                </c:pt>
                <c:pt idx="46">
                  <c:v>1.6176837584437997</c:v>
                </c:pt>
                <c:pt idx="47">
                  <c:v>1.1416584487784505</c:v>
                </c:pt>
                <c:pt idx="48">
                  <c:v>0.60654260766585466</c:v>
                </c:pt>
                <c:pt idx="49">
                  <c:v>5.5162122087963894E-3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42-443D-B91A-D9FF7B131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 1 ст,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'193'!$S$41</c:f>
              <c:strCache>
                <c:ptCount val="1"/>
                <c:pt idx="0">
                  <c:v>Мощность, кВт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'193'!$S$42:$S$91</c:f>
              <c:numCache>
                <c:formatCode>General</c:formatCode>
                <c:ptCount val="50"/>
                <c:pt idx="0">
                  <c:v>0.30672850679999997</c:v>
                </c:pt>
                <c:pt idx="1">
                  <c:v>0.31274137999350732</c:v>
                </c:pt>
                <c:pt idx="2">
                  <c:v>0.31822092525254231</c:v>
                </c:pt>
                <c:pt idx="3">
                  <c:v>0.32322346978597588</c:v>
                </c:pt>
                <c:pt idx="4">
                  <c:v>0.32780237169448811</c:v>
                </c:pt>
                <c:pt idx="5">
                  <c:v>0.33200801997056789</c:v>
                </c:pt>
                <c:pt idx="6">
                  <c:v>0.33588783449851306</c:v>
                </c:pt>
                <c:pt idx="7">
                  <c:v>0.33948626605443066</c:v>
                </c:pt>
                <c:pt idx="8">
                  <c:v>0.3428447963062361</c:v>
                </c:pt>
                <c:pt idx="9">
                  <c:v>0.34600193781365507</c:v>
                </c:pt>
                <c:pt idx="10">
                  <c:v>0.34899323402822058</c:v>
                </c:pt>
                <c:pt idx="11">
                  <c:v>0.35185125929327582</c:v>
                </c:pt>
                <c:pt idx="12">
                  <c:v>0.35460561884397246</c:v>
                </c:pt>
                <c:pt idx="13">
                  <c:v>0.35728294880727141</c:v>
                </c:pt>
                <c:pt idx="14">
                  <c:v>0.35990691620194193</c:v>
                </c:pt>
                <c:pt idx="15">
                  <c:v>0.36249821893856304</c:v>
                </c:pt>
                <c:pt idx="16">
                  <c:v>0.36507458581952235</c:v>
                </c:pt>
                <c:pt idx="17">
                  <c:v>0.36765077653901668</c:v>
                </c:pt>
                <c:pt idx="18">
                  <c:v>0.37023858168305129</c:v>
                </c:pt>
                <c:pt idx="19">
                  <c:v>0.37284682272944086</c:v>
                </c:pt>
                <c:pt idx="20">
                  <c:v>0.37548135204780902</c:v>
                </c:pt>
                <c:pt idx="21">
                  <c:v>0.37814505289958839</c:v>
                </c:pt>
                <c:pt idx="22">
                  <c:v>0.38083783943802024</c:v>
                </c:pt>
                <c:pt idx="23">
                  <c:v>0.38355665670815514</c:v>
                </c:pt>
                <c:pt idx="24">
                  <c:v>0.38629548064685265</c:v>
                </c:pt>
                <c:pt idx="25">
                  <c:v>0.38904531808278126</c:v>
                </c:pt>
                <c:pt idx="26">
                  <c:v>0.39179420673641802</c:v>
                </c:pt>
                <c:pt idx="27">
                  <c:v>0.39452721522004963</c:v>
                </c:pt>
                <c:pt idx="28">
                  <c:v>0.39722644303777133</c:v>
                </c:pt>
                <c:pt idx="29">
                  <c:v>0.39987102058548762</c:v>
                </c:pt>
                <c:pt idx="30">
                  <c:v>0.40243710915091147</c:v>
                </c:pt>
                <c:pt idx="31">
                  <c:v>0.40489790091356526</c:v>
                </c:pt>
                <c:pt idx="32">
                  <c:v>0.40722361894478037</c:v>
                </c:pt>
                <c:pt idx="33">
                  <c:v>0.409381517207697</c:v>
                </c:pt>
                <c:pt idx="34">
                  <c:v>0.41133588055726428</c:v>
                </c:pt>
                <c:pt idx="35">
                  <c:v>0.41304802474024027</c:v>
                </c:pt>
                <c:pt idx="36">
                  <c:v>0.41447629639519251</c:v>
                </c:pt>
                <c:pt idx="37">
                  <c:v>0.41557607305249666</c:v>
                </c:pt>
                <c:pt idx="38">
                  <c:v>0.41629976313433803</c:v>
                </c:pt>
                <c:pt idx="39">
                  <c:v>0.41659680595471082</c:v>
                </c:pt>
                <c:pt idx="40">
                  <c:v>0.41641367171941795</c:v>
                </c:pt>
                <c:pt idx="41">
                  <c:v>0.41569386152607118</c:v>
                </c:pt>
                <c:pt idx="42">
                  <c:v>0.41437790736409186</c:v>
                </c:pt>
                <c:pt idx="43">
                  <c:v>0.41240337211470979</c:v>
                </c:pt>
                <c:pt idx="44">
                  <c:v>0.4097048495509642</c:v>
                </c:pt>
                <c:pt idx="45">
                  <c:v>0.40621396433770246</c:v>
                </c:pt>
                <c:pt idx="46">
                  <c:v>0.40185937203158212</c:v>
                </c:pt>
                <c:pt idx="47">
                  <c:v>0.39656675908106842</c:v>
                </c:pt>
                <c:pt idx="48">
                  <c:v>0.39025884282643653</c:v>
                </c:pt>
                <c:pt idx="49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'193'!$U$41</c:f>
              <c:strCache>
                <c:ptCount val="1"/>
                <c:pt idx="0">
                  <c:v>Мощность полином, кВт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'193'!$U$42:$U$91</c:f>
              <c:numCache>
                <c:formatCode>0.00</c:formatCode>
                <c:ptCount val="50"/>
                <c:pt idx="0">
                  <c:v>306.72850679999999</c:v>
                </c:pt>
                <c:pt idx="1">
                  <c:v>312.74137999350734</c:v>
                </c:pt>
                <c:pt idx="2">
                  <c:v>318.22092525254232</c:v>
                </c:pt>
                <c:pt idx="3">
                  <c:v>323.22346978597591</c:v>
                </c:pt>
                <c:pt idx="4">
                  <c:v>327.8023716944881</c:v>
                </c:pt>
                <c:pt idx="5">
                  <c:v>332.00801997056789</c:v>
                </c:pt>
                <c:pt idx="6">
                  <c:v>335.88783449851309</c:v>
                </c:pt>
                <c:pt idx="7">
                  <c:v>339.48626605443064</c:v>
                </c:pt>
                <c:pt idx="8">
                  <c:v>342.84479630623611</c:v>
                </c:pt>
                <c:pt idx="9">
                  <c:v>346.00193781365505</c:v>
                </c:pt>
                <c:pt idx="10">
                  <c:v>348.99323402822057</c:v>
                </c:pt>
                <c:pt idx="11">
                  <c:v>351.8512592932758</c:v>
                </c:pt>
                <c:pt idx="12">
                  <c:v>354.60561884397248</c:v>
                </c:pt>
                <c:pt idx="13">
                  <c:v>357.2829488072714</c:v>
                </c:pt>
                <c:pt idx="14">
                  <c:v>359.90691620194195</c:v>
                </c:pt>
                <c:pt idx="15">
                  <c:v>362.49821893856307</c:v>
                </c:pt>
                <c:pt idx="16">
                  <c:v>365.07458581952233</c:v>
                </c:pt>
                <c:pt idx="17">
                  <c:v>367.6507765390167</c:v>
                </c:pt>
                <c:pt idx="18">
                  <c:v>370.23858168305128</c:v>
                </c:pt>
                <c:pt idx="19">
                  <c:v>372.84682272944087</c:v>
                </c:pt>
                <c:pt idx="20">
                  <c:v>375.48135204780903</c:v>
                </c:pt>
                <c:pt idx="21">
                  <c:v>378.14505289958839</c:v>
                </c:pt>
                <c:pt idx="22">
                  <c:v>380.83783943802024</c:v>
                </c:pt>
                <c:pt idx="23">
                  <c:v>383.55665670815512</c:v>
                </c:pt>
                <c:pt idx="24">
                  <c:v>386.29548064685264</c:v>
                </c:pt>
                <c:pt idx="25">
                  <c:v>389.04531808278125</c:v>
                </c:pt>
                <c:pt idx="26">
                  <c:v>391.794206736418</c:v>
                </c:pt>
                <c:pt idx="27">
                  <c:v>394.52721522004964</c:v>
                </c:pt>
                <c:pt idx="28">
                  <c:v>397.22644303777133</c:v>
                </c:pt>
                <c:pt idx="29">
                  <c:v>399.8710205854876</c:v>
                </c:pt>
                <c:pt idx="30">
                  <c:v>402.43710915091145</c:v>
                </c:pt>
                <c:pt idx="31">
                  <c:v>404.89790091356525</c:v>
                </c:pt>
                <c:pt idx="32">
                  <c:v>407.22361894478036</c:v>
                </c:pt>
                <c:pt idx="33">
                  <c:v>409.38151720769702</c:v>
                </c:pt>
                <c:pt idx="34">
                  <c:v>411.33588055726426</c:v>
                </c:pt>
                <c:pt idx="35">
                  <c:v>413.04802474024029</c:v>
                </c:pt>
                <c:pt idx="36">
                  <c:v>414.47629639519249</c:v>
                </c:pt>
                <c:pt idx="37">
                  <c:v>415.57607305249667</c:v>
                </c:pt>
                <c:pt idx="38">
                  <c:v>416.29976313433804</c:v>
                </c:pt>
                <c:pt idx="39">
                  <c:v>416.59680595471082</c:v>
                </c:pt>
                <c:pt idx="40">
                  <c:v>416.41367171941795</c:v>
                </c:pt>
                <c:pt idx="41">
                  <c:v>415.6938615260712</c:v>
                </c:pt>
                <c:pt idx="42">
                  <c:v>414.37790736409187</c:v>
                </c:pt>
                <c:pt idx="43">
                  <c:v>412.40337211470978</c:v>
                </c:pt>
                <c:pt idx="44">
                  <c:v>409.70484955096418</c:v>
                </c:pt>
                <c:pt idx="45">
                  <c:v>406.21396433770246</c:v>
                </c:pt>
                <c:pt idx="46">
                  <c:v>401.8593720315821</c:v>
                </c:pt>
                <c:pt idx="47">
                  <c:v>396.56675908106843</c:v>
                </c:pt>
                <c:pt idx="48">
                  <c:v>390.25884282643653</c:v>
                </c:pt>
                <c:pt idx="49">
                  <c:v>382.85537149976994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E4-45A7-A891-381E63AD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2527"/>
        <c:axId val="53263807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5326380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282527"/>
        <c:crosses val="max"/>
        <c:crossBetween val="midCat"/>
      </c:valAx>
      <c:valAx>
        <c:axId val="5328252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53263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расчетных таблицы и полиномов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'193'!$R$41</c:f>
              <c:strCache>
                <c:ptCount val="1"/>
                <c:pt idx="0">
                  <c:v>КПД @50Гц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'193'!$R$42:$R$91</c:f>
              <c:numCache>
                <c:formatCode>0.000</c:formatCode>
                <c:ptCount val="50"/>
                <c:pt idx="0">
                  <c:v>1E-3</c:v>
                </c:pt>
                <c:pt idx="1">
                  <c:v>3.45823167389347E-2</c:v>
                </c:pt>
                <c:pt idx="2">
                  <c:v>6.9180225819824206E-2</c:v>
                </c:pt>
                <c:pt idx="3">
                  <c:v>0.10360712141278799</c:v>
                </c:pt>
                <c:pt idx="4">
                  <c:v>0.13761145588712001</c:v>
                </c:pt>
                <c:pt idx="5">
                  <c:v>0.170975546918233</c:v>
                </c:pt>
                <c:pt idx="6">
                  <c:v>0.203513470664303</c:v>
                </c:pt>
                <c:pt idx="7">
                  <c:v>0.23506895494291499</c:v>
                </c:pt>
                <c:pt idx="8">
                  <c:v>0.265513272407708</c:v>
                </c:pt>
                <c:pt idx="9">
                  <c:v>0.29474313372502298</c:v>
                </c:pt>
                <c:pt idx="10">
                  <c:v>0.32267858075054501</c:v>
                </c:pt>
                <c:pt idx="11">
                  <c:v>0.34926087970594699</c:v>
                </c:pt>
                <c:pt idx="12">
                  <c:v>0.37445041435554199</c:v>
                </c:pt>
                <c:pt idx="13">
                  <c:v>0.39822457918291898</c:v>
                </c:pt>
                <c:pt idx="14">
                  <c:v>0.42057567256759798</c:v>
                </c:pt>
                <c:pt idx="15">
                  <c:v>0.44150878996166598</c:v>
                </c:pt>
                <c:pt idx="16">
                  <c:v>0.46103971706642899</c:v>
                </c:pt>
                <c:pt idx="17">
                  <c:v>0.47919282300905502</c:v>
                </c:pt>
                <c:pt idx="18">
                  <c:v>0.49599895351921802</c:v>
                </c:pt>
                <c:pt idx="19">
                  <c:v>0.51149332410574599</c:v>
                </c:pt>
                <c:pt idx="20">
                  <c:v>0.52571341323326304</c:v>
                </c:pt>
                <c:pt idx="21">
                  <c:v>0.53869685549883695</c:v>
                </c:pt>
                <c:pt idx="22">
                  <c:v>0.55047933480862499</c:v>
                </c:pt>
                <c:pt idx="23">
                  <c:v>0.56109247755451497</c:v>
                </c:pt>
                <c:pt idx="24">
                  <c:v>0.57056174579077701</c:v>
                </c:pt>
                <c:pt idx="25">
                  <c:v>0.57890433041070199</c:v>
                </c:pt>
                <c:pt idx="26">
                  <c:v>0.58612704432325402</c:v>
                </c:pt>
                <c:pt idx="27">
                  <c:v>0.59222421562970795</c:v>
                </c:pt>
                <c:pt idx="28">
                  <c:v>0.59717558080029998</c:v>
                </c:pt>
                <c:pt idx="29">
                  <c:v>0.60094417785087295</c:v>
                </c:pt>
                <c:pt idx="30">
                  <c:v>0.60347423951951795</c:v>
                </c:pt>
                <c:pt idx="31">
                  <c:v>0.60468908644322295</c:v>
                </c:pt>
                <c:pt idx="32">
                  <c:v>0.60448902033451601</c:v>
                </c:pt>
                <c:pt idx="33">
                  <c:v>0.60274921715811203</c:v>
                </c:pt>
                <c:pt idx="34">
                  <c:v>0.59931762030755797</c:v>
                </c:pt>
                <c:pt idx="35">
                  <c:v>0.59401283378187597</c:v>
                </c:pt>
                <c:pt idx="36">
                  <c:v>0.58662201536221303</c:v>
                </c:pt>
                <c:pt idx="37">
                  <c:v>0.57689876978847898</c:v>
                </c:pt>
                <c:pt idx="38">
                  <c:v>0.56456104193600098</c:v>
                </c:pt>
                <c:pt idx="39">
                  <c:v>0.54928900999216301</c:v>
                </c:pt>
                <c:pt idx="40">
                  <c:v>0.53072297863304596</c:v>
                </c:pt>
                <c:pt idx="41">
                  <c:v>0.50846127220008897</c:v>
                </c:pt>
                <c:pt idx="42">
                  <c:v>0.48205812787671898</c:v>
                </c:pt>
                <c:pt idx="43">
                  <c:v>0.45102158886500199</c:v>
                </c:pt>
                <c:pt idx="44">
                  <c:v>0.41481139756229002</c:v>
                </c:pt>
                <c:pt idx="45">
                  <c:v>0.37283688873786203</c:v>
                </c:pt>
                <c:pt idx="46">
                  <c:v>0.32445488270957601</c:v>
                </c:pt>
                <c:pt idx="47">
                  <c:v>0.26896757852050601</c:v>
                </c:pt>
                <c:pt idx="48">
                  <c:v>0.20562044711559099</c:v>
                </c:pt>
                <c:pt idx="49">
                  <c:v>0.13360012451828501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711119"/>
        <c:axId val="1673712079"/>
      </c:scatterChart>
      <c:scatterChart>
        <c:scatterStyle val="smoothMarker"/>
        <c:varyColors val="0"/>
        <c:ser>
          <c:idx val="1"/>
          <c:order val="1"/>
          <c:tx>
            <c:strRef>
              <c:f>'193'!$V$41</c:f>
              <c:strCache>
                <c:ptCount val="1"/>
                <c:pt idx="0">
                  <c:v>КПД полином @50Гц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'193'!$P$42:$P$91</c:f>
              <c:numCache>
                <c:formatCode>0</c:formatCode>
                <c:ptCount val="50"/>
                <c:pt idx="0">
                  <c:v>0</c:v>
                </c:pt>
                <c:pt idx="1">
                  <c:v>13.8163265306122</c:v>
                </c:pt>
                <c:pt idx="2">
                  <c:v>27.632653061224399</c:v>
                </c:pt>
                <c:pt idx="3">
                  <c:v>41.448979591836697</c:v>
                </c:pt>
                <c:pt idx="4">
                  <c:v>55.265306122448898</c:v>
                </c:pt>
                <c:pt idx="5">
                  <c:v>69.081632653061206</c:v>
                </c:pt>
                <c:pt idx="6">
                  <c:v>82.897959183673393</c:v>
                </c:pt>
                <c:pt idx="7">
                  <c:v>96.714285714285694</c:v>
                </c:pt>
                <c:pt idx="8">
                  <c:v>110.530612244897</c:v>
                </c:pt>
                <c:pt idx="9">
                  <c:v>124.34693877550998</c:v>
                </c:pt>
                <c:pt idx="10">
                  <c:v>138.16326530612201</c:v>
                </c:pt>
                <c:pt idx="11">
                  <c:v>151.97959183673399</c:v>
                </c:pt>
                <c:pt idx="12">
                  <c:v>165.79591836734599</c:v>
                </c:pt>
                <c:pt idx="13">
                  <c:v>179.61224489795899</c:v>
                </c:pt>
                <c:pt idx="14">
                  <c:v>193.42857142857099</c:v>
                </c:pt>
                <c:pt idx="15">
                  <c:v>207.24489795918299</c:v>
                </c:pt>
                <c:pt idx="16">
                  <c:v>221.06122448979499</c:v>
                </c:pt>
                <c:pt idx="17">
                  <c:v>234.87755102040799</c:v>
                </c:pt>
                <c:pt idx="18">
                  <c:v>248.69387755101997</c:v>
                </c:pt>
                <c:pt idx="19">
                  <c:v>262.51020408163203</c:v>
                </c:pt>
                <c:pt idx="20">
                  <c:v>276.32653061224403</c:v>
                </c:pt>
                <c:pt idx="21">
                  <c:v>290.142857142857</c:v>
                </c:pt>
                <c:pt idx="22">
                  <c:v>303.959183673469</c:v>
                </c:pt>
                <c:pt idx="23">
                  <c:v>317.775510204081</c:v>
                </c:pt>
                <c:pt idx="24">
                  <c:v>331.591836734693</c:v>
                </c:pt>
                <c:pt idx="25">
                  <c:v>345.40816326530597</c:v>
                </c:pt>
                <c:pt idx="26">
                  <c:v>359.22448979591798</c:v>
                </c:pt>
                <c:pt idx="27">
                  <c:v>373.04081632652998</c:v>
                </c:pt>
                <c:pt idx="28">
                  <c:v>386.85714285714198</c:v>
                </c:pt>
                <c:pt idx="29">
                  <c:v>400.67346938775501</c:v>
                </c:pt>
                <c:pt idx="30">
                  <c:v>414.48979591836701</c:v>
                </c:pt>
                <c:pt idx="31">
                  <c:v>428.30612244897901</c:v>
                </c:pt>
                <c:pt idx="32">
                  <c:v>442.12244897959101</c:v>
                </c:pt>
                <c:pt idx="33">
                  <c:v>455.93877551020398</c:v>
                </c:pt>
                <c:pt idx="34">
                  <c:v>469.75510204081598</c:v>
                </c:pt>
                <c:pt idx="35">
                  <c:v>483.57142857142799</c:v>
                </c:pt>
                <c:pt idx="36">
                  <c:v>497.38775510203993</c:v>
                </c:pt>
                <c:pt idx="37">
                  <c:v>511.20408163265301</c:v>
                </c:pt>
                <c:pt idx="38">
                  <c:v>525.02040816326496</c:v>
                </c:pt>
                <c:pt idx="39">
                  <c:v>538.83673469387702</c:v>
                </c:pt>
                <c:pt idx="40">
                  <c:v>552.65306122448897</c:v>
                </c:pt>
                <c:pt idx="41">
                  <c:v>566.46938775510205</c:v>
                </c:pt>
                <c:pt idx="42">
                  <c:v>580.28571428571399</c:v>
                </c:pt>
                <c:pt idx="43">
                  <c:v>594.10204081632605</c:v>
                </c:pt>
                <c:pt idx="44">
                  <c:v>607.918367346938</c:v>
                </c:pt>
                <c:pt idx="45">
                  <c:v>621.73469387755097</c:v>
                </c:pt>
                <c:pt idx="46">
                  <c:v>635.55102040816303</c:v>
                </c:pt>
                <c:pt idx="47">
                  <c:v>649.36734693877497</c:v>
                </c:pt>
                <c:pt idx="48">
                  <c:v>663.18367346938703</c:v>
                </c:pt>
                <c:pt idx="49">
                  <c:v>677</c:v>
                </c:pt>
              </c:numCache>
            </c:numRef>
          </c:xVal>
          <c:yVal>
            <c:numRef>
              <c:f>'193'!$V$42:$V$91</c:f>
              <c:numCache>
                <c:formatCode>0.00</c:formatCode>
                <c:ptCount val="50"/>
                <c:pt idx="0">
                  <c:v>1.009139303E-2</c:v>
                </c:pt>
                <c:pt idx="1">
                  <c:v>3.458231673893466</c:v>
                </c:pt>
                <c:pt idx="2">
                  <c:v>6.9180225819823979</c:v>
                </c:pt>
                <c:pt idx="3">
                  <c:v>10.360712141278832</c:v>
                </c:pt>
                <c:pt idx="4">
                  <c:v>13.761145588712072</c:v>
                </c:pt>
                <c:pt idx="5">
                  <c:v>17.09755469182338</c:v>
                </c:pt>
                <c:pt idx="6">
                  <c:v>20.351347066430325</c:v>
                </c:pt>
                <c:pt idx="7">
                  <c:v>23.506895494291502</c:v>
                </c:pt>
                <c:pt idx="8">
                  <c:v>26.551327240770657</c:v>
                </c:pt>
                <c:pt idx="9">
                  <c:v>29.474313372502337</c:v>
                </c:pt>
                <c:pt idx="10">
                  <c:v>32.267858075054434</c:v>
                </c:pt>
                <c:pt idx="11">
                  <c:v>34.926087970594651</c:v>
                </c:pt>
                <c:pt idx="12">
                  <c:v>37.445041435554053</c:v>
                </c:pt>
                <c:pt idx="13">
                  <c:v>39.822457918291953</c:v>
                </c:pt>
                <c:pt idx="14">
                  <c:v>42.057567256759754</c:v>
                </c:pt>
                <c:pt idx="15">
                  <c:v>44.150878996166526</c:v>
                </c:pt>
                <c:pt idx="16">
                  <c:v>46.103971706642838</c:v>
                </c:pt>
                <c:pt idx="17">
                  <c:v>47.919282300905522</c:v>
                </c:pt>
                <c:pt idx="18">
                  <c:v>49.599895351921816</c:v>
                </c:pt>
                <c:pt idx="19">
                  <c:v>51.149332410574559</c:v>
                </c:pt>
                <c:pt idx="20">
                  <c:v>52.571341323326244</c:v>
                </c:pt>
                <c:pt idx="21">
                  <c:v>53.869685549883734</c:v>
                </c:pt>
                <c:pt idx="22">
                  <c:v>55.047933480862454</c:v>
                </c:pt>
                <c:pt idx="23">
                  <c:v>56.10924775545147</c:v>
                </c:pt>
                <c:pt idx="24">
                  <c:v>57.05617457907762</c:v>
                </c:pt>
                <c:pt idx="25">
                  <c:v>57.89043304107026</c:v>
                </c:pt>
                <c:pt idx="26">
                  <c:v>58.612704432325401</c:v>
                </c:pt>
                <c:pt idx="27">
                  <c:v>59.222421562970787</c:v>
                </c:pt>
                <c:pt idx="28">
                  <c:v>59.717558080030017</c:v>
                </c:pt>
                <c:pt idx="29">
                  <c:v>60.094417785087323</c:v>
                </c:pt>
                <c:pt idx="30">
                  <c:v>60.347423951951825</c:v>
                </c:pt>
                <c:pt idx="31">
                  <c:v>60.468908644322305</c:v>
                </c:pt>
                <c:pt idx="32">
                  <c:v>60.448902033451617</c:v>
                </c:pt>
                <c:pt idx="33">
                  <c:v>60.274921715811246</c:v>
                </c:pt>
                <c:pt idx="34">
                  <c:v>59.931762030755849</c:v>
                </c:pt>
                <c:pt idx="35">
                  <c:v>59.401283378187685</c:v>
                </c:pt>
                <c:pt idx="36">
                  <c:v>58.66220153622136</c:v>
                </c:pt>
                <c:pt idx="37">
                  <c:v>57.689876978847977</c:v>
                </c:pt>
                <c:pt idx="38">
                  <c:v>56.456104193600225</c:v>
                </c:pt>
                <c:pt idx="39">
                  <c:v>54.928900999216353</c:v>
                </c:pt>
                <c:pt idx="40">
                  <c:v>53.072297863304726</c:v>
                </c:pt>
                <c:pt idx="41">
                  <c:v>50.846127220008952</c:v>
                </c:pt>
                <c:pt idx="42">
                  <c:v>48.205812787672016</c:v>
                </c:pt>
                <c:pt idx="43">
                  <c:v>45.102158886500376</c:v>
                </c:pt>
                <c:pt idx="44">
                  <c:v>41.481139756229197</c:v>
                </c:pt>
                <c:pt idx="45">
                  <c:v>37.283688873786275</c:v>
                </c:pt>
                <c:pt idx="46">
                  <c:v>32.445488270957696</c:v>
                </c:pt>
                <c:pt idx="47">
                  <c:v>26.896757852050712</c:v>
                </c:pt>
                <c:pt idx="48">
                  <c:v>20.562044711559395</c:v>
                </c:pt>
                <c:pt idx="49">
                  <c:v>13.360012451828538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E1-440B-B19E-5ABC55DE8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941919"/>
        <c:axId val="1677949599"/>
      </c:scatterChart>
      <c:valAx>
        <c:axId val="1673711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2079"/>
        <c:crosses val="autoZero"/>
        <c:crossBetween val="midCat"/>
      </c:valAx>
      <c:valAx>
        <c:axId val="16737120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3711119"/>
        <c:crosses val="autoZero"/>
        <c:crossBetween val="midCat"/>
      </c:valAx>
      <c:valAx>
        <c:axId val="1677949599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7941919"/>
        <c:crosses val="max"/>
        <c:crossBetween val="midCat"/>
      </c:valAx>
      <c:valAx>
        <c:axId val="1677941919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779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'193'!$AS$5:$AS$15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6E-4C27-88EF-120F9EA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'193'!$AS$4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'193'!$AS$16:$AS$26</c:f>
              <c:numCache>
                <c:formatCode>0.000</c:formatCode>
                <c:ptCount val="11"/>
                <c:pt idx="0">
                  <c:v>6.9916515840000004</c:v>
                </c:pt>
                <c:pt idx="1">
                  <c:v>7.2324033712186191</c:v>
                </c:pt>
                <c:pt idx="2">
                  <c:v>7.1679458005236203</c:v>
                </c:pt>
                <c:pt idx="3">
                  <c:v>6.8468282197543653</c:v>
                </c:pt>
                <c:pt idx="4">
                  <c:v>6.3592867368424484</c:v>
                </c:pt>
                <c:pt idx="5">
                  <c:v>5.7966128376550596</c:v>
                </c:pt>
                <c:pt idx="6">
                  <c:v>5.2105154107022535</c:v>
                </c:pt>
                <c:pt idx="7">
                  <c:v>4.5724989981422537</c:v>
                </c:pt>
                <c:pt idx="8">
                  <c:v>3.7332223539584737</c:v>
                </c:pt>
                <c:pt idx="9">
                  <c:v>2.3818691952410758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41-4D1B-A5D9-EB9C3E9D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'193'!$AT$5:$AT$15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'193'!$AR$5:$AR$15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'193'!$AU$5:$AU$15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0.31719675256688579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0B-4ADD-8A52-BA2E70ECE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для базы</a:t>
            </a:r>
            <a:r>
              <a:rPr lang="ru-RU" baseline="0"/>
              <a:t> унифлок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'193'!$AT$4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'193'!$AT$16:$AT$26</c:f>
              <c:numCache>
                <c:formatCode>0.000</c:formatCode>
                <c:ptCount val="11"/>
                <c:pt idx="0">
                  <c:v>0.30672850679999997</c:v>
                </c:pt>
                <c:pt idx="1">
                  <c:v>0.33160396379606139</c:v>
                </c:pt>
                <c:pt idx="2">
                  <c:v>0.34840758536931621</c:v>
                </c:pt>
                <c:pt idx="3">
                  <c:v>0.36172346193759747</c:v>
                </c:pt>
                <c:pt idx="4">
                  <c:v>0.37442406203631429</c:v>
                </c:pt>
                <c:pt idx="5">
                  <c:v>0.38767038560188982</c:v>
                </c:pt>
                <c:pt idx="6">
                  <c:v>0.40090861174093795</c:v>
                </c:pt>
                <c:pt idx="7">
                  <c:v>0.41187785155285772</c:v>
                </c:pt>
                <c:pt idx="8">
                  <c:v>0.4166020821447507</c:v>
                </c:pt>
                <c:pt idx="9">
                  <c:v>0.40939423526517732</c:v>
                </c:pt>
                <c:pt idx="10">
                  <c:v>0.38285537149976995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936287"/>
        <c:axId val="1337947807"/>
      </c:scatterChart>
      <c:scatterChart>
        <c:scatterStyle val="smoothMarker"/>
        <c:varyColors val="0"/>
        <c:ser>
          <c:idx val="1"/>
          <c:order val="1"/>
          <c:tx>
            <c:strRef>
              <c:f>'193'!$AU$4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'193'!$AR$16:$AR$26</c:f>
              <c:numCache>
                <c:formatCode>General</c:formatCode>
                <c:ptCount val="11"/>
                <c:pt idx="0">
                  <c:v>0</c:v>
                </c:pt>
                <c:pt idx="1">
                  <c:v>67.7</c:v>
                </c:pt>
                <c:pt idx="2">
                  <c:v>135.4</c:v>
                </c:pt>
                <c:pt idx="3">
                  <c:v>203.1</c:v>
                </c:pt>
                <c:pt idx="4">
                  <c:v>270.8</c:v>
                </c:pt>
                <c:pt idx="5">
                  <c:v>338.5</c:v>
                </c:pt>
                <c:pt idx="6">
                  <c:v>406.2</c:v>
                </c:pt>
                <c:pt idx="7">
                  <c:v>473.9</c:v>
                </c:pt>
                <c:pt idx="8">
                  <c:v>541.6</c:v>
                </c:pt>
                <c:pt idx="9">
                  <c:v>609.29999999999995</c:v>
                </c:pt>
                <c:pt idx="10">
                  <c:v>677</c:v>
                </c:pt>
              </c:numCache>
            </c:numRef>
          </c:xVal>
          <c:yVal>
            <c:numRef>
              <c:f>'193'!$AU$16:$AU$26</c:f>
              <c:numCache>
                <c:formatCode>0.000</c:formatCode>
                <c:ptCount val="11"/>
                <c:pt idx="0">
                  <c:v>0</c:v>
                </c:pt>
                <c:pt idx="1">
                  <c:v>0.16766935380199829</c:v>
                </c:pt>
                <c:pt idx="2">
                  <c:v>0.31719675256688584</c:v>
                </c:pt>
                <c:pt idx="3">
                  <c:v>0.43537773207132469</c:v>
                </c:pt>
                <c:pt idx="4">
                  <c:v>0.52017641622842803</c:v>
                </c:pt>
                <c:pt idx="5">
                  <c:v>0.57487273652493365</c:v>
                </c:pt>
                <c:pt idx="6">
                  <c:v>0.6021090391942906</c:v>
                </c:pt>
                <c:pt idx="7">
                  <c:v>0.59793676616711255</c:v>
                </c:pt>
                <c:pt idx="8">
                  <c:v>0.54586322077618643</c:v>
                </c:pt>
                <c:pt idx="9">
                  <c:v>0.41089810294005141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DB-43E1-9814-FEC959112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6934111"/>
        <c:axId val="1677969759"/>
      </c:scatterChart>
      <c:valAx>
        <c:axId val="133793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</a:t>
                </a:r>
                <a:r>
                  <a:rPr lang="ru-RU" baseline="0"/>
                  <a:t>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47807"/>
        <c:crosses val="autoZero"/>
        <c:crossBetween val="midCat"/>
      </c:valAx>
      <c:valAx>
        <c:axId val="133794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7936287"/>
        <c:crosses val="autoZero"/>
        <c:crossBetween val="midCat"/>
      </c:valAx>
      <c:valAx>
        <c:axId val="167796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6934111"/>
        <c:crosses val="max"/>
        <c:crossBetween val="midCat"/>
      </c:valAx>
      <c:valAx>
        <c:axId val="144693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796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4.xml"/><Relationship Id="rId13" Type="http://schemas.openxmlformats.org/officeDocument/2006/relationships/chart" Target="../charts/chart99.xml"/><Relationship Id="rId3" Type="http://schemas.openxmlformats.org/officeDocument/2006/relationships/chart" Target="../charts/chart89.xml"/><Relationship Id="rId7" Type="http://schemas.openxmlformats.org/officeDocument/2006/relationships/chart" Target="../charts/chart93.xml"/><Relationship Id="rId12" Type="http://schemas.openxmlformats.org/officeDocument/2006/relationships/chart" Target="../charts/chart98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Relationship Id="rId6" Type="http://schemas.openxmlformats.org/officeDocument/2006/relationships/chart" Target="../charts/chart92.xml"/><Relationship Id="rId11" Type="http://schemas.openxmlformats.org/officeDocument/2006/relationships/chart" Target="../charts/chart97.xml"/><Relationship Id="rId5" Type="http://schemas.openxmlformats.org/officeDocument/2006/relationships/chart" Target="../charts/chart91.xml"/><Relationship Id="rId10" Type="http://schemas.openxmlformats.org/officeDocument/2006/relationships/chart" Target="../charts/chart96.xml"/><Relationship Id="rId4" Type="http://schemas.openxmlformats.org/officeDocument/2006/relationships/chart" Target="../charts/chart90.xml"/><Relationship Id="rId9" Type="http://schemas.openxmlformats.org/officeDocument/2006/relationships/chart" Target="../charts/chart95.xml"/><Relationship Id="rId14" Type="http://schemas.openxmlformats.org/officeDocument/2006/relationships/chart" Target="../charts/chart100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8.xml"/><Relationship Id="rId13" Type="http://schemas.openxmlformats.org/officeDocument/2006/relationships/chart" Target="../charts/chart113.xml"/><Relationship Id="rId3" Type="http://schemas.openxmlformats.org/officeDocument/2006/relationships/chart" Target="../charts/chart103.xml"/><Relationship Id="rId7" Type="http://schemas.openxmlformats.org/officeDocument/2006/relationships/chart" Target="../charts/chart107.xml"/><Relationship Id="rId12" Type="http://schemas.openxmlformats.org/officeDocument/2006/relationships/chart" Target="../charts/chart112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6" Type="http://schemas.openxmlformats.org/officeDocument/2006/relationships/chart" Target="../charts/chart106.xml"/><Relationship Id="rId11" Type="http://schemas.openxmlformats.org/officeDocument/2006/relationships/chart" Target="../charts/chart111.xml"/><Relationship Id="rId5" Type="http://schemas.openxmlformats.org/officeDocument/2006/relationships/chart" Target="../charts/chart105.xml"/><Relationship Id="rId10" Type="http://schemas.openxmlformats.org/officeDocument/2006/relationships/chart" Target="../charts/chart110.xml"/><Relationship Id="rId4" Type="http://schemas.openxmlformats.org/officeDocument/2006/relationships/chart" Target="../charts/chart104.xml"/><Relationship Id="rId9" Type="http://schemas.openxmlformats.org/officeDocument/2006/relationships/chart" Target="../charts/chart109.xml"/><Relationship Id="rId14" Type="http://schemas.openxmlformats.org/officeDocument/2006/relationships/chart" Target="../charts/chart114.xml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2.xml"/><Relationship Id="rId13" Type="http://schemas.openxmlformats.org/officeDocument/2006/relationships/chart" Target="../charts/chart127.xml"/><Relationship Id="rId3" Type="http://schemas.openxmlformats.org/officeDocument/2006/relationships/chart" Target="../charts/chart117.xml"/><Relationship Id="rId7" Type="http://schemas.openxmlformats.org/officeDocument/2006/relationships/chart" Target="../charts/chart121.xml"/><Relationship Id="rId12" Type="http://schemas.openxmlformats.org/officeDocument/2006/relationships/chart" Target="../charts/chart126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Relationship Id="rId6" Type="http://schemas.openxmlformats.org/officeDocument/2006/relationships/chart" Target="../charts/chart120.xml"/><Relationship Id="rId11" Type="http://schemas.openxmlformats.org/officeDocument/2006/relationships/chart" Target="../charts/chart125.xml"/><Relationship Id="rId5" Type="http://schemas.openxmlformats.org/officeDocument/2006/relationships/chart" Target="../charts/chart119.xml"/><Relationship Id="rId10" Type="http://schemas.openxmlformats.org/officeDocument/2006/relationships/chart" Target="../charts/chart124.xml"/><Relationship Id="rId4" Type="http://schemas.openxmlformats.org/officeDocument/2006/relationships/chart" Target="../charts/chart118.xml"/><Relationship Id="rId9" Type="http://schemas.openxmlformats.org/officeDocument/2006/relationships/chart" Target="../charts/chart123.xml"/><Relationship Id="rId14" Type="http://schemas.openxmlformats.org/officeDocument/2006/relationships/chart" Target="../charts/chart128.xml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6.xml"/><Relationship Id="rId13" Type="http://schemas.openxmlformats.org/officeDocument/2006/relationships/chart" Target="../charts/chart141.xml"/><Relationship Id="rId3" Type="http://schemas.openxmlformats.org/officeDocument/2006/relationships/chart" Target="../charts/chart131.xml"/><Relationship Id="rId7" Type="http://schemas.openxmlformats.org/officeDocument/2006/relationships/chart" Target="../charts/chart135.xml"/><Relationship Id="rId12" Type="http://schemas.openxmlformats.org/officeDocument/2006/relationships/chart" Target="../charts/chart140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6" Type="http://schemas.openxmlformats.org/officeDocument/2006/relationships/chart" Target="../charts/chart134.xml"/><Relationship Id="rId11" Type="http://schemas.openxmlformats.org/officeDocument/2006/relationships/chart" Target="../charts/chart139.xml"/><Relationship Id="rId5" Type="http://schemas.openxmlformats.org/officeDocument/2006/relationships/chart" Target="../charts/chart133.xml"/><Relationship Id="rId10" Type="http://schemas.openxmlformats.org/officeDocument/2006/relationships/chart" Target="../charts/chart138.xml"/><Relationship Id="rId4" Type="http://schemas.openxmlformats.org/officeDocument/2006/relationships/chart" Target="../charts/chart132.xml"/><Relationship Id="rId9" Type="http://schemas.openxmlformats.org/officeDocument/2006/relationships/chart" Target="../charts/chart137.xml"/><Relationship Id="rId14" Type="http://schemas.openxmlformats.org/officeDocument/2006/relationships/chart" Target="../charts/chart142.xml"/></Relationships>
</file>

<file path=xl/drawings/_rels/drawing5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0.xml"/><Relationship Id="rId13" Type="http://schemas.openxmlformats.org/officeDocument/2006/relationships/chart" Target="../charts/chart155.xml"/><Relationship Id="rId3" Type="http://schemas.openxmlformats.org/officeDocument/2006/relationships/chart" Target="../charts/chart145.xml"/><Relationship Id="rId7" Type="http://schemas.openxmlformats.org/officeDocument/2006/relationships/chart" Target="../charts/chart149.xml"/><Relationship Id="rId12" Type="http://schemas.openxmlformats.org/officeDocument/2006/relationships/chart" Target="../charts/chart154.xml"/><Relationship Id="rId2" Type="http://schemas.openxmlformats.org/officeDocument/2006/relationships/chart" Target="../charts/chart144.xml"/><Relationship Id="rId1" Type="http://schemas.openxmlformats.org/officeDocument/2006/relationships/chart" Target="../charts/chart143.xml"/><Relationship Id="rId6" Type="http://schemas.openxmlformats.org/officeDocument/2006/relationships/chart" Target="../charts/chart148.xml"/><Relationship Id="rId11" Type="http://schemas.openxmlformats.org/officeDocument/2006/relationships/chart" Target="../charts/chart153.xml"/><Relationship Id="rId5" Type="http://schemas.openxmlformats.org/officeDocument/2006/relationships/chart" Target="../charts/chart147.xml"/><Relationship Id="rId10" Type="http://schemas.openxmlformats.org/officeDocument/2006/relationships/chart" Target="../charts/chart152.xml"/><Relationship Id="rId4" Type="http://schemas.openxmlformats.org/officeDocument/2006/relationships/chart" Target="../charts/chart146.xml"/><Relationship Id="rId9" Type="http://schemas.openxmlformats.org/officeDocument/2006/relationships/chart" Target="../charts/chart151.xml"/><Relationship Id="rId14" Type="http://schemas.openxmlformats.org/officeDocument/2006/relationships/chart" Target="../charts/chart156.xml"/></Relationships>
</file>

<file path=xl/drawings/_rels/drawing5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4.xml"/><Relationship Id="rId13" Type="http://schemas.openxmlformats.org/officeDocument/2006/relationships/chart" Target="../charts/chart169.xml"/><Relationship Id="rId3" Type="http://schemas.openxmlformats.org/officeDocument/2006/relationships/chart" Target="../charts/chart159.xml"/><Relationship Id="rId7" Type="http://schemas.openxmlformats.org/officeDocument/2006/relationships/chart" Target="../charts/chart163.xml"/><Relationship Id="rId12" Type="http://schemas.openxmlformats.org/officeDocument/2006/relationships/chart" Target="../charts/chart168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6" Type="http://schemas.openxmlformats.org/officeDocument/2006/relationships/chart" Target="../charts/chart162.xml"/><Relationship Id="rId11" Type="http://schemas.openxmlformats.org/officeDocument/2006/relationships/chart" Target="../charts/chart167.xml"/><Relationship Id="rId5" Type="http://schemas.openxmlformats.org/officeDocument/2006/relationships/chart" Target="../charts/chart161.xml"/><Relationship Id="rId10" Type="http://schemas.openxmlformats.org/officeDocument/2006/relationships/chart" Target="../charts/chart166.xml"/><Relationship Id="rId4" Type="http://schemas.openxmlformats.org/officeDocument/2006/relationships/chart" Target="../charts/chart160.xml"/><Relationship Id="rId9" Type="http://schemas.openxmlformats.org/officeDocument/2006/relationships/chart" Target="../charts/chart165.xml"/><Relationship Id="rId14" Type="http://schemas.openxmlformats.org/officeDocument/2006/relationships/chart" Target="../charts/chart170.xml"/></Relationships>
</file>

<file path=xl/drawings/_rels/drawing6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8.xml"/><Relationship Id="rId13" Type="http://schemas.openxmlformats.org/officeDocument/2006/relationships/chart" Target="../charts/chart183.xml"/><Relationship Id="rId3" Type="http://schemas.openxmlformats.org/officeDocument/2006/relationships/chart" Target="../charts/chart173.xml"/><Relationship Id="rId7" Type="http://schemas.openxmlformats.org/officeDocument/2006/relationships/chart" Target="../charts/chart177.xml"/><Relationship Id="rId12" Type="http://schemas.openxmlformats.org/officeDocument/2006/relationships/chart" Target="../charts/chart182.xml"/><Relationship Id="rId2" Type="http://schemas.openxmlformats.org/officeDocument/2006/relationships/chart" Target="../charts/chart172.xml"/><Relationship Id="rId1" Type="http://schemas.openxmlformats.org/officeDocument/2006/relationships/chart" Target="../charts/chart171.xml"/><Relationship Id="rId6" Type="http://schemas.openxmlformats.org/officeDocument/2006/relationships/chart" Target="../charts/chart176.xml"/><Relationship Id="rId11" Type="http://schemas.openxmlformats.org/officeDocument/2006/relationships/chart" Target="../charts/chart181.xml"/><Relationship Id="rId5" Type="http://schemas.openxmlformats.org/officeDocument/2006/relationships/chart" Target="../charts/chart175.xml"/><Relationship Id="rId10" Type="http://schemas.openxmlformats.org/officeDocument/2006/relationships/chart" Target="../charts/chart180.xml"/><Relationship Id="rId4" Type="http://schemas.openxmlformats.org/officeDocument/2006/relationships/chart" Target="../charts/chart174.xml"/><Relationship Id="rId9" Type="http://schemas.openxmlformats.org/officeDocument/2006/relationships/chart" Target="../charts/chart179.xml"/><Relationship Id="rId14" Type="http://schemas.openxmlformats.org/officeDocument/2006/relationships/chart" Target="../charts/chart1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119536</xdr:colOff>
      <xdr:row>21</xdr:row>
      <xdr:rowOff>121637</xdr:rowOff>
    </xdr:from>
    <xdr:to>
      <xdr:col>34</xdr:col>
      <xdr:colOff>1875</xdr:colOff>
      <xdr:row>41</xdr:row>
      <xdr:rowOff>118115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135363</xdr:colOff>
      <xdr:row>43</xdr:row>
      <xdr:rowOff>15025</xdr:rowOff>
    </xdr:from>
    <xdr:to>
      <xdr:col>34</xdr:col>
      <xdr:colOff>17703</xdr:colOff>
      <xdr:row>60</xdr:row>
      <xdr:rowOff>93467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104775</xdr:rowOff>
        </xdr:from>
        <xdr:to>
          <xdr:col>14</xdr:col>
          <xdr:colOff>219075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файл json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381000</xdr:colOff>
      <xdr:row>2</xdr:row>
      <xdr:rowOff>190500</xdr:rowOff>
    </xdr:from>
    <xdr:to>
      <xdr:col>22</xdr:col>
      <xdr:colOff>400050</xdr:colOff>
      <xdr:row>12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25000" y="571500"/>
          <a:ext cx="4286250" cy="179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После</a:t>
          </a:r>
          <a:r>
            <a:rPr lang="ru-RU" sz="1100" baseline="0"/>
            <a:t> нажатия на кнопку будут считаны данные с листов </a:t>
          </a:r>
          <a:r>
            <a:rPr lang="en-US" sz="1100" baseline="0"/>
            <a:t>db_ESP_curves </a:t>
          </a:r>
          <a:r>
            <a:rPr lang="ru-RU" sz="1100" baseline="0"/>
            <a:t>и </a:t>
          </a:r>
          <a:r>
            <a:rPr lang="en-US" sz="1100" baseline="0"/>
            <a:t>db_ESP_params </a:t>
          </a:r>
          <a:r>
            <a:rPr lang="ru-RU" sz="1100" baseline="0"/>
            <a:t>и записаны в файл </a:t>
          </a:r>
          <a:r>
            <a:rPr lang="en-US" sz="1100" baseline="0"/>
            <a:t>json</a:t>
          </a:r>
          <a:r>
            <a:rPr lang="ru-RU" sz="1100" baseline="0"/>
            <a:t>, который может быть прочитан надстройкой унифлок.</a:t>
          </a:r>
        </a:p>
        <a:p>
          <a:r>
            <a:rPr lang="ru-RU" sz="1100" baseline="0"/>
            <a:t>Название файла, который будет сгенерирован в логе внизу.</a:t>
          </a:r>
          <a:endParaRPr lang="en-US" sz="1100" baseline="0"/>
        </a:p>
        <a:p>
          <a:endParaRPr lang="en-US" sz="1100" baseline="0"/>
        </a:p>
        <a:p>
          <a:r>
            <a:rPr lang="ru-RU" sz="1100" baseline="0">
              <a:solidFill>
                <a:srgbClr val="FF0000"/>
              </a:solidFill>
            </a:rPr>
            <a:t>Для использования нового файла базы необходимо вручную добавить данные из сгенерированного файла в файл базы или переименовать сгенерированный файл и заменить файл базы!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276225</xdr:colOff>
      <xdr:row>0</xdr:row>
      <xdr:rowOff>0</xdr:rowOff>
    </xdr:from>
    <xdr:to>
      <xdr:col>7</xdr:col>
      <xdr:colOff>561975</xdr:colOff>
      <xdr:row>3</xdr:row>
      <xdr:rowOff>76200</xdr:rowOff>
    </xdr:to>
    <xdr:sp macro="" textlink="">
      <xdr:nvSpPr>
        <xdr:cNvPr id="3" name="Стрелка: вправо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24225" y="0"/>
          <a:ext cx="1504950" cy="657225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104775</xdr:rowOff>
        </xdr:from>
        <xdr:to>
          <xdr:col>3</xdr:col>
          <xdr:colOff>400050</xdr:colOff>
          <xdr:row>7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Приметь фильтр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A31946-92E7-4517-8B00-2EA3DFF1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295B5C6-435A-451E-AEA2-B8701900E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A44D338-B7F9-4412-B88F-0774FA96D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FDC2B10-293D-42F6-A353-74001A5F9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0F8EFA6-C7B5-4D03-B958-18337D5B0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88E5CA1-8C58-4CD2-833F-CB7B1BF9E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EE71BD0-7DEF-4308-883F-BBE0DB2A9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41725EA9-DE52-4FCB-B286-1E28D838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522D4ED-B2CE-446C-B185-E86D87C5C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B7DA596-D20B-4598-8CD1-42F83814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7BFE40C-6879-6798-D724-9A5786367DDA}"/>
            </a:ext>
          </a:extLst>
        </xdr:cNvPr>
        <xdr:cNvSpPr txBox="1"/>
      </xdr:nvSpPr>
      <xdr:spPr>
        <a:xfrm>
          <a:off x="3619500" y="536864"/>
          <a:ext cx="7585364" cy="285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913F0F2-BD05-0022-5723-B71D0037F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9CA6935-698C-45C8-9438-1588F6A0C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6E42986-B7D5-45C4-8D82-C55DD52B9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5E42140A-3869-4661-93CC-FF8EC18DB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f=100 Hz</a:t>
          </a:fld>
          <a:endParaRPr lang="ru-RU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7F14841-9A07-4536-99E5-8428FE8D2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33AA8CE-32DF-4D97-91FA-73F14C19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3B7CFEB-CE16-45F3-BB03-6458E6CE7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2375888-7A17-4034-B4C8-94724F96C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52CA7189-B375-4DDE-8D85-22E81F15B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AC0D6D9-D198-4FCA-9C25-C3132784A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2EE23C8-C128-47C4-B413-D192A049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A4CF213-99BD-462F-902B-9FB0C837C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9D587B8-1B7C-44E9-AE61-9EA84EFC9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9A8E04B-FEAF-49AA-B1FE-6BC2E4610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4D01852-12F6-40EA-B767-BFA354F5FC2A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DAD30449-B202-4F1A-BDAB-47406CDD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4CF5BC0-623D-4C8F-B5CE-71753AF92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F2CA0461-69A1-414B-92E8-714EF91F5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03AE288-E40F-4B7D-B014-D8946CBEC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C398A8-25A1-4B2D-B9A4-739752A7B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166DF6D-982B-49DC-9570-E85FE2BAB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EE167A2-FAE5-4D01-9BE1-063D5AEF9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78AD9DD-D085-4520-ACF0-190C04C6F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7B44689-44F9-4F05-9F30-8B8C54455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45784405-0B8A-44DE-9A83-20B125BEC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B6427BD-479E-4405-ABDC-240A1ED7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1E2D0D87-8B25-4DE4-A0CC-1515EDC81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45AC2C7-3F5C-4FB9-96A9-38C6B0BA7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BE6E404B-D5C5-4DEB-B173-57716A7FF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77C52C2-98E6-4803-85C8-0A7126D242E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7A26EEC-881B-48F2-95E2-CD956E73C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B44F2031-7B4A-41FC-8327-F9836D309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3B111882-17A8-48E5-A684-3B2AD30B1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7484C90-F05F-4FE7-95BA-6947F6399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0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C8A830-D234-4BEF-B34E-AB7F016BA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449887-27FD-4E11-9885-328F37309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0B07F50-639B-4F51-8D0C-C4CB65DFB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66AB432-43B9-4262-B11A-8C42FE2D2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414CDD-02B5-4EF9-B2BD-E6545B58AB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198A9DD-463B-4F1D-9F64-82EADA7C2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E14622-9F5F-40F3-87F9-E932EAD05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53D8418-B0EA-4530-BC8A-3BADEB912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BBACF52-4918-4EAA-8F91-4FBA5DD1B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5D37F5B-8EF4-4E1C-B825-EF025A02C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46B9753-D070-47F3-BA1F-9A9B7B701220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255E4A1B-710A-4C75-AE52-6CE8586D4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DD588EC-3F00-4493-9BE1-0176AEE15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45B5410-F4A3-4BC9-99F8-345F2A88B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3D4E858-BA5B-4C64-8B6F-E9A328031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4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4F54BCC-84AD-4C22-AEF7-64AAECF0B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3BFA0C0-73C2-47D0-BC64-2E06E7296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E47F40D-6A4C-4DFB-92E6-62A2BED6E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4A48389-9E6B-4195-91D2-829F82030E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9BF0A95-8933-4CFA-A1A5-A208359BB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C5961C2-B026-46C1-9BB3-4B5B764ED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5AA7BD1-2756-46F3-B344-3274429BB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C8191255-9EB5-4A63-9CA2-606ADA646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94F3DFEB-5C3D-43E6-99C0-E84135D07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C5CE407-E165-4BC0-9C49-A56E0DA69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4690188-2540-4F2E-A466-66761E64BF38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0CD7647-9904-4C9B-B742-E62F7D6B3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A7E8D757-3112-4BB4-8BE1-9A18A1B825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2FC17EDF-9D03-42C4-BB78-4E7353BAB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1D69AD59-74E3-4372-89A1-DC80AB59E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B1D674A-7FB8-45BF-B68F-11730A05D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5C454D5-1C80-406C-B726-75CAAF8B2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AD889A4-9716-47A5-9104-B49049B745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40A53E1-0A4A-4BDF-9036-A1E54C293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392BA2EE-B871-443F-8875-43AF6E633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9E4A32F-A257-46FE-A6D3-9770E5195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2AC1629-CFBD-4B9B-A700-B38D75E98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64B8E34-53F0-4C20-82AF-7E1F91D4C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28068F2B-BD96-44FF-BD77-E31626BC7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39BD4C17-2AA5-470F-BC02-7948C94E8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2DBFF33-87EE-42E2-AA7A-CD6EFEFE85F7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40C5152-5D4F-4CCA-8702-6746990BB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EDBD2FD-6C81-4FDE-B792-438431F0B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6341B20A-2268-4DFE-8199-CAACFFAEA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C9C4652D-4573-46B0-AA1B-43380974B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9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9A88A9-DAAB-48C2-90F2-D24232759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8D33776-680D-4026-BDFE-8151B1B7B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D4DDA0D-F392-4949-A80C-CAB50232E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BBBCD9B-671C-4B06-8FE8-0CE013F99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20F80C4-F551-4DDD-AF21-F360E2DC4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55F21DDA-15DA-4A4D-93AE-A23978A63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6381AC0-DA79-4605-8AD0-D45A3E439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ED0CDA7-7887-4915-B19A-BD3FEB9B2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BF3133F-809C-4EE6-AE0D-85D1BE943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4320BD-B4D9-41A6-B6CB-8A36726B4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60D3DEC-5546-4082-83C5-9A668AE75BA5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89E8B02C-682A-4A06-9B5C-AD08354C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FBCB8236-0C79-4D61-97B1-DD85565F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CA540E9-8023-4312-A731-A9AB2F029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C91A1FC9-E4AA-4F14-B196-B7B3ECF7D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8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F6356C9-6CA7-4CE6-A624-A8C92DA44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4098B07-2247-4059-B005-945FE1EAE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9F3825E-2595-441F-B8C3-A17049435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9501C948-5F79-4B06-A812-95566E21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AEAF733-0EF6-493C-ABF4-FDD1C68F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94B3884-A8B9-4A03-BE9D-4C8D77393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CF11A056-FED4-4CF2-90E1-96600CED7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315739A0-46DB-4223-B54D-445FF6CE4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3C9EE0-D26F-4666-96AA-D7E53BA23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12576DA5-F64F-49D8-ADFD-B12E242AA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CD9F43-A21A-4694-A80B-D615456E04D6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A989A04-12CB-4E6C-96E2-52BCA04EF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690E1977-A062-4ACE-B7DF-657E2D1C6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BC986FF-42F2-40D6-A87A-05F4B467D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5C3296BD-BB90-4B64-85D5-661D43BC6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363682</xdr:colOff>
      <xdr:row>5</xdr:row>
      <xdr:rowOff>138545</xdr:rowOff>
    </xdr:from>
    <xdr:to>
      <xdr:col>22</xdr:col>
      <xdr:colOff>484909</xdr:colOff>
      <xdr:row>12</xdr:row>
      <xdr:rowOff>0</xdr:rowOff>
    </xdr:to>
    <xdr:sp macro="" textlink="">
      <xdr:nvSpPr>
        <xdr:cNvPr id="17" name="Стрелка: вправо 16">
          <a:extLst>
            <a:ext uri="{FF2B5EF4-FFF2-40B4-BE49-F238E27FC236}">
              <a16:creationId xmlns:a16="http://schemas.microsoft.com/office/drawing/2014/main" id="{33536AAC-83D5-6BB7-719E-E3062EBCDD7A}"/>
            </a:ext>
          </a:extLst>
        </xdr:cNvPr>
        <xdr:cNvSpPr/>
      </xdr:nvSpPr>
      <xdr:spPr>
        <a:xfrm>
          <a:off x="12486409" y="1558636"/>
          <a:ext cx="3948545" cy="9525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корректировка</a:t>
          </a:r>
          <a:r>
            <a:rPr lang="ru-RU" sz="1100" baseline="0"/>
            <a:t> в тнаве кривовато</a:t>
          </a:r>
          <a:endParaRPr lang="ru-RU" sz="1100"/>
        </a:p>
      </xdr:txBody>
    </xdr:sp>
    <xdr:clientData/>
  </xdr:twoCell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5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8ECCD61-2322-4152-B83A-B43ABFDC5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7AA50B2-4443-477F-9E83-72053601B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6CF6600-36F1-4248-96CD-915FB475E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3CC0E702-4554-46EB-A56E-F8A29BC96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CAD82D0-2D57-45FB-ADCE-00B3CAEAE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C3EA2BF-1E25-4C37-92AB-A530BAD0A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66F37E-B16C-4180-9B84-AF967EAF0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B3A80A15-30F7-44A8-8003-5549709DF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D9B2214-0A41-4454-829C-0BFD92A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2965192-8294-44C8-8AB7-2485E28CB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2F51783-78BF-4779-9341-4D3BC381967F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3D0DBFD-AC19-4C07-A084-7CA2D228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0051CAA-E57E-45D5-BF98-194E9DB17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46C25529-560C-4280-B81C-E41ACFD68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D20FCC54-630E-4449-B18C-677FEBB737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C915BE8-C4BB-45D4-8295-A71F9E6C2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266E21A-C75D-4491-ACDA-BADEA62030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DAC783A-B3A5-46D9-B981-F8EB51330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8F3A03D-ED38-4F14-8D50-264D1FC04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CEEFEF87-7527-440C-AB53-DE8F1C1BB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BC8A322-0064-4586-B34B-21717DF11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72C357C-7FAB-4A1F-B3D5-C2625D645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5FB1389-F5DF-49D7-933D-760A62056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ECD7C38-396D-4F20-9BB2-B890BD034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C9D877BC-5B72-440C-BFCD-3C09FDE52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2C9C458-D2B0-42B4-8996-3AE10D1FF30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3DD1B5-84B2-4D10-A2A0-E3E2747A4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E9C75AB-E780-4E2B-87A8-EBDB7C678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564890EE-ADE9-40BA-9C84-FBD8FDFB4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CD68A7-F59E-4560-A7EF-632BCCCE4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6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BB2EA1-2012-4DB4-A14F-3AB2A869B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635B250-3786-4AEB-9A58-5E0C722473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426B601-D558-4639-8EB8-DF441F86C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52E1074-5BA9-47C9-94C2-52B07AE25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4E2AE56-8F90-4C57-B99B-54205B1BF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66F72E2-0143-4710-AE79-BA282A7C4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2780E84-5E93-4EBE-B4B6-59A2C9B4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DD10B6A-66D7-4B99-AFDF-ED94C0B1C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C081C00-3EA1-4CCA-8758-52FA793A9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1B58FA5-A0ED-4155-AD78-13FF388F7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40808EB-FD9E-43F2-AEDF-456C15C15F7E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8251945-323E-45AB-8488-5273BF455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4CED30F-924B-485B-9CA3-214499738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C2735609-2675-4CBD-9FDB-D802FCD18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6A9FFBBC-0839-4FEE-A8ED-E1FCFB501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68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25CF2C-8071-4EB7-9D0D-6CEBDB695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F2E0FD1-F23E-4F26-A22F-C5F028D2F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5B956766-A439-45E1-A559-4FC3AF9D77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F586DF-19B0-4DE2-9ABC-8B170515B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ECB6B64F-32E7-4C74-9AAA-C0F8904655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B0A9CD3-BBA9-452E-A760-AF377F08B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6C8471F-F5B4-45EA-ABFB-F913894B8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0E90261-F4C3-425E-A2B6-68729B1BE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7EEE32D8-4A53-492F-9F50-C5189DC10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20877D8-E3F4-4DDA-B091-006B18384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F1F6FA2-C99F-4B5E-9E2E-41D82B535A1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D34711C-12E9-4EEE-B890-94E5F2CFA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0CAEB82-2A0D-40D2-8085-1E8C50ECF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BA053E46-D09A-4E73-991C-31C05168E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BF9306B-E62F-43C3-B807-465DAE170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1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70139</xdr:colOff>
      <xdr:row>19</xdr:row>
      <xdr:rowOff>79663</xdr:rowOff>
    </xdr:from>
    <xdr:to>
      <xdr:col>9</xdr:col>
      <xdr:colOff>10391</xdr:colOff>
      <xdr:row>37</xdr:row>
      <xdr:rowOff>30307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289F-8F0B-4448-88C8-C8D653E9E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76202</xdr:colOff>
      <xdr:row>19</xdr:row>
      <xdr:rowOff>77930</xdr:rowOff>
    </xdr:from>
    <xdr:to>
      <xdr:col>15</xdr:col>
      <xdr:colOff>476252</xdr:colOff>
      <xdr:row>37</xdr:row>
      <xdr:rowOff>57149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F9E5FAF-D642-4A6C-B52F-7B8EFBC65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576263</xdr:colOff>
      <xdr:row>40</xdr:row>
      <xdr:rowOff>38099</xdr:rowOff>
    </xdr:from>
    <xdr:to>
      <xdr:col>38</xdr:col>
      <xdr:colOff>428624</xdr:colOff>
      <xdr:row>53</xdr:row>
      <xdr:rowOff>142873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1F8CEC-F8E0-49FB-A92F-D68750BE5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542925</xdr:colOff>
      <xdr:row>73</xdr:row>
      <xdr:rowOff>14287</xdr:rowOff>
    </xdr:from>
    <xdr:to>
      <xdr:col>38</xdr:col>
      <xdr:colOff>547687</xdr:colOff>
      <xdr:row>90</xdr:row>
      <xdr:rowOff>95250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AA00FA0-4E9E-4507-BBCF-6CACB7E4F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557212</xdr:colOff>
      <xdr:row>55</xdr:row>
      <xdr:rowOff>52388</xdr:rowOff>
    </xdr:from>
    <xdr:to>
      <xdr:col>38</xdr:col>
      <xdr:colOff>504825</xdr:colOff>
      <xdr:row>72</xdr:row>
      <xdr:rowOff>42863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570978D-7887-4A72-9B58-5002ADBD1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311727</xdr:colOff>
      <xdr:row>19</xdr:row>
      <xdr:rowOff>69273</xdr:rowOff>
    </xdr:from>
    <xdr:to>
      <xdr:col>23</xdr:col>
      <xdr:colOff>106507</xdr:colOff>
      <xdr:row>37</xdr:row>
      <xdr:rowOff>19917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29E8D1B-B48E-4F13-A353-FEA5FBBE1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138546</xdr:colOff>
      <xdr:row>19</xdr:row>
      <xdr:rowOff>34637</xdr:rowOff>
    </xdr:from>
    <xdr:to>
      <xdr:col>29</xdr:col>
      <xdr:colOff>538597</xdr:colOff>
      <xdr:row>37</xdr:row>
      <xdr:rowOff>13856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457514E6-ABC3-4C9E-ACF8-A51A8A11F4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394607</xdr:colOff>
      <xdr:row>40</xdr:row>
      <xdr:rowOff>108857</xdr:rowOff>
    </xdr:from>
    <xdr:to>
      <xdr:col>31</xdr:col>
      <xdr:colOff>352673</xdr:colOff>
      <xdr:row>54</xdr:row>
      <xdr:rowOff>42182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F1D57DE7-2651-4EE9-861C-911CC7C00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408213</xdr:colOff>
      <xdr:row>54</xdr:row>
      <xdr:rowOff>136072</xdr:rowOff>
    </xdr:from>
    <xdr:to>
      <xdr:col>31</xdr:col>
      <xdr:colOff>366279</xdr:colOff>
      <xdr:row>72</xdr:row>
      <xdr:rowOff>69397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471037FD-A284-4652-829C-07594655D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408214</xdr:colOff>
      <xdr:row>72</xdr:row>
      <xdr:rowOff>149679</xdr:rowOff>
    </xdr:from>
    <xdr:to>
      <xdr:col>31</xdr:col>
      <xdr:colOff>366280</xdr:colOff>
      <xdr:row>90</xdr:row>
      <xdr:rowOff>83004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3A96690A-C756-4B5C-8A3E-6260DAEF0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623455</xdr:colOff>
      <xdr:row>3</xdr:row>
      <xdr:rowOff>51955</xdr:rowOff>
    </xdr:from>
    <xdr:to>
      <xdr:col>15</xdr:col>
      <xdr:colOff>294409</xdr:colOff>
      <xdr:row>17</xdr:row>
      <xdr:rowOff>103909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6D2D600-7E32-4C50-B81A-32A295C4E3F4}"/>
            </a:ext>
          </a:extLst>
        </xdr:cNvPr>
        <xdr:cNvSpPr txBox="1"/>
      </xdr:nvSpPr>
      <xdr:spPr>
        <a:xfrm>
          <a:off x="3614305" y="547255"/>
          <a:ext cx="7614804" cy="29285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Расчетный</a:t>
          </a:r>
          <a:r>
            <a:rPr lang="ru-RU" sz="1100" baseline="0"/>
            <a:t> лист для дополнения базы насосов</a:t>
          </a:r>
        </a:p>
        <a:p>
          <a:r>
            <a:rPr lang="ru-RU" sz="1100" baseline="0"/>
            <a:t>На основе параметров насоса из тНав. Насосы в тНав задаются либо таблицей характеристик либо полиномами. На расчетном листе сопоставляются характеристики по таблице и полиномам, также сверяется соответствие мощности и КПД.</a:t>
          </a:r>
        </a:p>
        <a:p>
          <a:r>
            <a:rPr lang="ru-RU" sz="1100" baseline="0"/>
            <a:t>Готовятся данные для таблицы насосов и таблицы характеристик которые можно вручную добавить в общую таблицу.</a:t>
          </a:r>
        </a:p>
        <a:p>
          <a:endParaRPr lang="ru-RU" sz="1100" baseline="0"/>
        </a:p>
        <a:p>
          <a:r>
            <a:rPr lang="ru-RU" sz="1100" baseline="0"/>
            <a:t>Также для высокооборотных насосов рассчитываются эквивалентные характеристики на 50 Гц, которые также можно внести в таблицу.</a:t>
          </a:r>
        </a:p>
      </xdr:txBody>
    </xdr:sp>
    <xdr:clientData/>
  </xdr:twoCellAnchor>
  <xdr:twoCellAnchor>
    <xdr:from>
      <xdr:col>47</xdr:col>
      <xdr:colOff>285749</xdr:colOff>
      <xdr:row>1</xdr:row>
      <xdr:rowOff>113179</xdr:rowOff>
    </xdr:from>
    <xdr:to>
      <xdr:col>55</xdr:col>
      <xdr:colOff>394791</xdr:colOff>
      <xdr:row>15</xdr:row>
      <xdr:rowOff>32496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B0006268-AB79-47B3-AFB5-7450D255F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291353</xdr:colOff>
      <xdr:row>15</xdr:row>
      <xdr:rowOff>93957</xdr:rowOff>
    </xdr:from>
    <xdr:to>
      <xdr:col>55</xdr:col>
      <xdr:colOff>400395</xdr:colOff>
      <xdr:row>32</xdr:row>
      <xdr:rowOff>140848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84870320-5EB4-4EA6-A796-F308E26F5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55</xdr:col>
      <xdr:colOff>493060</xdr:colOff>
      <xdr:row>1</xdr:row>
      <xdr:rowOff>112059</xdr:rowOff>
    </xdr:from>
    <xdr:to>
      <xdr:col>63</xdr:col>
      <xdr:colOff>602102</xdr:colOff>
      <xdr:row>15</xdr:row>
      <xdr:rowOff>31376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72F07E-EF23-40B9-B600-589A7A214C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55</xdr:col>
      <xdr:colOff>526677</xdr:colOff>
      <xdr:row>15</xdr:row>
      <xdr:rowOff>89646</xdr:rowOff>
    </xdr:from>
    <xdr:to>
      <xdr:col>64</xdr:col>
      <xdr:colOff>30601</xdr:colOff>
      <xdr:row>32</xdr:row>
      <xdr:rowOff>136537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8319A469-08C2-46AC-838F-D0E8659D8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5872024-DE5B-4B34-A2DE-DCAE60AB96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0.55653</cdr:x>
      <cdr:y>0.18117</cdr:y>
    </cdr:from>
    <cdr:to>
      <cdr:x>0.75548</cdr:x>
      <cdr:y>0.27041</cdr:y>
    </cdr:to>
    <cdr:sp macro="" textlink="'193'!$AB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7467CD-84D2-326F-0AAD-1FEF85C4AE2A}"/>
            </a:ext>
          </a:extLst>
        </cdr:cNvPr>
        <cdr:cNvSpPr txBox="1"/>
      </cdr:nvSpPr>
      <cdr:spPr>
        <a:xfrm xmlns:a="http://schemas.openxmlformats.org/drawingml/2006/main">
          <a:off x="2768249" y="505731"/>
          <a:ext cx="989600" cy="249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59378DC-8260-4ECD-97ED-3961439BAE3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f=50 Hz</a:t>
          </a:fld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decode_json"/>
      <definedName name="encode_linspac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3B8D1-BEAB-4B1D-917B-8E67CA306795}">
  <sheetPr codeName="Лист1"/>
  <dimension ref="A1:P648"/>
  <sheetViews>
    <sheetView topLeftCell="A627" zoomScaleNormal="100" workbookViewId="0">
      <selection activeCell="F645" sqref="F645"/>
    </sheetView>
  </sheetViews>
  <sheetFormatPr defaultRowHeight="15" x14ac:dyDescent="0.25"/>
  <cols>
    <col min="1" max="1" width="11" customWidth="1"/>
    <col min="4" max="4" width="10.85546875" customWidth="1"/>
  </cols>
  <sheetData>
    <row r="1" spans="1:16" x14ac:dyDescent="0.25">
      <c r="A1" s="23" t="s">
        <v>55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x14ac:dyDescent="0.25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4" spans="1:16" ht="15.75" thickBot="1" x14ac:dyDescent="0.3"/>
    <row r="5" spans="1:16" ht="15.75" thickBot="1" x14ac:dyDescent="0.3">
      <c r="A5" s="11" t="s">
        <v>0</v>
      </c>
      <c r="B5" s="12" t="s">
        <v>6</v>
      </c>
      <c r="C5" s="12" t="s">
        <v>7</v>
      </c>
      <c r="D5" s="12" t="s">
        <v>8</v>
      </c>
      <c r="E5" s="13" t="s">
        <v>9</v>
      </c>
    </row>
    <row r="6" spans="1:16" x14ac:dyDescent="0.25">
      <c r="A6" s="14">
        <v>736</v>
      </c>
      <c r="B6" s="15">
        <v>0</v>
      </c>
      <c r="C6" s="15">
        <v>4.88</v>
      </c>
      <c r="D6" s="15">
        <v>0.02</v>
      </c>
      <c r="E6" s="16">
        <v>0</v>
      </c>
    </row>
    <row r="7" spans="1:16" x14ac:dyDescent="0.25">
      <c r="A7" s="14">
        <v>736</v>
      </c>
      <c r="B7" s="15">
        <v>5</v>
      </c>
      <c r="C7" s="15">
        <v>4.7300000000000004</v>
      </c>
      <c r="D7" s="15">
        <v>2.1999999999999999E-2</v>
      </c>
      <c r="E7" s="16">
        <v>0.12</v>
      </c>
    </row>
    <row r="8" spans="1:16" x14ac:dyDescent="0.25">
      <c r="A8" s="14">
        <v>736</v>
      </c>
      <c r="B8" s="15">
        <v>10</v>
      </c>
      <c r="C8" s="15">
        <v>4.66</v>
      </c>
      <c r="D8" s="15">
        <v>2.5000000000000001E-2</v>
      </c>
      <c r="E8" s="16">
        <v>0.21</v>
      </c>
    </row>
    <row r="9" spans="1:16" x14ac:dyDescent="0.25">
      <c r="A9" s="14">
        <v>736</v>
      </c>
      <c r="B9" s="15">
        <v>15</v>
      </c>
      <c r="C9" s="15">
        <v>4.6100000000000003</v>
      </c>
      <c r="D9" s="15">
        <v>2.7E-2</v>
      </c>
      <c r="E9" s="16">
        <v>0.28999999999999998</v>
      </c>
    </row>
    <row r="10" spans="1:16" x14ac:dyDescent="0.25">
      <c r="A10" s="14">
        <v>736</v>
      </c>
      <c r="B10" s="15">
        <v>20</v>
      </c>
      <c r="C10" s="15">
        <v>4.5199999999999996</v>
      </c>
      <c r="D10" s="15">
        <v>0.03</v>
      </c>
      <c r="E10" s="16">
        <v>0.35</v>
      </c>
    </row>
    <row r="11" spans="1:16" x14ac:dyDescent="0.25">
      <c r="A11" s="14">
        <v>736</v>
      </c>
      <c r="B11" s="15">
        <v>25</v>
      </c>
      <c r="C11" s="15">
        <v>4.3499999999999996</v>
      </c>
      <c r="D11" s="15">
        <v>3.2000000000000001E-2</v>
      </c>
      <c r="E11" s="16">
        <v>0.38</v>
      </c>
    </row>
    <row r="12" spans="1:16" x14ac:dyDescent="0.25">
      <c r="A12" s="14">
        <v>736</v>
      </c>
      <c r="B12" s="15">
        <v>30</v>
      </c>
      <c r="C12" s="15">
        <v>4.0999999999999996</v>
      </c>
      <c r="D12" s="15">
        <v>3.5000000000000003E-2</v>
      </c>
      <c r="E12" s="16">
        <v>0.4</v>
      </c>
    </row>
    <row r="13" spans="1:16" x14ac:dyDescent="0.25">
      <c r="A13" s="14">
        <v>736</v>
      </c>
      <c r="B13" s="15">
        <v>35</v>
      </c>
      <c r="C13" s="15">
        <v>3.74</v>
      </c>
      <c r="D13" s="15">
        <v>3.7999999999999999E-2</v>
      </c>
      <c r="E13" s="16">
        <v>0.39</v>
      </c>
    </row>
    <row r="14" spans="1:16" x14ac:dyDescent="0.25">
      <c r="A14" s="14">
        <v>736</v>
      </c>
      <c r="B14" s="15">
        <v>40</v>
      </c>
      <c r="C14" s="15">
        <v>3.28</v>
      </c>
      <c r="D14" s="15">
        <v>4.1000000000000002E-2</v>
      </c>
      <c r="E14" s="16">
        <v>0.37</v>
      </c>
    </row>
    <row r="15" spans="1:16" x14ac:dyDescent="0.25">
      <c r="A15" s="14">
        <v>736</v>
      </c>
      <c r="B15" s="15">
        <v>45</v>
      </c>
      <c r="C15" s="15">
        <v>2.73</v>
      </c>
      <c r="D15" s="15">
        <v>4.2999999999999997E-2</v>
      </c>
      <c r="E15" s="16">
        <v>0.32</v>
      </c>
    </row>
    <row r="16" spans="1:16" x14ac:dyDescent="0.25">
      <c r="A16" s="14">
        <v>736</v>
      </c>
      <c r="B16" s="15">
        <v>50</v>
      </c>
      <c r="C16" s="15">
        <v>2.11</v>
      </c>
      <c r="D16" s="15">
        <v>4.5999999999999999E-2</v>
      </c>
      <c r="E16" s="16">
        <v>0.26</v>
      </c>
    </row>
    <row r="17" spans="1:5" x14ac:dyDescent="0.25">
      <c r="A17" s="14">
        <v>736</v>
      </c>
      <c r="B17" s="15">
        <v>55</v>
      </c>
      <c r="C17" s="15">
        <v>1.45</v>
      </c>
      <c r="D17" s="15">
        <v>4.9000000000000002E-2</v>
      </c>
      <c r="E17" s="16">
        <v>0.19</v>
      </c>
    </row>
    <row r="18" spans="1:5" x14ac:dyDescent="0.25">
      <c r="A18" s="14">
        <v>736</v>
      </c>
      <c r="B18" s="15">
        <v>60</v>
      </c>
      <c r="C18" s="15">
        <v>0.77</v>
      </c>
      <c r="D18" s="15">
        <v>5.1999999999999998E-2</v>
      </c>
      <c r="E18" s="16">
        <v>0.1</v>
      </c>
    </row>
    <row r="19" spans="1:5" x14ac:dyDescent="0.25">
      <c r="A19" s="14">
        <v>736</v>
      </c>
      <c r="B19" s="15">
        <v>66</v>
      </c>
      <c r="C19" s="15">
        <v>0</v>
      </c>
      <c r="D19" s="15">
        <v>5.5E-2</v>
      </c>
      <c r="E19" s="16">
        <v>0</v>
      </c>
    </row>
    <row r="20" spans="1:5" s="1" customFormat="1" x14ac:dyDescent="0.25">
      <c r="A20" s="17">
        <v>737</v>
      </c>
      <c r="B20" s="18">
        <v>0</v>
      </c>
      <c r="C20" s="18">
        <v>6.7</v>
      </c>
      <c r="D20" s="18">
        <v>0.106</v>
      </c>
      <c r="E20" s="19">
        <v>0</v>
      </c>
    </row>
    <row r="21" spans="1:5" x14ac:dyDescent="0.25">
      <c r="A21" s="14">
        <v>737</v>
      </c>
      <c r="B21" s="15">
        <v>20</v>
      </c>
      <c r="C21" s="15">
        <v>6.72</v>
      </c>
      <c r="D21" s="15">
        <v>0.113</v>
      </c>
      <c r="E21" s="16">
        <v>0.14000000000000001</v>
      </c>
    </row>
    <row r="22" spans="1:5" x14ac:dyDescent="0.25">
      <c r="A22" s="14">
        <v>737</v>
      </c>
      <c r="B22" s="15">
        <v>40</v>
      </c>
      <c r="C22" s="15">
        <v>6.7</v>
      </c>
      <c r="D22" s="15">
        <v>0.12</v>
      </c>
      <c r="E22" s="16">
        <v>0.25</v>
      </c>
    </row>
    <row r="23" spans="1:5" x14ac:dyDescent="0.25">
      <c r="A23" s="14">
        <v>737</v>
      </c>
      <c r="B23" s="15">
        <v>60</v>
      </c>
      <c r="C23" s="15">
        <v>6.69</v>
      </c>
      <c r="D23" s="15">
        <v>0.126</v>
      </c>
      <c r="E23" s="16">
        <v>0.36</v>
      </c>
    </row>
    <row r="24" spans="1:5" x14ac:dyDescent="0.25">
      <c r="A24" s="14">
        <v>737</v>
      </c>
      <c r="B24" s="15">
        <v>80</v>
      </c>
      <c r="C24" s="15">
        <v>6.6</v>
      </c>
      <c r="D24" s="15">
        <v>0.13300000000000001</v>
      </c>
      <c r="E24" s="16">
        <v>0.46</v>
      </c>
    </row>
    <row r="25" spans="1:5" x14ac:dyDescent="0.25">
      <c r="A25" s="14">
        <v>737</v>
      </c>
      <c r="B25" s="15">
        <v>100</v>
      </c>
      <c r="C25" s="15">
        <v>6.43</v>
      </c>
      <c r="D25" s="15">
        <v>0.14000000000000001</v>
      </c>
      <c r="E25" s="16">
        <v>0.52</v>
      </c>
    </row>
    <row r="26" spans="1:5" x14ac:dyDescent="0.25">
      <c r="A26" s="14">
        <v>737</v>
      </c>
      <c r="B26" s="15">
        <v>120</v>
      </c>
      <c r="C26" s="15">
        <v>5.92</v>
      </c>
      <c r="D26" s="15">
        <v>0.14699999999999999</v>
      </c>
      <c r="E26" s="16">
        <v>0.55000000000000004</v>
      </c>
    </row>
    <row r="27" spans="1:5" x14ac:dyDescent="0.25">
      <c r="A27" s="14">
        <v>737</v>
      </c>
      <c r="B27" s="15">
        <v>125</v>
      </c>
      <c r="C27" s="15">
        <v>5.8</v>
      </c>
      <c r="D27" s="15">
        <v>0.14799999999999999</v>
      </c>
      <c r="E27" s="16">
        <v>0.55000000000000004</v>
      </c>
    </row>
    <row r="28" spans="1:5" x14ac:dyDescent="0.25">
      <c r="A28" s="14">
        <v>737</v>
      </c>
      <c r="B28" s="15">
        <v>140</v>
      </c>
      <c r="C28" s="15">
        <v>5.12</v>
      </c>
      <c r="D28" s="15">
        <v>0.154</v>
      </c>
      <c r="E28" s="16">
        <v>0.53</v>
      </c>
    </row>
    <row r="29" spans="1:5" x14ac:dyDescent="0.25">
      <c r="A29" s="14">
        <v>737</v>
      </c>
      <c r="B29" s="15">
        <v>160</v>
      </c>
      <c r="C29" s="15">
        <v>4.0999999999999996</v>
      </c>
      <c r="D29" s="15">
        <v>0.161</v>
      </c>
      <c r="E29" s="16">
        <v>0.46</v>
      </c>
    </row>
    <row r="30" spans="1:5" x14ac:dyDescent="0.25">
      <c r="A30" s="14">
        <v>737</v>
      </c>
      <c r="B30" s="15">
        <v>180</v>
      </c>
      <c r="C30" s="15">
        <v>2.99</v>
      </c>
      <c r="D30" s="15">
        <v>0.16900000000000001</v>
      </c>
      <c r="E30" s="16">
        <v>0.36</v>
      </c>
    </row>
    <row r="31" spans="1:5" x14ac:dyDescent="0.25">
      <c r="A31" s="14">
        <v>737</v>
      </c>
      <c r="B31" s="15">
        <v>200</v>
      </c>
      <c r="C31" s="15">
        <v>1.9</v>
      </c>
      <c r="D31" s="15">
        <v>0.17249999999999999</v>
      </c>
      <c r="E31" s="16">
        <v>0.24</v>
      </c>
    </row>
    <row r="32" spans="1:5" x14ac:dyDescent="0.25">
      <c r="A32" s="14">
        <v>737</v>
      </c>
      <c r="B32" s="15">
        <v>220</v>
      </c>
      <c r="C32" s="15">
        <v>0.73</v>
      </c>
      <c r="D32" s="15">
        <v>0.16919999999999999</v>
      </c>
      <c r="E32" s="16">
        <v>0.1</v>
      </c>
    </row>
    <row r="33" spans="1:5" x14ac:dyDescent="0.25">
      <c r="A33" s="14">
        <v>737</v>
      </c>
      <c r="B33" s="15">
        <v>230</v>
      </c>
      <c r="C33" s="15">
        <v>0</v>
      </c>
      <c r="D33" s="15">
        <v>0.16209999999999999</v>
      </c>
      <c r="E33" s="16">
        <v>0</v>
      </c>
    </row>
    <row r="34" spans="1:5" s="1" customFormat="1" x14ac:dyDescent="0.25">
      <c r="A34" s="17">
        <v>738</v>
      </c>
      <c r="B34" s="18">
        <v>0</v>
      </c>
      <c r="C34" s="18">
        <v>7.2</v>
      </c>
      <c r="D34" s="18">
        <v>3.4000000000000002E-2</v>
      </c>
      <c r="E34" s="19">
        <v>0</v>
      </c>
    </row>
    <row r="35" spans="1:5" x14ac:dyDescent="0.25">
      <c r="A35" s="14">
        <v>738</v>
      </c>
      <c r="B35" s="15">
        <v>5</v>
      </c>
      <c r="C35" s="15">
        <v>6.9</v>
      </c>
      <c r="D35" s="15">
        <v>3.2000000000000001E-2</v>
      </c>
      <c r="E35" s="16">
        <v>0.12</v>
      </c>
    </row>
    <row r="36" spans="1:5" x14ac:dyDescent="0.25">
      <c r="A36" s="14">
        <v>738</v>
      </c>
      <c r="B36" s="15">
        <v>10</v>
      </c>
      <c r="C36" s="15">
        <v>6.3</v>
      </c>
      <c r="D36" s="15">
        <v>3.1E-2</v>
      </c>
      <c r="E36" s="16">
        <v>0.24</v>
      </c>
    </row>
    <row r="37" spans="1:5" x14ac:dyDescent="0.25">
      <c r="A37" s="14">
        <v>738</v>
      </c>
      <c r="B37" s="15">
        <v>15</v>
      </c>
      <c r="C37" s="15">
        <v>5.5</v>
      </c>
      <c r="D37" s="15">
        <v>3.1E-2</v>
      </c>
      <c r="E37" s="16">
        <v>0.3</v>
      </c>
    </row>
    <row r="38" spans="1:5" x14ac:dyDescent="0.25">
      <c r="A38" s="14">
        <v>738</v>
      </c>
      <c r="B38" s="15">
        <v>20</v>
      </c>
      <c r="C38" s="15">
        <v>4.4000000000000004</v>
      </c>
      <c r="D38" s="15">
        <v>3.3000000000000002E-2</v>
      </c>
      <c r="E38" s="16">
        <v>0.3</v>
      </c>
    </row>
    <row r="39" spans="1:5" x14ac:dyDescent="0.25">
      <c r="A39" s="14">
        <v>738</v>
      </c>
      <c r="B39" s="15">
        <v>25</v>
      </c>
      <c r="C39" s="15">
        <v>3</v>
      </c>
      <c r="D39" s="15">
        <v>3.5000000000000003E-2</v>
      </c>
      <c r="E39" s="16">
        <v>0.24</v>
      </c>
    </row>
    <row r="40" spans="1:5" x14ac:dyDescent="0.25">
      <c r="A40" s="14">
        <v>738</v>
      </c>
      <c r="B40" s="15">
        <v>33</v>
      </c>
      <c r="C40" s="15">
        <v>0</v>
      </c>
      <c r="D40" s="15">
        <v>4.2000000000000003E-2</v>
      </c>
      <c r="E40" s="16">
        <v>0</v>
      </c>
    </row>
    <row r="41" spans="1:5" s="1" customFormat="1" x14ac:dyDescent="0.25">
      <c r="A41" s="17">
        <v>739</v>
      </c>
      <c r="B41" s="18">
        <v>0</v>
      </c>
      <c r="C41" s="18">
        <v>6.13</v>
      </c>
      <c r="D41" s="18">
        <v>3.2000000000000001E-2</v>
      </c>
      <c r="E41" s="19">
        <v>0</v>
      </c>
    </row>
    <row r="42" spans="1:5" x14ac:dyDescent="0.25">
      <c r="A42" s="14">
        <v>739</v>
      </c>
      <c r="B42" s="15">
        <v>5</v>
      </c>
      <c r="C42" s="15">
        <v>5.94</v>
      </c>
      <c r="D42" s="15">
        <v>2.9000000000000001E-2</v>
      </c>
      <c r="E42" s="16">
        <v>0.12</v>
      </c>
    </row>
    <row r="43" spans="1:5" x14ac:dyDescent="0.25">
      <c r="A43" s="14">
        <v>739</v>
      </c>
      <c r="B43" s="15">
        <v>10</v>
      </c>
      <c r="C43" s="15">
        <v>5.73</v>
      </c>
      <c r="D43" s="15">
        <v>3.1E-2</v>
      </c>
      <c r="E43" s="16">
        <v>0.21</v>
      </c>
    </row>
    <row r="44" spans="1:5" x14ac:dyDescent="0.25">
      <c r="A44" s="14">
        <v>739</v>
      </c>
      <c r="B44" s="15">
        <v>15</v>
      </c>
      <c r="C44" s="15">
        <v>5.4</v>
      </c>
      <c r="D44" s="15">
        <v>3.2000000000000001E-2</v>
      </c>
      <c r="E44" s="16">
        <v>0.28000000000000003</v>
      </c>
    </row>
    <row r="45" spans="1:5" x14ac:dyDescent="0.25">
      <c r="A45" s="14">
        <v>739</v>
      </c>
      <c r="B45" s="15">
        <v>18</v>
      </c>
      <c r="C45" s="15">
        <v>5.14</v>
      </c>
      <c r="D45" s="15">
        <v>3.4000000000000002E-2</v>
      </c>
      <c r="E45" s="16">
        <v>0.31</v>
      </c>
    </row>
    <row r="46" spans="1:5" x14ac:dyDescent="0.25">
      <c r="A46" s="14">
        <v>739</v>
      </c>
      <c r="B46" s="15">
        <v>20</v>
      </c>
      <c r="C46" s="15">
        <v>4.96</v>
      </c>
      <c r="D46" s="15">
        <v>3.5000000000000003E-2</v>
      </c>
      <c r="E46" s="16">
        <v>0.33</v>
      </c>
    </row>
    <row r="47" spans="1:5" x14ac:dyDescent="0.25">
      <c r="A47" s="14">
        <v>739</v>
      </c>
      <c r="B47" s="15">
        <v>25</v>
      </c>
      <c r="C47" s="15">
        <v>4.5199999999999996</v>
      </c>
      <c r="D47" s="15">
        <v>3.6999999999999998E-2</v>
      </c>
      <c r="E47" s="16">
        <v>0.35</v>
      </c>
    </row>
    <row r="48" spans="1:5" x14ac:dyDescent="0.25">
      <c r="A48" s="14">
        <v>739</v>
      </c>
      <c r="B48" s="15">
        <v>30</v>
      </c>
      <c r="C48" s="15">
        <v>4.03</v>
      </c>
      <c r="D48" s="15">
        <v>0.04</v>
      </c>
      <c r="E48" s="16">
        <v>0.35</v>
      </c>
    </row>
    <row r="49" spans="1:5" x14ac:dyDescent="0.25">
      <c r="A49" s="14">
        <v>739</v>
      </c>
      <c r="B49" s="15">
        <v>35</v>
      </c>
      <c r="C49" s="15">
        <v>3.55</v>
      </c>
      <c r="D49" s="15">
        <v>4.2000000000000003E-2</v>
      </c>
      <c r="E49" s="16">
        <v>0.34</v>
      </c>
    </row>
    <row r="50" spans="1:5" x14ac:dyDescent="0.25">
      <c r="A50" s="14">
        <v>739</v>
      </c>
      <c r="B50" s="15">
        <v>40</v>
      </c>
      <c r="C50" s="15">
        <v>2.98</v>
      </c>
      <c r="D50" s="15">
        <v>4.4999999999999998E-2</v>
      </c>
      <c r="E50" s="16">
        <v>0.3</v>
      </c>
    </row>
    <row r="51" spans="1:5" x14ac:dyDescent="0.25">
      <c r="A51" s="14">
        <v>739</v>
      </c>
      <c r="B51" s="15">
        <v>45</v>
      </c>
      <c r="C51" s="15">
        <v>2.29</v>
      </c>
      <c r="D51" s="15">
        <v>4.8000000000000001E-2</v>
      </c>
      <c r="E51" s="16">
        <v>0.24</v>
      </c>
    </row>
    <row r="52" spans="1:5" x14ac:dyDescent="0.25">
      <c r="A52" s="14">
        <v>739</v>
      </c>
      <c r="B52" s="15">
        <v>50</v>
      </c>
      <c r="C52" s="15">
        <v>1.38</v>
      </c>
      <c r="D52" s="15">
        <v>5.0999999999999997E-2</v>
      </c>
      <c r="E52" s="16">
        <v>0.15</v>
      </c>
    </row>
    <row r="53" spans="1:5" x14ac:dyDescent="0.25">
      <c r="A53" s="14">
        <v>739</v>
      </c>
      <c r="B53" s="15">
        <v>56.5</v>
      </c>
      <c r="C53" s="15">
        <v>0</v>
      </c>
      <c r="D53" s="15">
        <v>5.6000000000000001E-2</v>
      </c>
      <c r="E53" s="16">
        <v>0</v>
      </c>
    </row>
    <row r="54" spans="1:5" s="1" customFormat="1" x14ac:dyDescent="0.25">
      <c r="A54" s="17">
        <v>740</v>
      </c>
      <c r="B54" s="18">
        <v>0</v>
      </c>
      <c r="C54" s="18">
        <v>6.2</v>
      </c>
      <c r="D54" s="18">
        <v>3.2000000000000001E-2</v>
      </c>
      <c r="E54" s="19">
        <v>0</v>
      </c>
    </row>
    <row r="55" spans="1:5" x14ac:dyDescent="0.25">
      <c r="A55" s="14">
        <v>740</v>
      </c>
      <c r="B55" s="15">
        <v>10</v>
      </c>
      <c r="C55" s="15">
        <v>5.9</v>
      </c>
      <c r="D55" s="15">
        <v>0.03</v>
      </c>
      <c r="E55" s="16">
        <v>0.22</v>
      </c>
    </row>
    <row r="56" spans="1:5" x14ac:dyDescent="0.25">
      <c r="A56" s="14">
        <v>740</v>
      </c>
      <c r="B56" s="15">
        <v>20</v>
      </c>
      <c r="C56" s="15">
        <v>5.4</v>
      </c>
      <c r="D56" s="15">
        <v>3.2000000000000001E-2</v>
      </c>
      <c r="E56" s="16">
        <v>0.38</v>
      </c>
    </row>
    <row r="57" spans="1:5" x14ac:dyDescent="0.25">
      <c r="A57" s="14">
        <v>740</v>
      </c>
      <c r="B57" s="15">
        <v>30</v>
      </c>
      <c r="C57" s="15">
        <v>4.8</v>
      </c>
      <c r="D57" s="15">
        <v>3.6999999999999998E-2</v>
      </c>
      <c r="E57" s="16">
        <v>0.44</v>
      </c>
    </row>
    <row r="58" spans="1:5" x14ac:dyDescent="0.25">
      <c r="A58" s="14">
        <v>740</v>
      </c>
      <c r="B58" s="15">
        <v>45</v>
      </c>
      <c r="C58" s="15">
        <v>2.7</v>
      </c>
      <c r="D58" s="15">
        <v>4.2999999999999997E-2</v>
      </c>
      <c r="E58" s="16">
        <v>0.32</v>
      </c>
    </row>
    <row r="59" spans="1:5" x14ac:dyDescent="0.25">
      <c r="A59" s="14">
        <v>740</v>
      </c>
      <c r="B59" s="15">
        <v>50</v>
      </c>
      <c r="C59" s="15">
        <v>1.7</v>
      </c>
      <c r="D59" s="15">
        <v>4.4999999999999998E-2</v>
      </c>
      <c r="E59" s="16">
        <v>0.22</v>
      </c>
    </row>
    <row r="60" spans="1:5" x14ac:dyDescent="0.25">
      <c r="A60" s="14">
        <v>740</v>
      </c>
      <c r="B60" s="15">
        <v>58</v>
      </c>
      <c r="C60" s="15">
        <v>0</v>
      </c>
      <c r="D60" s="15">
        <v>5.0999999999999997E-2</v>
      </c>
      <c r="E60" s="16">
        <v>0</v>
      </c>
    </row>
    <row r="61" spans="1:5" s="1" customFormat="1" x14ac:dyDescent="0.25">
      <c r="A61" s="17">
        <v>741</v>
      </c>
      <c r="B61" s="18">
        <v>0</v>
      </c>
      <c r="C61" s="18">
        <v>6.5</v>
      </c>
      <c r="D61" s="18">
        <v>5.6000000000000001E-2</v>
      </c>
      <c r="E61" s="19">
        <v>0</v>
      </c>
    </row>
    <row r="62" spans="1:5" x14ac:dyDescent="0.25">
      <c r="A62" s="14">
        <v>741</v>
      </c>
      <c r="B62" s="15">
        <v>15</v>
      </c>
      <c r="C62" s="15">
        <v>6.2</v>
      </c>
      <c r="D62" s="15">
        <v>0.05</v>
      </c>
      <c r="E62" s="16">
        <v>0.21</v>
      </c>
    </row>
    <row r="63" spans="1:5" x14ac:dyDescent="0.25">
      <c r="A63" s="14">
        <v>741</v>
      </c>
      <c r="B63" s="15">
        <v>32</v>
      </c>
      <c r="C63" s="15">
        <v>5.9</v>
      </c>
      <c r="D63" s="15">
        <v>5.3999999999999999E-2</v>
      </c>
      <c r="E63" s="16">
        <v>0.4</v>
      </c>
    </row>
    <row r="64" spans="1:5" x14ac:dyDescent="0.25">
      <c r="A64" s="14">
        <v>741</v>
      </c>
      <c r="B64" s="15">
        <v>44</v>
      </c>
      <c r="C64" s="15">
        <v>5.5</v>
      </c>
      <c r="D64" s="15">
        <v>5.8000000000000003E-2</v>
      </c>
      <c r="E64" s="16">
        <v>0.47</v>
      </c>
    </row>
    <row r="65" spans="1:5" x14ac:dyDescent="0.25">
      <c r="A65" s="14">
        <v>741</v>
      </c>
      <c r="B65" s="15">
        <v>60</v>
      </c>
      <c r="C65" s="15">
        <v>4.4000000000000004</v>
      </c>
      <c r="D65" s="15">
        <v>6.4000000000000001E-2</v>
      </c>
      <c r="E65" s="16">
        <v>0.46</v>
      </c>
    </row>
    <row r="66" spans="1:5" x14ac:dyDescent="0.25">
      <c r="A66" s="14">
        <v>741</v>
      </c>
      <c r="B66" s="15">
        <v>75</v>
      </c>
      <c r="C66" s="15">
        <v>2.9</v>
      </c>
      <c r="D66" s="15">
        <v>7.0000000000000007E-2</v>
      </c>
      <c r="E66" s="16">
        <v>0.35</v>
      </c>
    </row>
    <row r="67" spans="1:5" x14ac:dyDescent="0.25">
      <c r="A67" s="14">
        <v>741</v>
      </c>
      <c r="B67" s="15">
        <v>95</v>
      </c>
      <c r="C67" s="15">
        <v>0.3</v>
      </c>
      <c r="D67" s="15">
        <v>7.5999999999999998E-2</v>
      </c>
      <c r="E67" s="16">
        <v>0</v>
      </c>
    </row>
    <row r="68" spans="1:5" s="1" customFormat="1" x14ac:dyDescent="0.25">
      <c r="A68" s="17">
        <v>742</v>
      </c>
      <c r="B68" s="18">
        <v>0</v>
      </c>
      <c r="C68" s="18">
        <v>3.9</v>
      </c>
      <c r="D68" s="18">
        <v>0.21</v>
      </c>
      <c r="E68" s="19">
        <v>0</v>
      </c>
    </row>
    <row r="69" spans="1:5" x14ac:dyDescent="0.25">
      <c r="A69" s="14">
        <v>742</v>
      </c>
      <c r="B69" s="15">
        <v>60</v>
      </c>
      <c r="C69" s="15">
        <v>3.85</v>
      </c>
      <c r="D69" s="15">
        <v>0.22</v>
      </c>
      <c r="E69" s="16">
        <v>0.09</v>
      </c>
    </row>
    <row r="70" spans="1:5" x14ac:dyDescent="0.25">
      <c r="A70" s="14">
        <v>742</v>
      </c>
      <c r="B70" s="15">
        <v>120</v>
      </c>
      <c r="C70" s="15">
        <v>3.87</v>
      </c>
      <c r="D70" s="15">
        <v>0.23</v>
      </c>
      <c r="E70" s="16">
        <v>0.2</v>
      </c>
    </row>
    <row r="71" spans="1:5" x14ac:dyDescent="0.25">
      <c r="A71" s="14">
        <v>742</v>
      </c>
      <c r="B71" s="15">
        <v>200</v>
      </c>
      <c r="C71" s="15">
        <v>3.9</v>
      </c>
      <c r="D71" s="15">
        <v>0.26</v>
      </c>
      <c r="E71" s="16">
        <v>0.34</v>
      </c>
    </row>
    <row r="72" spans="1:5" x14ac:dyDescent="0.25">
      <c r="A72" s="14">
        <v>742</v>
      </c>
      <c r="B72" s="15">
        <v>350</v>
      </c>
      <c r="C72" s="15">
        <v>3.8</v>
      </c>
      <c r="D72" s="15">
        <v>0.29399999999999998</v>
      </c>
      <c r="E72" s="16">
        <v>0.51</v>
      </c>
    </row>
    <row r="73" spans="1:5" x14ac:dyDescent="0.25">
      <c r="A73" s="14">
        <v>742</v>
      </c>
      <c r="B73" s="15">
        <v>500</v>
      </c>
      <c r="C73" s="15">
        <v>3.4</v>
      </c>
      <c r="D73" s="15">
        <v>0.3</v>
      </c>
      <c r="E73" s="16">
        <v>0.63</v>
      </c>
    </row>
    <row r="74" spans="1:5" x14ac:dyDescent="0.25">
      <c r="A74" s="14">
        <v>742</v>
      </c>
      <c r="B74" s="15">
        <v>600</v>
      </c>
      <c r="C74" s="15">
        <v>2.8</v>
      </c>
      <c r="D74" s="15">
        <v>0.28999999999999998</v>
      </c>
      <c r="E74" s="16">
        <v>0.66</v>
      </c>
    </row>
    <row r="75" spans="1:5" x14ac:dyDescent="0.25">
      <c r="A75" s="14">
        <v>742</v>
      </c>
      <c r="B75" s="15">
        <v>700</v>
      </c>
      <c r="C75" s="15">
        <v>1.9</v>
      </c>
      <c r="D75" s="15">
        <v>0.27200000000000002</v>
      </c>
      <c r="E75" s="16">
        <v>0.56999999999999995</v>
      </c>
    </row>
    <row r="76" spans="1:5" x14ac:dyDescent="0.25">
      <c r="A76" s="14">
        <v>742</v>
      </c>
      <c r="B76" s="15">
        <v>760</v>
      </c>
      <c r="C76" s="15">
        <v>1.2</v>
      </c>
      <c r="D76" s="15">
        <v>0.26</v>
      </c>
      <c r="E76" s="16">
        <v>0.39</v>
      </c>
    </row>
    <row r="77" spans="1:5" x14ac:dyDescent="0.25">
      <c r="A77" s="14">
        <v>742</v>
      </c>
      <c r="B77" s="15">
        <v>840</v>
      </c>
      <c r="C77" s="15">
        <v>0</v>
      </c>
      <c r="D77" s="15">
        <v>0.23</v>
      </c>
      <c r="E77" s="16">
        <v>0</v>
      </c>
    </row>
    <row r="78" spans="1:5" s="1" customFormat="1" x14ac:dyDescent="0.25">
      <c r="A78" s="17">
        <v>743</v>
      </c>
      <c r="B78" s="18">
        <v>0</v>
      </c>
      <c r="C78" s="18">
        <v>6.69</v>
      </c>
      <c r="D78" s="18">
        <v>6.3E-2</v>
      </c>
      <c r="E78" s="19">
        <v>0</v>
      </c>
    </row>
    <row r="79" spans="1:5" x14ac:dyDescent="0.25">
      <c r="A79" s="14">
        <v>743</v>
      </c>
      <c r="B79" s="15">
        <v>10</v>
      </c>
      <c r="C79" s="15">
        <v>6.37</v>
      </c>
      <c r="D79" s="15">
        <v>5.8000000000000003E-2</v>
      </c>
      <c r="E79" s="16">
        <v>0.13</v>
      </c>
    </row>
    <row r="80" spans="1:5" x14ac:dyDescent="0.25">
      <c r="A80" s="14">
        <v>743</v>
      </c>
      <c r="B80" s="15">
        <v>20</v>
      </c>
      <c r="C80" s="15">
        <v>6.27</v>
      </c>
      <c r="D80" s="15">
        <v>5.8000000000000003E-2</v>
      </c>
      <c r="E80" s="16">
        <v>0.24</v>
      </c>
    </row>
    <row r="81" spans="1:5" x14ac:dyDescent="0.25">
      <c r="A81" s="14">
        <v>743</v>
      </c>
      <c r="B81" s="15">
        <v>30</v>
      </c>
      <c r="C81" s="15">
        <v>6.18</v>
      </c>
      <c r="D81" s="15">
        <v>0.06</v>
      </c>
      <c r="E81" s="16">
        <v>0.35</v>
      </c>
    </row>
    <row r="82" spans="1:5" x14ac:dyDescent="0.25">
      <c r="A82" s="14">
        <v>743</v>
      </c>
      <c r="B82" s="15">
        <v>40</v>
      </c>
      <c r="C82" s="15">
        <v>6.04</v>
      </c>
      <c r="D82" s="15">
        <v>6.4000000000000001E-2</v>
      </c>
      <c r="E82" s="16">
        <v>0.43</v>
      </c>
    </row>
    <row r="83" spans="1:5" x14ac:dyDescent="0.25">
      <c r="A83" s="14">
        <v>743</v>
      </c>
      <c r="B83" s="15">
        <v>50</v>
      </c>
      <c r="C83" s="15">
        <v>5.83</v>
      </c>
      <c r="D83" s="15">
        <v>6.8000000000000005E-2</v>
      </c>
      <c r="E83" s="16">
        <v>0.49</v>
      </c>
    </row>
    <row r="84" spans="1:5" x14ac:dyDescent="0.25">
      <c r="A84" s="14">
        <v>743</v>
      </c>
      <c r="B84" s="15">
        <v>59</v>
      </c>
      <c r="C84" s="15">
        <v>5.55</v>
      </c>
      <c r="D84" s="15">
        <v>7.2999999999999995E-2</v>
      </c>
      <c r="E84" s="16">
        <v>0.52</v>
      </c>
    </row>
    <row r="85" spans="1:5" x14ac:dyDescent="0.25">
      <c r="A85" s="14">
        <v>743</v>
      </c>
      <c r="B85" s="15">
        <v>70</v>
      </c>
      <c r="C85" s="15">
        <v>5.0599999999999996</v>
      </c>
      <c r="D85" s="15">
        <v>7.8E-2</v>
      </c>
      <c r="E85" s="16">
        <v>0.52</v>
      </c>
    </row>
    <row r="86" spans="1:5" x14ac:dyDescent="0.25">
      <c r="A86" s="14">
        <v>743</v>
      </c>
      <c r="B86" s="15">
        <v>75</v>
      </c>
      <c r="C86" s="15">
        <v>4.76</v>
      </c>
      <c r="D86" s="15">
        <v>0.08</v>
      </c>
      <c r="E86" s="16">
        <v>0.51</v>
      </c>
    </row>
    <row r="87" spans="1:5" x14ac:dyDescent="0.25">
      <c r="A87" s="14">
        <v>743</v>
      </c>
      <c r="B87" s="15">
        <v>80</v>
      </c>
      <c r="C87" s="15">
        <v>4.42</v>
      </c>
      <c r="D87" s="15">
        <v>8.2000000000000003E-2</v>
      </c>
      <c r="E87" s="16">
        <v>0.49</v>
      </c>
    </row>
    <row r="88" spans="1:5" x14ac:dyDescent="0.25">
      <c r="A88" s="14">
        <v>743</v>
      </c>
      <c r="B88" s="15">
        <v>90</v>
      </c>
      <c r="C88" s="15">
        <v>3.6</v>
      </c>
      <c r="D88" s="15">
        <v>8.5999999999999993E-2</v>
      </c>
      <c r="E88" s="16">
        <v>0.42</v>
      </c>
    </row>
    <row r="89" spans="1:5" x14ac:dyDescent="0.25">
      <c r="A89" s="14">
        <v>743</v>
      </c>
      <c r="B89" s="15">
        <v>100</v>
      </c>
      <c r="C89" s="15">
        <v>2.62</v>
      </c>
      <c r="D89" s="15">
        <v>0.09</v>
      </c>
      <c r="E89" s="16">
        <v>0.33</v>
      </c>
    </row>
    <row r="90" spans="1:5" x14ac:dyDescent="0.25">
      <c r="A90" s="14">
        <v>743</v>
      </c>
      <c r="B90" s="15">
        <v>110</v>
      </c>
      <c r="C90" s="15">
        <v>1.55</v>
      </c>
      <c r="D90" s="15">
        <v>9.2999999999999999E-2</v>
      </c>
      <c r="E90" s="16">
        <v>0.21</v>
      </c>
    </row>
    <row r="91" spans="1:5" x14ac:dyDescent="0.25">
      <c r="A91" s="14">
        <v>743</v>
      </c>
      <c r="B91" s="15">
        <v>120</v>
      </c>
      <c r="C91" s="15">
        <v>0.47</v>
      </c>
      <c r="D91" s="15">
        <v>9.7000000000000003E-2</v>
      </c>
      <c r="E91" s="16">
        <v>7.0000000000000007E-2</v>
      </c>
    </row>
    <row r="92" spans="1:5" x14ac:dyDescent="0.25">
      <c r="A92" s="14">
        <v>743</v>
      </c>
      <c r="B92" s="15">
        <v>124</v>
      </c>
      <c r="C92" s="15">
        <v>0</v>
      </c>
      <c r="D92" s="15">
        <v>9.9000000000000005E-2</v>
      </c>
      <c r="E92" s="16">
        <v>0</v>
      </c>
    </row>
    <row r="93" spans="1:5" s="1" customFormat="1" x14ac:dyDescent="0.25">
      <c r="A93" s="17">
        <v>744</v>
      </c>
      <c r="B93" s="18">
        <v>0</v>
      </c>
      <c r="C93" s="18">
        <v>6.86</v>
      </c>
      <c r="D93" s="18">
        <v>8.8999999999999996E-2</v>
      </c>
      <c r="E93" s="19">
        <v>0</v>
      </c>
    </row>
    <row r="94" spans="1:5" x14ac:dyDescent="0.25">
      <c r="A94" s="14">
        <v>744</v>
      </c>
      <c r="B94" s="15">
        <v>10</v>
      </c>
      <c r="C94" s="15">
        <v>6.85</v>
      </c>
      <c r="D94" s="15">
        <v>9.0999999999999998E-2</v>
      </c>
      <c r="E94" s="16">
        <v>0.08</v>
      </c>
    </row>
    <row r="95" spans="1:5" x14ac:dyDescent="0.25">
      <c r="A95" s="14">
        <v>744</v>
      </c>
      <c r="B95" s="15">
        <v>20</v>
      </c>
      <c r="C95" s="15">
        <v>6.86</v>
      </c>
      <c r="D95" s="15">
        <v>9.2999999999999999E-2</v>
      </c>
      <c r="E95" s="16">
        <v>0.16</v>
      </c>
    </row>
    <row r="96" spans="1:5" x14ac:dyDescent="0.25">
      <c r="A96" s="14">
        <v>744</v>
      </c>
      <c r="B96" s="15">
        <v>30</v>
      </c>
      <c r="C96" s="15">
        <v>6.89</v>
      </c>
      <c r="D96" s="15">
        <v>9.5000000000000001E-2</v>
      </c>
      <c r="E96" s="16">
        <v>0.24</v>
      </c>
    </row>
    <row r="97" spans="1:5" x14ac:dyDescent="0.25">
      <c r="A97" s="14">
        <v>744</v>
      </c>
      <c r="B97" s="15">
        <v>40</v>
      </c>
      <c r="C97" s="15">
        <v>6.9</v>
      </c>
      <c r="D97" s="15">
        <v>9.7000000000000003E-2</v>
      </c>
      <c r="E97" s="16">
        <v>0.32</v>
      </c>
    </row>
    <row r="98" spans="1:5" x14ac:dyDescent="0.25">
      <c r="A98" s="14">
        <v>744</v>
      </c>
      <c r="B98" s="15">
        <v>50</v>
      </c>
      <c r="C98" s="15">
        <v>6.88</v>
      </c>
      <c r="D98" s="15">
        <v>9.9000000000000005E-2</v>
      </c>
      <c r="E98" s="16">
        <v>0.4</v>
      </c>
    </row>
    <row r="99" spans="1:5" x14ac:dyDescent="0.25">
      <c r="A99" s="14">
        <v>744</v>
      </c>
      <c r="B99" s="15">
        <v>60</v>
      </c>
      <c r="C99" s="15">
        <v>6.8</v>
      </c>
      <c r="D99" s="15">
        <v>0.10100000000000001</v>
      </c>
      <c r="E99" s="16">
        <v>0.47</v>
      </c>
    </row>
    <row r="100" spans="1:5" x14ac:dyDescent="0.25">
      <c r="A100" s="14">
        <v>744</v>
      </c>
      <c r="B100" s="15">
        <v>70</v>
      </c>
      <c r="C100" s="15">
        <v>6.66</v>
      </c>
      <c r="D100" s="15">
        <v>0.10299999999999999</v>
      </c>
      <c r="E100" s="16">
        <v>0.52</v>
      </c>
    </row>
    <row r="101" spans="1:5" x14ac:dyDescent="0.25">
      <c r="A101" s="14">
        <v>744</v>
      </c>
      <c r="B101" s="15">
        <v>79</v>
      </c>
      <c r="C101" s="15">
        <v>6.46</v>
      </c>
      <c r="D101" s="15">
        <v>0.105</v>
      </c>
      <c r="E101" s="16">
        <v>0.56000000000000005</v>
      </c>
    </row>
    <row r="102" spans="1:5" x14ac:dyDescent="0.25">
      <c r="A102" s="14">
        <v>744</v>
      </c>
      <c r="B102" s="15">
        <v>90</v>
      </c>
      <c r="C102" s="15">
        <v>6.14</v>
      </c>
      <c r="D102" s="15">
        <v>0.108</v>
      </c>
      <c r="E102" s="16">
        <v>0.57999999999999996</v>
      </c>
    </row>
    <row r="103" spans="1:5" x14ac:dyDescent="0.25">
      <c r="A103" s="14">
        <v>744</v>
      </c>
      <c r="B103" s="15">
        <v>100</v>
      </c>
      <c r="C103" s="15">
        <v>5.75</v>
      </c>
      <c r="D103" s="15">
        <v>0.111</v>
      </c>
      <c r="E103" s="16">
        <v>0.57999999999999996</v>
      </c>
    </row>
    <row r="104" spans="1:5" x14ac:dyDescent="0.25">
      <c r="A104" s="14">
        <v>744</v>
      </c>
      <c r="B104" s="15">
        <v>105</v>
      </c>
      <c r="C104" s="15">
        <v>5.52</v>
      </c>
      <c r="D104" s="15">
        <v>0.113</v>
      </c>
      <c r="E104" s="16">
        <v>0.57999999999999996</v>
      </c>
    </row>
    <row r="105" spans="1:5" x14ac:dyDescent="0.25">
      <c r="A105" s="14">
        <v>744</v>
      </c>
      <c r="B105" s="15">
        <v>110</v>
      </c>
      <c r="C105" s="15">
        <v>5.27</v>
      </c>
      <c r="D105" s="15">
        <v>0.114</v>
      </c>
      <c r="E105" s="16">
        <v>0.56999999999999995</v>
      </c>
    </row>
    <row r="106" spans="1:5" x14ac:dyDescent="0.25">
      <c r="A106" s="14">
        <v>744</v>
      </c>
      <c r="B106" s="15">
        <v>120</v>
      </c>
      <c r="C106" s="15">
        <v>4.7</v>
      </c>
      <c r="D106" s="15">
        <v>0.11799999999999999</v>
      </c>
      <c r="E106" s="16">
        <v>0.54</v>
      </c>
    </row>
    <row r="107" spans="1:5" x14ac:dyDescent="0.25">
      <c r="A107" s="14">
        <v>744</v>
      </c>
      <c r="B107" s="15">
        <v>130</v>
      </c>
      <c r="C107" s="15">
        <v>4.0599999999999996</v>
      </c>
      <c r="D107" s="15">
        <v>0.122</v>
      </c>
      <c r="E107" s="16">
        <v>0.48</v>
      </c>
    </row>
    <row r="108" spans="1:5" x14ac:dyDescent="0.25">
      <c r="A108" s="14">
        <v>744</v>
      </c>
      <c r="B108" s="15">
        <v>140</v>
      </c>
      <c r="C108" s="15">
        <v>3.36</v>
      </c>
      <c r="D108" s="15">
        <v>0.127</v>
      </c>
      <c r="E108" s="16">
        <v>0.42</v>
      </c>
    </row>
    <row r="109" spans="1:5" x14ac:dyDescent="0.25">
      <c r="A109" s="14">
        <v>744</v>
      </c>
      <c r="B109" s="15">
        <v>150</v>
      </c>
      <c r="C109" s="15">
        <v>2.61</v>
      </c>
      <c r="D109" s="15">
        <v>0.13200000000000001</v>
      </c>
      <c r="E109" s="16">
        <v>0.34</v>
      </c>
    </row>
    <row r="110" spans="1:5" x14ac:dyDescent="0.25">
      <c r="A110" s="14">
        <v>744</v>
      </c>
      <c r="B110" s="15">
        <v>160</v>
      </c>
      <c r="C110" s="15">
        <v>1.83</v>
      </c>
      <c r="D110" s="15">
        <v>0.13800000000000001</v>
      </c>
      <c r="E110" s="16">
        <v>0.24</v>
      </c>
    </row>
    <row r="111" spans="1:5" x14ac:dyDescent="0.25">
      <c r="A111" s="14">
        <v>744</v>
      </c>
      <c r="B111" s="15">
        <v>170</v>
      </c>
      <c r="C111" s="15">
        <v>1.05</v>
      </c>
      <c r="D111" s="15">
        <v>0.14499999999999999</v>
      </c>
      <c r="E111" s="16">
        <v>0.14000000000000001</v>
      </c>
    </row>
    <row r="112" spans="1:5" x14ac:dyDescent="0.25">
      <c r="A112" s="14">
        <v>744</v>
      </c>
      <c r="B112" s="15">
        <v>180</v>
      </c>
      <c r="C112" s="15">
        <v>0.3</v>
      </c>
      <c r="D112" s="15">
        <v>0.152</v>
      </c>
      <c r="E112" s="16">
        <v>0.04</v>
      </c>
    </row>
    <row r="113" spans="1:5" x14ac:dyDescent="0.25">
      <c r="A113" s="14">
        <v>744</v>
      </c>
      <c r="B113" s="15">
        <v>184</v>
      </c>
      <c r="C113" s="15">
        <v>0</v>
      </c>
      <c r="D113" s="15">
        <v>0.156</v>
      </c>
      <c r="E113" s="16">
        <v>0</v>
      </c>
    </row>
    <row r="114" spans="1:5" s="1" customFormat="1" x14ac:dyDescent="0.25">
      <c r="A114" s="17">
        <v>745</v>
      </c>
      <c r="B114" s="18">
        <v>0</v>
      </c>
      <c r="C114" s="18">
        <v>8.6</v>
      </c>
      <c r="D114" s="18">
        <v>0.113</v>
      </c>
      <c r="E114" s="19">
        <v>0</v>
      </c>
    </row>
    <row r="115" spans="1:5" x14ac:dyDescent="0.25">
      <c r="A115" s="14">
        <v>745</v>
      </c>
      <c r="B115" s="15">
        <v>20</v>
      </c>
      <c r="C115" s="15">
        <v>8.69</v>
      </c>
      <c r="D115" s="15">
        <v>0.1193</v>
      </c>
      <c r="E115" s="16">
        <v>0.16</v>
      </c>
    </row>
    <row r="116" spans="1:5" x14ac:dyDescent="0.25">
      <c r="A116" s="14">
        <v>745</v>
      </c>
      <c r="B116" s="15">
        <v>40</v>
      </c>
      <c r="C116" s="15">
        <v>8.7799999999999994</v>
      </c>
      <c r="D116" s="15">
        <v>0.126</v>
      </c>
      <c r="E116" s="16">
        <v>0.32</v>
      </c>
    </row>
    <row r="117" spans="1:5" x14ac:dyDescent="0.25">
      <c r="A117" s="14">
        <v>745</v>
      </c>
      <c r="B117" s="15">
        <v>60</v>
      </c>
      <c r="C117" s="15">
        <v>8.57</v>
      </c>
      <c r="D117" s="15">
        <v>0.13170000000000001</v>
      </c>
      <c r="E117" s="16">
        <v>0.44</v>
      </c>
    </row>
    <row r="118" spans="1:5" x14ac:dyDescent="0.25">
      <c r="A118" s="14">
        <v>745</v>
      </c>
      <c r="B118" s="15">
        <v>70</v>
      </c>
      <c r="C118" s="15">
        <v>8.4</v>
      </c>
      <c r="D118" s="15">
        <v>0.13539999999999999</v>
      </c>
      <c r="E118" s="16">
        <v>0.5</v>
      </c>
    </row>
    <row r="119" spans="1:5" x14ac:dyDescent="0.25">
      <c r="A119" s="14">
        <v>745</v>
      </c>
      <c r="B119" s="15">
        <v>81</v>
      </c>
      <c r="C119" s="15">
        <v>8.1</v>
      </c>
      <c r="D119" s="15">
        <v>0.1394</v>
      </c>
      <c r="E119" s="16">
        <v>0.56000000000000005</v>
      </c>
    </row>
    <row r="120" spans="1:5" x14ac:dyDescent="0.25">
      <c r="A120" s="14">
        <v>745</v>
      </c>
      <c r="B120" s="15">
        <v>100</v>
      </c>
      <c r="C120" s="15">
        <v>7.6</v>
      </c>
      <c r="D120" s="15">
        <v>0.1469</v>
      </c>
      <c r="E120" s="16">
        <v>0.6</v>
      </c>
    </row>
    <row r="121" spans="1:5" x14ac:dyDescent="0.25">
      <c r="A121" s="14">
        <v>745</v>
      </c>
      <c r="B121" s="15">
        <v>120</v>
      </c>
      <c r="C121" s="15">
        <v>6.57</v>
      </c>
      <c r="D121" s="15">
        <v>0.158</v>
      </c>
      <c r="E121" s="16">
        <v>0.56999999999999995</v>
      </c>
    </row>
    <row r="122" spans="1:5" x14ac:dyDescent="0.25">
      <c r="A122" s="14">
        <v>745</v>
      </c>
      <c r="B122" s="15">
        <v>140</v>
      </c>
      <c r="C122" s="15">
        <v>5.4</v>
      </c>
      <c r="D122" s="15">
        <v>0.16700000000000001</v>
      </c>
      <c r="E122" s="16">
        <v>0.52</v>
      </c>
    </row>
    <row r="123" spans="1:5" x14ac:dyDescent="0.25">
      <c r="A123" s="14">
        <v>745</v>
      </c>
      <c r="B123" s="15">
        <v>160</v>
      </c>
      <c r="C123" s="15">
        <v>3.5</v>
      </c>
      <c r="D123" s="15">
        <v>0.17699999999999999</v>
      </c>
      <c r="E123" s="16">
        <v>0.36</v>
      </c>
    </row>
    <row r="124" spans="1:5" x14ac:dyDescent="0.25">
      <c r="A124" s="14">
        <v>745</v>
      </c>
      <c r="B124" s="15">
        <v>185</v>
      </c>
      <c r="C124" s="15">
        <v>0</v>
      </c>
      <c r="D124" s="15">
        <v>0.17899999999999999</v>
      </c>
      <c r="E124" s="16">
        <v>0</v>
      </c>
    </row>
    <row r="125" spans="1:5" s="1" customFormat="1" x14ac:dyDescent="0.25">
      <c r="A125" s="17">
        <v>746</v>
      </c>
      <c r="B125" s="18">
        <v>0</v>
      </c>
      <c r="C125" s="18">
        <v>8.4700000000000006</v>
      </c>
      <c r="D125" s="18">
        <v>0.13700000000000001</v>
      </c>
      <c r="E125" s="19">
        <v>0</v>
      </c>
    </row>
    <row r="126" spans="1:5" x14ac:dyDescent="0.25">
      <c r="A126" s="14">
        <v>746</v>
      </c>
      <c r="B126" s="15">
        <v>20</v>
      </c>
      <c r="C126" s="15">
        <v>8.66</v>
      </c>
      <c r="D126" s="15">
        <v>0.14199999999999999</v>
      </c>
      <c r="E126" s="16">
        <v>0.13</v>
      </c>
    </row>
    <row r="127" spans="1:5" x14ac:dyDescent="0.25">
      <c r="A127" s="14">
        <v>746</v>
      </c>
      <c r="B127" s="15">
        <v>40</v>
      </c>
      <c r="C127" s="15">
        <v>8.67</v>
      </c>
      <c r="D127" s="15">
        <v>0.14699999999999999</v>
      </c>
      <c r="E127" s="16">
        <v>0.26</v>
      </c>
    </row>
    <row r="128" spans="1:5" x14ac:dyDescent="0.25">
      <c r="A128" s="14">
        <v>746</v>
      </c>
      <c r="B128" s="15">
        <v>60</v>
      </c>
      <c r="C128" s="15">
        <v>8.56</v>
      </c>
      <c r="D128" s="15">
        <v>0.153</v>
      </c>
      <c r="E128" s="16">
        <v>0.38</v>
      </c>
    </row>
    <row r="129" spans="1:5" x14ac:dyDescent="0.25">
      <c r="A129" s="14">
        <v>746</v>
      </c>
      <c r="B129" s="15">
        <v>80</v>
      </c>
      <c r="C129" s="15">
        <v>8.3699999999999992</v>
      </c>
      <c r="D129" s="15">
        <v>0.16</v>
      </c>
      <c r="E129" s="16">
        <v>0.48</v>
      </c>
    </row>
    <row r="130" spans="1:5" x14ac:dyDescent="0.25">
      <c r="A130" s="14">
        <v>746</v>
      </c>
      <c r="B130" s="15">
        <v>95</v>
      </c>
      <c r="C130" s="15">
        <v>8.1999999999999993</v>
      </c>
      <c r="D130" s="15">
        <v>0.16600000000000001</v>
      </c>
      <c r="E130" s="16">
        <v>0.54</v>
      </c>
    </row>
    <row r="131" spans="1:5" x14ac:dyDescent="0.25">
      <c r="A131" s="14">
        <v>746</v>
      </c>
      <c r="B131" s="15">
        <v>120</v>
      </c>
      <c r="C131" s="15">
        <v>7.72</v>
      </c>
      <c r="D131" s="15">
        <v>0.17699999999999999</v>
      </c>
      <c r="E131" s="16">
        <v>0.60499999999999998</v>
      </c>
    </row>
    <row r="132" spans="1:5" x14ac:dyDescent="0.25">
      <c r="A132" s="14">
        <v>746</v>
      </c>
      <c r="B132" s="15">
        <v>124</v>
      </c>
      <c r="C132" s="15">
        <v>7.6</v>
      </c>
      <c r="D132" s="15">
        <v>0.17899999999999999</v>
      </c>
      <c r="E132" s="16">
        <v>0.61</v>
      </c>
    </row>
    <row r="133" spans="1:5" x14ac:dyDescent="0.25">
      <c r="A133" s="14">
        <v>746</v>
      </c>
      <c r="B133" s="15">
        <v>140</v>
      </c>
      <c r="C133" s="15">
        <v>7.19</v>
      </c>
      <c r="D133" s="15">
        <v>0.187</v>
      </c>
      <c r="E133" s="16">
        <v>0.61</v>
      </c>
    </row>
    <row r="134" spans="1:5" x14ac:dyDescent="0.25">
      <c r="A134" s="14">
        <v>746</v>
      </c>
      <c r="B134" s="15">
        <v>160</v>
      </c>
      <c r="C134" s="15">
        <v>6.5</v>
      </c>
      <c r="D134" s="15">
        <v>0.19900000000000001</v>
      </c>
      <c r="E134" s="16">
        <v>0.59</v>
      </c>
    </row>
    <row r="135" spans="1:5" x14ac:dyDescent="0.25">
      <c r="A135" s="14">
        <v>746</v>
      </c>
      <c r="B135" s="15">
        <v>180</v>
      </c>
      <c r="C135" s="15">
        <v>5.55</v>
      </c>
      <c r="D135" s="15">
        <v>0.21199999999999999</v>
      </c>
      <c r="E135" s="16">
        <v>0.53</v>
      </c>
    </row>
    <row r="136" spans="1:5" x14ac:dyDescent="0.25">
      <c r="A136" s="14">
        <v>746</v>
      </c>
      <c r="B136" s="15">
        <v>200</v>
      </c>
      <c r="C136" s="15">
        <v>4.4000000000000004</v>
      </c>
      <c r="D136" s="15">
        <v>0.22700000000000001</v>
      </c>
      <c r="E136" s="16">
        <v>0.44</v>
      </c>
    </row>
    <row r="137" spans="1:5" x14ac:dyDescent="0.25">
      <c r="A137" s="14">
        <v>746</v>
      </c>
      <c r="B137" s="15">
        <v>220</v>
      </c>
      <c r="C137" s="15">
        <v>3.07</v>
      </c>
      <c r="D137" s="15">
        <v>0.24299999999999999</v>
      </c>
      <c r="E137" s="16">
        <v>0.31</v>
      </c>
    </row>
    <row r="138" spans="1:5" x14ac:dyDescent="0.25">
      <c r="A138" s="14">
        <v>746</v>
      </c>
      <c r="B138" s="15">
        <v>240</v>
      </c>
      <c r="C138" s="15">
        <v>1.6</v>
      </c>
      <c r="D138" s="15">
        <v>0.26100000000000001</v>
      </c>
      <c r="E138" s="16">
        <v>0.17</v>
      </c>
    </row>
    <row r="139" spans="1:5" x14ac:dyDescent="0.25">
      <c r="A139" s="14">
        <v>746</v>
      </c>
      <c r="B139" s="15">
        <v>261</v>
      </c>
      <c r="C139" s="15">
        <v>0</v>
      </c>
      <c r="D139" s="15">
        <v>0.28199999999999997</v>
      </c>
      <c r="E139" s="16">
        <v>0</v>
      </c>
    </row>
    <row r="140" spans="1:5" s="1" customFormat="1" x14ac:dyDescent="0.25">
      <c r="A140" s="17">
        <v>747</v>
      </c>
      <c r="B140" s="18">
        <v>0</v>
      </c>
      <c r="C140" s="18">
        <v>7.6</v>
      </c>
      <c r="D140" s="18">
        <v>0.13600000000000001</v>
      </c>
      <c r="E140" s="19">
        <v>0</v>
      </c>
    </row>
    <row r="141" spans="1:5" x14ac:dyDescent="0.25">
      <c r="A141" s="14">
        <v>747</v>
      </c>
      <c r="B141" s="15">
        <v>40</v>
      </c>
      <c r="C141" s="15">
        <v>7.55</v>
      </c>
      <c r="D141" s="15">
        <v>0.16</v>
      </c>
      <c r="E141" s="16">
        <v>0.19589999999999999</v>
      </c>
    </row>
    <row r="142" spans="1:5" x14ac:dyDescent="0.25">
      <c r="A142" s="14">
        <v>747</v>
      </c>
      <c r="B142" s="15">
        <v>80</v>
      </c>
      <c r="C142" s="15">
        <v>7.71</v>
      </c>
      <c r="D142" s="15">
        <v>0.185</v>
      </c>
      <c r="E142" s="16">
        <v>0.37</v>
      </c>
    </row>
    <row r="143" spans="1:5" x14ac:dyDescent="0.25">
      <c r="A143" s="14">
        <v>747</v>
      </c>
      <c r="B143" s="15">
        <v>110</v>
      </c>
      <c r="C143" s="15">
        <v>7.75</v>
      </c>
      <c r="D143" s="15">
        <v>0.20300000000000001</v>
      </c>
      <c r="E143" s="16">
        <v>0.47639999999999999</v>
      </c>
    </row>
    <row r="144" spans="1:5" x14ac:dyDescent="0.25">
      <c r="A144" s="14">
        <v>747</v>
      </c>
      <c r="B144" s="15">
        <v>130</v>
      </c>
      <c r="C144" s="15">
        <v>7.7</v>
      </c>
      <c r="D144" s="15">
        <v>0.216</v>
      </c>
      <c r="E144" s="16">
        <v>0.53249999999999997</v>
      </c>
    </row>
    <row r="145" spans="1:5" x14ac:dyDescent="0.25">
      <c r="A145" s="14">
        <v>747</v>
      </c>
      <c r="B145" s="15">
        <v>145</v>
      </c>
      <c r="C145" s="15">
        <v>7.5</v>
      </c>
      <c r="D145" s="15">
        <v>0.22500000000000001</v>
      </c>
      <c r="E145" s="16">
        <v>0.55359999999999998</v>
      </c>
    </row>
    <row r="146" spans="1:5" x14ac:dyDescent="0.25">
      <c r="A146" s="14">
        <v>747</v>
      </c>
      <c r="B146" s="15">
        <v>159</v>
      </c>
      <c r="C146" s="15">
        <v>7.3</v>
      </c>
      <c r="D146" s="15">
        <v>0.23400000000000001</v>
      </c>
      <c r="E146" s="16">
        <v>0.56179999999999997</v>
      </c>
    </row>
    <row r="147" spans="1:5" x14ac:dyDescent="0.25">
      <c r="A147" s="14">
        <v>747</v>
      </c>
      <c r="B147" s="15">
        <v>190</v>
      </c>
      <c r="C147" s="15">
        <v>6.5</v>
      </c>
      <c r="D147" s="15">
        <v>0.253</v>
      </c>
      <c r="E147" s="16">
        <v>0.55000000000000004</v>
      </c>
    </row>
    <row r="148" spans="1:5" x14ac:dyDescent="0.25">
      <c r="A148" s="14">
        <v>747</v>
      </c>
      <c r="B148" s="15">
        <v>205</v>
      </c>
      <c r="C148" s="15">
        <v>6.1</v>
      </c>
      <c r="D148" s="15">
        <v>0.26200000000000001</v>
      </c>
      <c r="E148" s="16">
        <v>0.54</v>
      </c>
    </row>
    <row r="149" spans="1:5" x14ac:dyDescent="0.25">
      <c r="A149" s="14">
        <v>747</v>
      </c>
      <c r="B149" s="15">
        <v>240</v>
      </c>
      <c r="C149" s="15">
        <v>5.01</v>
      </c>
      <c r="D149" s="15">
        <v>0.28399999999999997</v>
      </c>
      <c r="E149" s="16">
        <v>0.48</v>
      </c>
    </row>
    <row r="150" spans="1:5" x14ac:dyDescent="0.25">
      <c r="A150" s="14">
        <v>747</v>
      </c>
      <c r="B150" s="15">
        <v>260</v>
      </c>
      <c r="C150" s="15">
        <v>4.4000000000000004</v>
      </c>
      <c r="D150" s="15">
        <v>0.29599999999999999</v>
      </c>
      <c r="E150" s="16">
        <v>0.44</v>
      </c>
    </row>
    <row r="151" spans="1:5" x14ac:dyDescent="0.25">
      <c r="A151" s="14">
        <v>747</v>
      </c>
      <c r="B151" s="15">
        <v>280</v>
      </c>
      <c r="C151" s="15">
        <v>3.74</v>
      </c>
      <c r="D151" s="15">
        <v>0.308</v>
      </c>
      <c r="E151" s="16">
        <v>0.39</v>
      </c>
    </row>
    <row r="152" spans="1:5" x14ac:dyDescent="0.25">
      <c r="A152" s="14">
        <v>747</v>
      </c>
      <c r="B152" s="15">
        <v>300</v>
      </c>
      <c r="C152" s="15">
        <v>2.97</v>
      </c>
      <c r="D152" s="15">
        <v>0.32</v>
      </c>
      <c r="E152" s="16">
        <v>0.31</v>
      </c>
    </row>
    <row r="153" spans="1:5" x14ac:dyDescent="0.25">
      <c r="A153" s="14">
        <v>747</v>
      </c>
      <c r="B153" s="15">
        <v>320</v>
      </c>
      <c r="C153" s="15">
        <v>2.04</v>
      </c>
      <c r="D153" s="15">
        <v>0.33100000000000002</v>
      </c>
      <c r="E153" s="16">
        <v>0.22</v>
      </c>
    </row>
    <row r="154" spans="1:5" x14ac:dyDescent="0.25">
      <c r="A154" s="14">
        <v>747</v>
      </c>
      <c r="B154" s="15">
        <v>355</v>
      </c>
      <c r="C154" s="15">
        <v>0</v>
      </c>
      <c r="D154" s="15">
        <v>0.35099999999999998</v>
      </c>
      <c r="E154" s="16">
        <v>0</v>
      </c>
    </row>
    <row r="155" spans="1:5" s="1" customFormat="1" x14ac:dyDescent="0.25">
      <c r="A155" s="17">
        <v>748</v>
      </c>
      <c r="B155" s="18">
        <v>0</v>
      </c>
      <c r="C155" s="18">
        <v>7.64</v>
      </c>
      <c r="D155" s="18">
        <v>0.154</v>
      </c>
      <c r="E155" s="19">
        <v>0</v>
      </c>
    </row>
    <row r="156" spans="1:5" x14ac:dyDescent="0.25">
      <c r="A156" s="14">
        <v>748</v>
      </c>
      <c r="B156" s="15">
        <v>30</v>
      </c>
      <c r="C156" s="15">
        <v>7.53</v>
      </c>
      <c r="D156" s="15">
        <v>0.16800000000000001</v>
      </c>
      <c r="E156" s="16">
        <v>0.15</v>
      </c>
    </row>
    <row r="157" spans="1:5" x14ac:dyDescent="0.25">
      <c r="A157" s="14">
        <v>748</v>
      </c>
      <c r="B157" s="15">
        <v>60</v>
      </c>
      <c r="C157" s="15">
        <v>7.6</v>
      </c>
      <c r="D157" s="15">
        <v>0.187</v>
      </c>
      <c r="E157" s="16">
        <v>0.28000000000000003</v>
      </c>
    </row>
    <row r="158" spans="1:5" x14ac:dyDescent="0.25">
      <c r="A158" s="14">
        <v>748</v>
      </c>
      <c r="B158" s="15">
        <v>90</v>
      </c>
      <c r="C158" s="15">
        <v>7.8</v>
      </c>
      <c r="D158" s="15">
        <v>0.20799999999999999</v>
      </c>
      <c r="E158" s="16">
        <v>0.38</v>
      </c>
    </row>
    <row r="159" spans="1:5" x14ac:dyDescent="0.25">
      <c r="A159" s="14">
        <v>748</v>
      </c>
      <c r="B159" s="15">
        <v>120</v>
      </c>
      <c r="C159" s="15">
        <v>7.81</v>
      </c>
      <c r="D159" s="15">
        <v>0.23200000000000001</v>
      </c>
      <c r="E159" s="16">
        <v>0.46</v>
      </c>
    </row>
    <row r="160" spans="1:5" x14ac:dyDescent="0.25">
      <c r="A160" s="14">
        <v>748</v>
      </c>
      <c r="B160" s="15">
        <v>150</v>
      </c>
      <c r="C160" s="15">
        <v>7.7</v>
      </c>
      <c r="D160" s="15">
        <v>0.25600000000000001</v>
      </c>
      <c r="E160" s="16">
        <v>0.51</v>
      </c>
    </row>
    <row r="161" spans="1:5" x14ac:dyDescent="0.25">
      <c r="A161" s="14">
        <v>748</v>
      </c>
      <c r="B161" s="15">
        <v>180</v>
      </c>
      <c r="C161" s="15">
        <v>7.29</v>
      </c>
      <c r="D161" s="15">
        <v>0.28000000000000003</v>
      </c>
      <c r="E161" s="16">
        <v>0.53</v>
      </c>
    </row>
    <row r="162" spans="1:5" x14ac:dyDescent="0.25">
      <c r="A162" s="14">
        <v>748</v>
      </c>
      <c r="B162" s="15">
        <v>199</v>
      </c>
      <c r="C162" s="15">
        <v>7</v>
      </c>
      <c r="D162" s="15">
        <v>0.29499999999999998</v>
      </c>
      <c r="E162" s="16">
        <v>0.53</v>
      </c>
    </row>
    <row r="163" spans="1:5" x14ac:dyDescent="0.25">
      <c r="A163" s="14">
        <v>748</v>
      </c>
      <c r="B163" s="15">
        <v>230</v>
      </c>
      <c r="C163" s="15">
        <v>6.28</v>
      </c>
      <c r="D163" s="15">
        <v>0.31900000000000001</v>
      </c>
      <c r="E163" s="16">
        <v>0.51</v>
      </c>
    </row>
    <row r="164" spans="1:5" x14ac:dyDescent="0.25">
      <c r="A164" s="14">
        <v>748</v>
      </c>
      <c r="B164" s="15">
        <v>255</v>
      </c>
      <c r="C164" s="15">
        <v>5.61</v>
      </c>
      <c r="D164" s="15">
        <v>0.33700000000000002</v>
      </c>
      <c r="E164" s="16">
        <v>0.48</v>
      </c>
    </row>
    <row r="165" spans="1:5" x14ac:dyDescent="0.25">
      <c r="A165" s="14">
        <v>748</v>
      </c>
      <c r="B165" s="15">
        <v>300</v>
      </c>
      <c r="C165" s="15">
        <v>4.0999999999999996</v>
      </c>
      <c r="D165" s="15">
        <v>0.36799999999999999</v>
      </c>
      <c r="E165" s="16">
        <v>0.37</v>
      </c>
    </row>
    <row r="166" spans="1:5" x14ac:dyDescent="0.25">
      <c r="A166" s="14">
        <v>748</v>
      </c>
      <c r="B166" s="15">
        <v>320</v>
      </c>
      <c r="C166" s="15">
        <v>3.2</v>
      </c>
      <c r="D166" s="15">
        <v>0.38100000000000001</v>
      </c>
      <c r="E166" s="16">
        <v>0.31</v>
      </c>
    </row>
    <row r="167" spans="1:5" x14ac:dyDescent="0.25">
      <c r="A167" s="14">
        <v>748</v>
      </c>
      <c r="B167" s="15">
        <v>350</v>
      </c>
      <c r="C167" s="15">
        <v>1.72</v>
      </c>
      <c r="D167" s="15">
        <v>0.39900000000000002</v>
      </c>
      <c r="E167" s="16">
        <v>0.17</v>
      </c>
    </row>
    <row r="168" spans="1:5" x14ac:dyDescent="0.25">
      <c r="A168" s="14">
        <v>748</v>
      </c>
      <c r="B168" s="15">
        <v>380</v>
      </c>
      <c r="C168" s="15">
        <v>0</v>
      </c>
      <c r="D168" s="15">
        <v>0.41699999999999998</v>
      </c>
      <c r="E168" s="16">
        <v>0</v>
      </c>
    </row>
    <row r="169" spans="1:5" s="1" customFormat="1" x14ac:dyDescent="0.25">
      <c r="A169" s="17">
        <v>749</v>
      </c>
      <c r="B169" s="18">
        <v>0</v>
      </c>
      <c r="C169" s="18">
        <v>6.8</v>
      </c>
      <c r="D169" s="18">
        <v>0.13600000000000001</v>
      </c>
      <c r="E169" s="19">
        <v>0</v>
      </c>
    </row>
    <row r="170" spans="1:5" x14ac:dyDescent="0.25">
      <c r="A170" s="14">
        <v>749</v>
      </c>
      <c r="B170" s="15">
        <v>40</v>
      </c>
      <c r="C170" s="15">
        <v>6.6</v>
      </c>
      <c r="D170" s="15">
        <v>0.16</v>
      </c>
      <c r="E170" s="16">
        <v>0.17699999999999999</v>
      </c>
    </row>
    <row r="171" spans="1:5" x14ac:dyDescent="0.25">
      <c r="A171" s="14">
        <v>749</v>
      </c>
      <c r="B171" s="15">
        <v>80</v>
      </c>
      <c r="C171" s="15">
        <v>6.4</v>
      </c>
      <c r="D171" s="15">
        <v>0.2</v>
      </c>
      <c r="E171" s="16">
        <v>0.28999999999999998</v>
      </c>
    </row>
    <row r="172" spans="1:5" x14ac:dyDescent="0.25">
      <c r="A172" s="14">
        <v>749</v>
      </c>
      <c r="B172" s="15">
        <v>120</v>
      </c>
      <c r="C172" s="15">
        <v>6.5</v>
      </c>
      <c r="D172" s="15">
        <v>0.24</v>
      </c>
      <c r="E172" s="16">
        <v>0.372</v>
      </c>
    </row>
    <row r="173" spans="1:5" x14ac:dyDescent="0.25">
      <c r="A173" s="14">
        <v>749</v>
      </c>
      <c r="B173" s="15">
        <v>160</v>
      </c>
      <c r="C173" s="15">
        <v>6.7</v>
      </c>
      <c r="D173" s="15">
        <v>0.28000000000000003</v>
      </c>
      <c r="E173" s="16">
        <v>0.437</v>
      </c>
    </row>
    <row r="174" spans="1:5" x14ac:dyDescent="0.25">
      <c r="A174" s="14">
        <v>749</v>
      </c>
      <c r="B174" s="15">
        <v>190</v>
      </c>
      <c r="C174" s="15">
        <v>6.7</v>
      </c>
      <c r="D174" s="15">
        <v>0.311</v>
      </c>
      <c r="E174" s="16">
        <v>0.47</v>
      </c>
    </row>
    <row r="175" spans="1:5" x14ac:dyDescent="0.25">
      <c r="A175" s="14">
        <v>749</v>
      </c>
      <c r="B175" s="15">
        <v>240</v>
      </c>
      <c r="C175" s="15">
        <v>6.2</v>
      </c>
      <c r="D175" s="15">
        <v>0.35899999999999999</v>
      </c>
      <c r="E175" s="16">
        <v>0.48</v>
      </c>
    </row>
    <row r="176" spans="1:5" x14ac:dyDescent="0.25">
      <c r="A176" s="14">
        <v>749</v>
      </c>
      <c r="B176" s="15">
        <v>280</v>
      </c>
      <c r="C176" s="15">
        <v>5.3</v>
      </c>
      <c r="D176" s="15">
        <v>0.39200000000000002</v>
      </c>
      <c r="E176" s="16">
        <v>0.43</v>
      </c>
    </row>
    <row r="177" spans="1:5" x14ac:dyDescent="0.25">
      <c r="A177" s="14">
        <v>749</v>
      </c>
      <c r="B177" s="15">
        <v>320</v>
      </c>
      <c r="C177" s="15">
        <v>3.83</v>
      </c>
      <c r="D177" s="15">
        <v>0.42</v>
      </c>
      <c r="E177" s="16">
        <v>0.34</v>
      </c>
    </row>
    <row r="178" spans="1:5" x14ac:dyDescent="0.25">
      <c r="A178" s="14">
        <v>749</v>
      </c>
      <c r="B178" s="15">
        <v>360</v>
      </c>
      <c r="C178" s="15">
        <v>2.2000000000000002</v>
      </c>
      <c r="D178" s="15">
        <v>0.44</v>
      </c>
      <c r="E178" s="16">
        <v>0.2</v>
      </c>
    </row>
    <row r="179" spans="1:5" x14ac:dyDescent="0.25">
      <c r="A179" s="14">
        <v>749</v>
      </c>
      <c r="B179" s="15">
        <v>400</v>
      </c>
      <c r="C179" s="15">
        <v>0.5</v>
      </c>
      <c r="D179" s="15">
        <v>0.442</v>
      </c>
      <c r="E179" s="16">
        <v>0.03</v>
      </c>
    </row>
    <row r="180" spans="1:5" x14ac:dyDescent="0.25">
      <c r="A180" s="14">
        <v>749</v>
      </c>
      <c r="B180" s="15">
        <v>410</v>
      </c>
      <c r="C180" s="15">
        <v>0</v>
      </c>
      <c r="D180" s="15">
        <v>0.442</v>
      </c>
      <c r="E180" s="16">
        <v>0</v>
      </c>
    </row>
    <row r="181" spans="1:5" s="1" customFormat="1" x14ac:dyDescent="0.25">
      <c r="A181" s="17">
        <v>750</v>
      </c>
      <c r="B181" s="18">
        <v>0</v>
      </c>
      <c r="C181" s="18">
        <v>6.75</v>
      </c>
      <c r="D181" s="18">
        <v>0.19900000000000001</v>
      </c>
      <c r="E181" s="19">
        <v>0.01</v>
      </c>
    </row>
    <row r="182" spans="1:5" x14ac:dyDescent="0.25">
      <c r="A182" s="14">
        <v>750</v>
      </c>
      <c r="B182" s="15">
        <v>40</v>
      </c>
      <c r="C182" s="15">
        <v>6.4</v>
      </c>
      <c r="D182" s="15">
        <v>0.22900000000000001</v>
      </c>
      <c r="E182" s="16">
        <v>0.11</v>
      </c>
    </row>
    <row r="183" spans="1:5" x14ac:dyDescent="0.25">
      <c r="A183" s="14">
        <v>750</v>
      </c>
      <c r="B183" s="15">
        <v>80</v>
      </c>
      <c r="C183" s="15">
        <v>6.32</v>
      </c>
      <c r="D183" s="15">
        <v>0.26</v>
      </c>
      <c r="E183" s="16">
        <v>0.21</v>
      </c>
    </row>
    <row r="184" spans="1:5" x14ac:dyDescent="0.25">
      <c r="A184" s="14">
        <v>750</v>
      </c>
      <c r="B184" s="15">
        <v>120</v>
      </c>
      <c r="C184" s="15">
        <v>6.37</v>
      </c>
      <c r="D184" s="15">
        <v>0.28999999999999998</v>
      </c>
      <c r="E184" s="16">
        <v>0.3</v>
      </c>
    </row>
    <row r="185" spans="1:5" x14ac:dyDescent="0.25">
      <c r="A185" s="14">
        <v>750</v>
      </c>
      <c r="B185" s="15">
        <v>160</v>
      </c>
      <c r="C185" s="15">
        <v>6.42</v>
      </c>
      <c r="D185" s="15">
        <v>0.32100000000000001</v>
      </c>
      <c r="E185" s="16">
        <v>0.37</v>
      </c>
    </row>
    <row r="186" spans="1:5" x14ac:dyDescent="0.25">
      <c r="A186" s="14">
        <v>750</v>
      </c>
      <c r="B186" s="15">
        <v>200</v>
      </c>
      <c r="C186" s="15">
        <v>6.35</v>
      </c>
      <c r="D186" s="15">
        <v>0.35099999999999998</v>
      </c>
      <c r="E186" s="16">
        <v>0.41909999999999997</v>
      </c>
    </row>
    <row r="187" spans="1:5" x14ac:dyDescent="0.25">
      <c r="A187" s="14">
        <v>750</v>
      </c>
      <c r="B187" s="15">
        <v>220</v>
      </c>
      <c r="C187" s="15">
        <v>6.25</v>
      </c>
      <c r="D187" s="15">
        <v>0.36599999999999999</v>
      </c>
      <c r="E187" s="16">
        <v>0.435</v>
      </c>
    </row>
    <row r="188" spans="1:5" x14ac:dyDescent="0.25">
      <c r="A188" s="14">
        <v>750</v>
      </c>
      <c r="B188" s="15">
        <v>240</v>
      </c>
      <c r="C188" s="15">
        <v>6.1</v>
      </c>
      <c r="D188" s="15">
        <v>0.38</v>
      </c>
      <c r="E188" s="16">
        <v>0.4425</v>
      </c>
    </row>
    <row r="189" spans="1:5" x14ac:dyDescent="0.25">
      <c r="A189" s="14">
        <v>750</v>
      </c>
      <c r="B189" s="15">
        <v>280</v>
      </c>
      <c r="C189" s="15">
        <v>5.63</v>
      </c>
      <c r="D189" s="15">
        <v>0.40799999999999997</v>
      </c>
      <c r="E189" s="16">
        <v>0.44</v>
      </c>
    </row>
    <row r="190" spans="1:5" x14ac:dyDescent="0.25">
      <c r="A190" s="14">
        <v>750</v>
      </c>
      <c r="B190" s="15">
        <v>300</v>
      </c>
      <c r="C190" s="15">
        <v>5.31</v>
      </c>
      <c r="D190" s="15">
        <v>0.42</v>
      </c>
      <c r="E190" s="16">
        <v>0.43</v>
      </c>
    </row>
    <row r="191" spans="1:5" x14ac:dyDescent="0.25">
      <c r="A191" s="14">
        <v>750</v>
      </c>
      <c r="B191" s="15">
        <v>320</v>
      </c>
      <c r="C191" s="15">
        <v>4.93</v>
      </c>
      <c r="D191" s="15">
        <v>0.433</v>
      </c>
      <c r="E191" s="16">
        <v>0.41</v>
      </c>
    </row>
    <row r="192" spans="1:5" x14ac:dyDescent="0.25">
      <c r="A192" s="14">
        <v>750</v>
      </c>
      <c r="B192" s="15">
        <v>350</v>
      </c>
      <c r="C192" s="15">
        <v>4.26</v>
      </c>
      <c r="D192" s="15">
        <v>0.45</v>
      </c>
      <c r="E192" s="16">
        <v>0.37</v>
      </c>
    </row>
    <row r="193" spans="1:5" x14ac:dyDescent="0.25">
      <c r="A193" s="14">
        <v>750</v>
      </c>
      <c r="B193" s="15">
        <v>400</v>
      </c>
      <c r="C193" s="15">
        <v>2.92</v>
      </c>
      <c r="D193" s="15">
        <v>0.47599999999999998</v>
      </c>
      <c r="E193" s="16">
        <v>0.27</v>
      </c>
    </row>
    <row r="194" spans="1:5" x14ac:dyDescent="0.25">
      <c r="A194" s="14">
        <v>750</v>
      </c>
      <c r="B194" s="15">
        <v>440</v>
      </c>
      <c r="C194" s="15">
        <v>1.73</v>
      </c>
      <c r="D194" s="15">
        <v>0.49199999999999999</v>
      </c>
      <c r="E194" s="16">
        <v>0.18</v>
      </c>
    </row>
    <row r="195" spans="1:5" x14ac:dyDescent="0.25">
      <c r="A195" s="14">
        <v>750</v>
      </c>
      <c r="B195" s="15">
        <v>480</v>
      </c>
      <c r="C195" s="15">
        <v>0.55000000000000004</v>
      </c>
      <c r="D195" s="15">
        <v>0.505</v>
      </c>
      <c r="E195" s="16">
        <v>0.06</v>
      </c>
    </row>
    <row r="196" spans="1:5" x14ac:dyDescent="0.25">
      <c r="A196" s="14">
        <v>750</v>
      </c>
      <c r="B196" s="15">
        <v>500</v>
      </c>
      <c r="C196" s="15">
        <v>0</v>
      </c>
      <c r="D196" s="15">
        <v>0.50900000000000001</v>
      </c>
      <c r="E196" s="16">
        <v>0</v>
      </c>
    </row>
    <row r="197" spans="1:5" s="1" customFormat="1" x14ac:dyDescent="0.25">
      <c r="A197" s="17">
        <v>751</v>
      </c>
      <c r="B197" s="18">
        <v>0</v>
      </c>
      <c r="C197" s="18">
        <v>8.1999999999999993</v>
      </c>
      <c r="D197" s="18">
        <v>7.0000000000000007E-2</v>
      </c>
      <c r="E197" s="19">
        <v>0</v>
      </c>
    </row>
    <row r="198" spans="1:5" x14ac:dyDescent="0.25">
      <c r="A198" s="14">
        <v>751</v>
      </c>
      <c r="B198" s="15">
        <v>10</v>
      </c>
      <c r="C198" s="15">
        <v>8.1</v>
      </c>
      <c r="D198" s="15">
        <v>7.0999999999999994E-2</v>
      </c>
      <c r="E198" s="16">
        <v>0.13</v>
      </c>
    </row>
    <row r="199" spans="1:5" x14ac:dyDescent="0.25">
      <c r="A199" s="14">
        <v>751</v>
      </c>
      <c r="B199" s="15">
        <v>20</v>
      </c>
      <c r="C199" s="15">
        <v>7.8</v>
      </c>
      <c r="D199" s="15">
        <v>7.1999999999999995E-2</v>
      </c>
      <c r="E199" s="16">
        <v>0.24</v>
      </c>
    </row>
    <row r="200" spans="1:5" x14ac:dyDescent="0.25">
      <c r="A200" s="14">
        <v>751</v>
      </c>
      <c r="B200" s="15">
        <v>30</v>
      </c>
      <c r="C200" s="15">
        <v>7.39</v>
      </c>
      <c r="D200" s="15">
        <v>7.2999999999999995E-2</v>
      </c>
      <c r="E200" s="16">
        <v>0.34</v>
      </c>
    </row>
    <row r="201" spans="1:5" x14ac:dyDescent="0.25">
      <c r="A201" s="14">
        <v>751</v>
      </c>
      <c r="B201" s="15">
        <v>35</v>
      </c>
      <c r="C201" s="15">
        <v>7.2</v>
      </c>
      <c r="D201" s="15">
        <v>7.2999999999999995E-2</v>
      </c>
      <c r="E201" s="16">
        <v>0.39</v>
      </c>
    </row>
    <row r="202" spans="1:5" x14ac:dyDescent="0.25">
      <c r="A202" s="14">
        <v>751</v>
      </c>
      <c r="B202" s="15">
        <v>40</v>
      </c>
      <c r="C202" s="15">
        <v>6.94</v>
      </c>
      <c r="D202" s="15">
        <v>7.2999999999999995E-2</v>
      </c>
      <c r="E202" s="16">
        <v>0.43</v>
      </c>
    </row>
    <row r="203" spans="1:5" x14ac:dyDescent="0.25">
      <c r="A203" s="14">
        <v>751</v>
      </c>
      <c r="B203" s="15">
        <v>50</v>
      </c>
      <c r="C203" s="15">
        <v>6.04</v>
      </c>
      <c r="D203" s="15">
        <v>7.3999999999999996E-2</v>
      </c>
      <c r="E203" s="16">
        <v>0.46</v>
      </c>
    </row>
    <row r="204" spans="1:5" x14ac:dyDescent="0.25">
      <c r="A204" s="14">
        <v>751</v>
      </c>
      <c r="B204" s="15">
        <v>60</v>
      </c>
      <c r="C204" s="15">
        <v>4.5</v>
      </c>
      <c r="D204" s="15">
        <v>7.8E-2</v>
      </c>
      <c r="E204" s="16">
        <v>0.4</v>
      </c>
    </row>
    <row r="205" spans="1:5" x14ac:dyDescent="0.25">
      <c r="A205" s="14">
        <v>751</v>
      </c>
      <c r="B205" s="15">
        <v>70</v>
      </c>
      <c r="C205" s="15">
        <v>2.8</v>
      </c>
      <c r="D205" s="15">
        <v>8.4000000000000005E-2</v>
      </c>
      <c r="E205" s="16">
        <v>0.27</v>
      </c>
    </row>
    <row r="206" spans="1:5" x14ac:dyDescent="0.25">
      <c r="A206" s="14">
        <v>751</v>
      </c>
      <c r="B206" s="15">
        <v>80</v>
      </c>
      <c r="C206" s="15">
        <v>1.3</v>
      </c>
      <c r="D206" s="15">
        <v>9.2999999999999999E-2</v>
      </c>
      <c r="E206" s="16">
        <v>0.12</v>
      </c>
    </row>
    <row r="207" spans="1:5" x14ac:dyDescent="0.25">
      <c r="A207" s="14">
        <v>751</v>
      </c>
      <c r="B207" s="15">
        <v>85</v>
      </c>
      <c r="C207" s="15">
        <v>0</v>
      </c>
      <c r="D207" s="15">
        <v>9.7000000000000003E-2</v>
      </c>
      <c r="E207" s="16">
        <v>0</v>
      </c>
    </row>
    <row r="208" spans="1:5" s="1" customFormat="1" x14ac:dyDescent="0.25">
      <c r="A208" s="17">
        <v>752</v>
      </c>
      <c r="B208" s="18">
        <v>0</v>
      </c>
      <c r="C208" s="18">
        <v>7.2</v>
      </c>
      <c r="D208" s="18">
        <v>5.5E-2</v>
      </c>
      <c r="E208" s="19">
        <v>0</v>
      </c>
    </row>
    <row r="209" spans="1:5" x14ac:dyDescent="0.25">
      <c r="A209" s="14">
        <v>752</v>
      </c>
      <c r="B209" s="15">
        <v>10</v>
      </c>
      <c r="C209" s="15">
        <v>7.24</v>
      </c>
      <c r="D209" s="15">
        <v>5.8000000000000003E-2</v>
      </c>
      <c r="E209" s="16">
        <v>0.14000000000000001</v>
      </c>
    </row>
    <row r="210" spans="1:5" x14ac:dyDescent="0.25">
      <c r="A210" s="14">
        <v>752</v>
      </c>
      <c r="B210" s="15">
        <v>20</v>
      </c>
      <c r="C210" s="15">
        <v>7.2</v>
      </c>
      <c r="D210" s="15">
        <v>6.0999999999999999E-2</v>
      </c>
      <c r="E210" s="16">
        <v>0.26</v>
      </c>
    </row>
    <row r="211" spans="1:5" x14ac:dyDescent="0.25">
      <c r="A211" s="14">
        <v>752</v>
      </c>
      <c r="B211" s="15">
        <v>30</v>
      </c>
      <c r="C211" s="15">
        <v>7.05</v>
      </c>
      <c r="D211" s="15">
        <v>6.5000000000000002E-2</v>
      </c>
      <c r="E211" s="16">
        <v>0.37</v>
      </c>
    </row>
    <row r="212" spans="1:5" x14ac:dyDescent="0.25">
      <c r="A212" s="14">
        <v>752</v>
      </c>
      <c r="B212" s="15">
        <v>35</v>
      </c>
      <c r="C212" s="15">
        <v>6.9</v>
      </c>
      <c r="D212" s="15">
        <v>6.7000000000000004E-2</v>
      </c>
      <c r="E212" s="16">
        <v>0.41</v>
      </c>
    </row>
    <row r="213" spans="1:5" x14ac:dyDescent="0.25">
      <c r="A213" s="14">
        <v>752</v>
      </c>
      <c r="B213" s="15">
        <v>40</v>
      </c>
      <c r="C213" s="15">
        <v>6.75</v>
      </c>
      <c r="D213" s="15">
        <v>6.8000000000000005E-2</v>
      </c>
      <c r="E213" s="16">
        <v>0.45</v>
      </c>
    </row>
    <row r="214" spans="1:5" x14ac:dyDescent="0.25">
      <c r="A214" s="14">
        <v>752</v>
      </c>
      <c r="B214" s="15">
        <v>50</v>
      </c>
      <c r="C214" s="15">
        <v>6.24</v>
      </c>
      <c r="D214" s="15">
        <v>7.0999999999999994E-2</v>
      </c>
      <c r="E214" s="16">
        <v>0.5</v>
      </c>
    </row>
    <row r="215" spans="1:5" x14ac:dyDescent="0.25">
      <c r="A215" s="14">
        <v>752</v>
      </c>
      <c r="B215" s="15">
        <v>60</v>
      </c>
      <c r="C215" s="15">
        <v>5.46</v>
      </c>
      <c r="D215" s="15">
        <v>7.1999999999999995E-2</v>
      </c>
      <c r="E215" s="16">
        <v>0.51</v>
      </c>
    </row>
    <row r="216" spans="1:5" x14ac:dyDescent="0.25">
      <c r="A216" s="14">
        <v>752</v>
      </c>
      <c r="B216" s="15">
        <v>70</v>
      </c>
      <c r="C216" s="15">
        <v>4.4000000000000004</v>
      </c>
      <c r="D216" s="15">
        <v>7.3999999999999996E-2</v>
      </c>
      <c r="E216" s="16">
        <v>0.47</v>
      </c>
    </row>
    <row r="217" spans="1:5" x14ac:dyDescent="0.25">
      <c r="A217" s="14">
        <v>752</v>
      </c>
      <c r="B217" s="15">
        <v>80</v>
      </c>
      <c r="C217" s="15">
        <v>3.04</v>
      </c>
      <c r="D217" s="15">
        <v>7.5999999999999998E-2</v>
      </c>
      <c r="E217" s="16">
        <v>0.36</v>
      </c>
    </row>
    <row r="218" spans="1:5" x14ac:dyDescent="0.25">
      <c r="A218" s="14">
        <v>752</v>
      </c>
      <c r="B218" s="15">
        <v>90</v>
      </c>
      <c r="C218" s="15">
        <v>1.53</v>
      </c>
      <c r="D218" s="15">
        <v>7.9000000000000001E-2</v>
      </c>
      <c r="E218" s="16">
        <v>0.21</v>
      </c>
    </row>
    <row r="219" spans="1:5" x14ac:dyDescent="0.25">
      <c r="A219" s="14">
        <v>752</v>
      </c>
      <c r="B219" s="15">
        <v>100</v>
      </c>
      <c r="C219" s="15">
        <v>0</v>
      </c>
      <c r="D219" s="15">
        <v>8.5000000000000006E-2</v>
      </c>
      <c r="E219" s="16">
        <v>0</v>
      </c>
    </row>
    <row r="220" spans="1:5" s="1" customFormat="1" x14ac:dyDescent="0.25">
      <c r="A220" s="17">
        <v>753</v>
      </c>
      <c r="B220" s="18">
        <v>0</v>
      </c>
      <c r="C220" s="18">
        <v>7.29</v>
      </c>
      <c r="D220" s="18">
        <v>0.40600000000000003</v>
      </c>
      <c r="E220" s="19">
        <v>0</v>
      </c>
    </row>
    <row r="221" spans="1:5" x14ac:dyDescent="0.25">
      <c r="A221" s="14">
        <v>753</v>
      </c>
      <c r="B221" s="15">
        <v>50</v>
      </c>
      <c r="C221" s="15">
        <v>7.21</v>
      </c>
      <c r="D221" s="15">
        <v>0.42099999999999999</v>
      </c>
      <c r="E221" s="16">
        <v>0.1</v>
      </c>
    </row>
    <row r="222" spans="1:5" x14ac:dyDescent="0.25">
      <c r="A222" s="14">
        <v>753</v>
      </c>
      <c r="B222" s="15">
        <v>100</v>
      </c>
      <c r="C222" s="15">
        <v>7.11</v>
      </c>
      <c r="D222" s="15">
        <v>0.439</v>
      </c>
      <c r="E222" s="16">
        <v>0.18</v>
      </c>
    </row>
    <row r="223" spans="1:5" x14ac:dyDescent="0.25">
      <c r="A223" s="14">
        <v>753</v>
      </c>
      <c r="B223" s="15">
        <v>150</v>
      </c>
      <c r="C223" s="15">
        <v>6.92</v>
      </c>
      <c r="D223" s="15">
        <v>0.46800000000000003</v>
      </c>
      <c r="E223" s="16">
        <v>0.26</v>
      </c>
    </row>
    <row r="224" spans="1:5" x14ac:dyDescent="0.25">
      <c r="A224" s="14">
        <v>753</v>
      </c>
      <c r="B224" s="15">
        <v>200</v>
      </c>
      <c r="C224" s="15">
        <v>6.77</v>
      </c>
      <c r="D224" s="15">
        <v>0.48799999999999999</v>
      </c>
      <c r="E224" s="16">
        <v>0.32</v>
      </c>
    </row>
    <row r="225" spans="1:5" x14ac:dyDescent="0.25">
      <c r="A225" s="14">
        <v>753</v>
      </c>
      <c r="B225" s="15">
        <v>250</v>
      </c>
      <c r="C225" s="15">
        <v>6.51</v>
      </c>
      <c r="D225" s="15">
        <v>0.48899999999999999</v>
      </c>
      <c r="E225" s="16">
        <v>0.38</v>
      </c>
    </row>
    <row r="226" spans="1:5" x14ac:dyDescent="0.25">
      <c r="A226" s="14">
        <v>753</v>
      </c>
      <c r="B226" s="15">
        <v>300</v>
      </c>
      <c r="C226" s="15">
        <v>6.03</v>
      </c>
      <c r="D226" s="15">
        <v>0.47399999999999998</v>
      </c>
      <c r="E226" s="16">
        <v>0.43</v>
      </c>
    </row>
    <row r="227" spans="1:5" x14ac:dyDescent="0.25">
      <c r="A227" s="14">
        <v>753</v>
      </c>
      <c r="B227" s="15">
        <v>350</v>
      </c>
      <c r="C227" s="15">
        <v>5.47</v>
      </c>
      <c r="D227" s="15">
        <v>0.45800000000000002</v>
      </c>
      <c r="E227" s="16">
        <v>0.47</v>
      </c>
    </row>
    <row r="228" spans="1:5" x14ac:dyDescent="0.25">
      <c r="A228" s="14">
        <v>753</v>
      </c>
      <c r="B228" s="15">
        <v>400</v>
      </c>
      <c r="C228" s="15">
        <v>5.0599999999999996</v>
      </c>
      <c r="D228" s="15">
        <v>0.45300000000000001</v>
      </c>
      <c r="E228" s="16">
        <v>0.51</v>
      </c>
    </row>
    <row r="229" spans="1:5" x14ac:dyDescent="0.25">
      <c r="A229" s="14">
        <v>753</v>
      </c>
      <c r="B229" s="15">
        <v>450</v>
      </c>
      <c r="C229" s="15">
        <v>4.8899999999999997</v>
      </c>
      <c r="D229" s="15">
        <v>0.46200000000000002</v>
      </c>
      <c r="E229" s="16">
        <v>0.54700000000000004</v>
      </c>
    </row>
    <row r="230" spans="1:5" x14ac:dyDescent="0.25">
      <c r="A230" s="14">
        <v>753</v>
      </c>
      <c r="B230" s="15">
        <v>500</v>
      </c>
      <c r="C230" s="15">
        <v>4.79</v>
      </c>
      <c r="D230" s="15">
        <v>0.47899999999999998</v>
      </c>
      <c r="E230" s="16">
        <v>0.56999999999999995</v>
      </c>
    </row>
    <row r="231" spans="1:5" x14ac:dyDescent="0.25">
      <c r="A231" s="14">
        <v>753</v>
      </c>
      <c r="B231" s="15">
        <v>550</v>
      </c>
      <c r="C231" s="15">
        <v>4.51</v>
      </c>
      <c r="D231" s="15">
        <v>0.48799999999999999</v>
      </c>
      <c r="E231" s="16">
        <v>0.57999999999999996</v>
      </c>
    </row>
    <row r="232" spans="1:5" x14ac:dyDescent="0.25">
      <c r="A232" s="14">
        <v>753</v>
      </c>
      <c r="B232" s="15">
        <v>600</v>
      </c>
      <c r="C232" s="15">
        <v>3.93</v>
      </c>
      <c r="D232" s="15">
        <v>0.48299999999999998</v>
      </c>
      <c r="E232" s="16">
        <v>0.56000000000000005</v>
      </c>
    </row>
    <row r="233" spans="1:5" x14ac:dyDescent="0.25">
      <c r="A233" s="14">
        <v>753</v>
      </c>
      <c r="B233" s="15">
        <v>650</v>
      </c>
      <c r="C233" s="15">
        <v>3.14</v>
      </c>
      <c r="D233" s="15">
        <v>0.46700000000000003</v>
      </c>
      <c r="E233" s="16">
        <v>0.47599999999999998</v>
      </c>
    </row>
    <row r="234" spans="1:5" x14ac:dyDescent="0.25">
      <c r="A234" s="14">
        <v>753</v>
      </c>
      <c r="B234" s="15">
        <v>700</v>
      </c>
      <c r="C234" s="15">
        <v>2.12</v>
      </c>
      <c r="D234" s="15">
        <v>0.45</v>
      </c>
      <c r="E234" s="16">
        <v>0.36</v>
      </c>
    </row>
    <row r="235" spans="1:5" x14ac:dyDescent="0.25">
      <c r="A235" s="14">
        <v>753</v>
      </c>
      <c r="B235" s="15">
        <v>750</v>
      </c>
      <c r="C235" s="15">
        <v>0.94</v>
      </c>
      <c r="D235" s="15">
        <v>0.41699999999999998</v>
      </c>
      <c r="E235" s="16">
        <v>0.18</v>
      </c>
    </row>
    <row r="236" spans="1:5" x14ac:dyDescent="0.25">
      <c r="A236" s="14">
        <v>753</v>
      </c>
      <c r="B236" s="15">
        <v>780</v>
      </c>
      <c r="C236" s="15">
        <v>0</v>
      </c>
      <c r="D236" s="15">
        <v>0.40600000000000003</v>
      </c>
      <c r="E236" s="16">
        <v>0</v>
      </c>
    </row>
    <row r="237" spans="1:5" s="1" customFormat="1" x14ac:dyDescent="0.25">
      <c r="A237" s="17">
        <v>754</v>
      </c>
      <c r="B237" s="18">
        <v>0</v>
      </c>
      <c r="C237" s="18">
        <v>5.0999999999999996</v>
      </c>
      <c r="D237" s="18">
        <v>0.35399999999999998</v>
      </c>
      <c r="E237" s="19">
        <v>0</v>
      </c>
    </row>
    <row r="238" spans="1:5" x14ac:dyDescent="0.25">
      <c r="A238" s="14">
        <v>754</v>
      </c>
      <c r="B238" s="15">
        <v>100</v>
      </c>
      <c r="C238" s="15">
        <v>5.16</v>
      </c>
      <c r="D238" s="15">
        <v>0.38300000000000001</v>
      </c>
      <c r="E238" s="16">
        <v>0.16</v>
      </c>
    </row>
    <row r="239" spans="1:5" x14ac:dyDescent="0.25">
      <c r="A239" s="14">
        <v>754</v>
      </c>
      <c r="B239" s="15">
        <v>200</v>
      </c>
      <c r="C239" s="15">
        <v>5.31</v>
      </c>
      <c r="D239" s="15">
        <v>0.443</v>
      </c>
      <c r="E239" s="16">
        <v>0.27</v>
      </c>
    </row>
    <row r="240" spans="1:5" x14ac:dyDescent="0.25">
      <c r="A240" s="14">
        <v>754</v>
      </c>
      <c r="B240" s="15">
        <v>300</v>
      </c>
      <c r="C240" s="15">
        <v>5.38</v>
      </c>
      <c r="D240" s="15">
        <v>0.48699999999999999</v>
      </c>
      <c r="E240" s="16">
        <v>0.37</v>
      </c>
    </row>
    <row r="241" spans="1:5" x14ac:dyDescent="0.25">
      <c r="A241" s="14">
        <v>754</v>
      </c>
      <c r="B241" s="15">
        <v>400</v>
      </c>
      <c r="C241" s="15">
        <v>5.14</v>
      </c>
      <c r="D241" s="15">
        <v>0.51100000000000001</v>
      </c>
      <c r="E241" s="16">
        <v>0.46</v>
      </c>
    </row>
    <row r="242" spans="1:5" x14ac:dyDescent="0.25">
      <c r="A242" s="14">
        <v>754</v>
      </c>
      <c r="B242" s="15">
        <v>500</v>
      </c>
      <c r="C242" s="15">
        <v>4.8600000000000003</v>
      </c>
      <c r="D242" s="15">
        <v>0.52400000000000002</v>
      </c>
      <c r="E242" s="16">
        <v>0.53</v>
      </c>
    </row>
    <row r="243" spans="1:5" x14ac:dyDescent="0.25">
      <c r="A243" s="14">
        <v>754</v>
      </c>
      <c r="B243" s="15">
        <v>550</v>
      </c>
      <c r="C243" s="15">
        <v>4.76</v>
      </c>
      <c r="D243" s="15">
        <v>0.53100000000000003</v>
      </c>
      <c r="E243" s="16">
        <v>0.56000000000000005</v>
      </c>
    </row>
    <row r="244" spans="1:5" x14ac:dyDescent="0.25">
      <c r="A244" s="14">
        <v>754</v>
      </c>
      <c r="B244" s="15">
        <v>600</v>
      </c>
      <c r="C244" s="15">
        <v>4.6500000000000004</v>
      </c>
      <c r="D244" s="15">
        <v>0.53700000000000003</v>
      </c>
      <c r="E244" s="16">
        <v>0.59</v>
      </c>
    </row>
    <row r="245" spans="1:5" x14ac:dyDescent="0.25">
      <c r="A245" s="14">
        <v>754</v>
      </c>
      <c r="B245" s="15">
        <v>700</v>
      </c>
      <c r="C245" s="15">
        <v>4.29</v>
      </c>
      <c r="D245" s="15">
        <v>0.55000000000000004</v>
      </c>
      <c r="E245" s="16">
        <v>0.62</v>
      </c>
    </row>
    <row r="246" spans="1:5" x14ac:dyDescent="0.25">
      <c r="A246" s="14">
        <v>754</v>
      </c>
      <c r="B246" s="15">
        <v>800</v>
      </c>
      <c r="C246" s="15">
        <v>3.63</v>
      </c>
      <c r="D246" s="15">
        <v>0.55100000000000005</v>
      </c>
      <c r="E246" s="16">
        <v>0.61</v>
      </c>
    </row>
    <row r="247" spans="1:5" x14ac:dyDescent="0.25">
      <c r="A247" s="14">
        <v>754</v>
      </c>
      <c r="B247" s="15">
        <v>840</v>
      </c>
      <c r="C247" s="15">
        <v>3.28</v>
      </c>
      <c r="D247" s="15">
        <v>0.54400000000000004</v>
      </c>
      <c r="E247" s="16">
        <v>0.59</v>
      </c>
    </row>
    <row r="248" spans="1:5" x14ac:dyDescent="0.25">
      <c r="A248" s="14">
        <v>754</v>
      </c>
      <c r="B248" s="15">
        <v>900</v>
      </c>
      <c r="C248" s="15">
        <v>2.66</v>
      </c>
      <c r="D248" s="15">
        <v>0.52300000000000002</v>
      </c>
      <c r="E248" s="16">
        <v>0.52</v>
      </c>
    </row>
    <row r="249" spans="1:5" x14ac:dyDescent="0.25">
      <c r="A249" s="14">
        <v>754</v>
      </c>
      <c r="B249" s="15">
        <v>1000</v>
      </c>
      <c r="C249" s="15">
        <v>1.1200000000000001</v>
      </c>
      <c r="D249" s="15">
        <v>0.45800000000000002</v>
      </c>
      <c r="E249" s="16">
        <v>0.25</v>
      </c>
    </row>
    <row r="250" spans="1:5" x14ac:dyDescent="0.25">
      <c r="A250" s="14">
        <v>754</v>
      </c>
      <c r="B250" s="15">
        <v>1050</v>
      </c>
      <c r="C250" s="15">
        <v>0</v>
      </c>
      <c r="D250" s="15">
        <v>0.41699999999999998</v>
      </c>
      <c r="E250" s="16">
        <v>0</v>
      </c>
    </row>
    <row r="251" spans="1:5" s="1" customFormat="1" x14ac:dyDescent="0.25">
      <c r="A251" s="17">
        <v>755</v>
      </c>
      <c r="B251" s="18">
        <v>0</v>
      </c>
      <c r="C251" s="18">
        <v>6.44</v>
      </c>
      <c r="D251" s="18">
        <v>0.57399999999999995</v>
      </c>
      <c r="E251" s="19">
        <v>0</v>
      </c>
    </row>
    <row r="252" spans="1:5" x14ac:dyDescent="0.25">
      <c r="A252" s="14">
        <v>755</v>
      </c>
      <c r="B252" s="15">
        <v>100</v>
      </c>
      <c r="C252" s="15">
        <v>6.44</v>
      </c>
      <c r="D252" s="15">
        <v>0.64</v>
      </c>
      <c r="E252" s="16">
        <v>0.11</v>
      </c>
    </row>
    <row r="253" spans="1:5" x14ac:dyDescent="0.25">
      <c r="A253" s="14">
        <v>755</v>
      </c>
      <c r="B253" s="15">
        <v>200</v>
      </c>
      <c r="C253" s="15">
        <v>6.61</v>
      </c>
      <c r="D253" s="15">
        <v>0.71499999999999997</v>
      </c>
      <c r="E253" s="16">
        <v>0.21</v>
      </c>
    </row>
    <row r="254" spans="1:5" x14ac:dyDescent="0.25">
      <c r="A254" s="14">
        <v>755</v>
      </c>
      <c r="B254" s="15">
        <v>300</v>
      </c>
      <c r="C254" s="15">
        <v>6.71</v>
      </c>
      <c r="D254" s="15">
        <v>0.77800000000000002</v>
      </c>
      <c r="E254" s="16">
        <v>0.28999999999999998</v>
      </c>
    </row>
    <row r="255" spans="1:5" x14ac:dyDescent="0.25">
      <c r="A255" s="14">
        <v>755</v>
      </c>
      <c r="B255" s="15">
        <v>400</v>
      </c>
      <c r="C255" s="15">
        <v>6.67</v>
      </c>
      <c r="D255" s="15">
        <v>0.82199999999999995</v>
      </c>
      <c r="E255" s="16">
        <v>0.36</v>
      </c>
    </row>
    <row r="256" spans="1:5" x14ac:dyDescent="0.25">
      <c r="A256" s="14">
        <v>755</v>
      </c>
      <c r="B256" s="15">
        <v>500</v>
      </c>
      <c r="C256" s="15">
        <v>6.52</v>
      </c>
      <c r="D256" s="15">
        <v>0.86099999999999999</v>
      </c>
      <c r="E256" s="16">
        <v>0.42</v>
      </c>
    </row>
    <row r="257" spans="1:5" x14ac:dyDescent="0.25">
      <c r="A257" s="14">
        <v>755</v>
      </c>
      <c r="B257" s="15">
        <v>600</v>
      </c>
      <c r="C257" s="15">
        <v>6.32</v>
      </c>
      <c r="D257" s="15">
        <v>0.89800000000000002</v>
      </c>
      <c r="E257" s="16">
        <v>0.48</v>
      </c>
    </row>
    <row r="258" spans="1:5" x14ac:dyDescent="0.25">
      <c r="A258" s="14">
        <v>755</v>
      </c>
      <c r="B258" s="15">
        <v>700</v>
      </c>
      <c r="C258" s="15">
        <v>6.14</v>
      </c>
      <c r="D258" s="15">
        <v>0.93300000000000005</v>
      </c>
      <c r="E258" s="16">
        <v>0.53</v>
      </c>
    </row>
    <row r="259" spans="1:5" x14ac:dyDescent="0.25">
      <c r="A259" s="14">
        <v>755</v>
      </c>
      <c r="B259" s="15">
        <v>800</v>
      </c>
      <c r="C259" s="15">
        <v>6.02</v>
      </c>
      <c r="D259" s="15">
        <v>0.96699999999999997</v>
      </c>
      <c r="E259" s="16">
        <v>0.56999999999999995</v>
      </c>
    </row>
    <row r="260" spans="1:5" x14ac:dyDescent="0.25">
      <c r="A260" s="14">
        <v>755</v>
      </c>
      <c r="B260" s="15">
        <v>900</v>
      </c>
      <c r="C260" s="15">
        <v>5.93</v>
      </c>
      <c r="D260" s="15">
        <v>0.999</v>
      </c>
      <c r="E260" s="16">
        <v>0.61</v>
      </c>
    </row>
    <row r="261" spans="1:5" x14ac:dyDescent="0.25">
      <c r="A261" s="14">
        <v>755</v>
      </c>
      <c r="B261" s="15">
        <v>1000</v>
      </c>
      <c r="C261" s="15">
        <v>5.81</v>
      </c>
      <c r="D261" s="15">
        <v>1.026</v>
      </c>
      <c r="E261" s="16">
        <v>0.64</v>
      </c>
    </row>
    <row r="262" spans="1:5" x14ac:dyDescent="0.25">
      <c r="A262" s="14">
        <v>755</v>
      </c>
      <c r="B262" s="15">
        <v>1100</v>
      </c>
      <c r="C262" s="15">
        <v>5.54</v>
      </c>
      <c r="D262" s="15">
        <v>1.0469999999999999</v>
      </c>
      <c r="E262" s="16">
        <v>0.65</v>
      </c>
    </row>
    <row r="263" spans="1:5" x14ac:dyDescent="0.25">
      <c r="A263" s="14">
        <v>755</v>
      </c>
      <c r="B263" s="15">
        <v>1200</v>
      </c>
      <c r="C263" s="15">
        <v>5.0599999999999996</v>
      </c>
      <c r="D263" s="15">
        <v>1.0569999999999999</v>
      </c>
      <c r="E263" s="16">
        <v>0.64700000000000002</v>
      </c>
    </row>
    <row r="264" spans="1:5" x14ac:dyDescent="0.25">
      <c r="A264" s="14">
        <v>755</v>
      </c>
      <c r="B264" s="15">
        <v>1300</v>
      </c>
      <c r="C264" s="15">
        <v>4.3</v>
      </c>
      <c r="D264" s="15">
        <v>1.0509999999999999</v>
      </c>
      <c r="E264" s="16">
        <v>0.61</v>
      </c>
    </row>
    <row r="265" spans="1:5" x14ac:dyDescent="0.25">
      <c r="A265" s="14">
        <v>755</v>
      </c>
      <c r="B265" s="15">
        <v>1400</v>
      </c>
      <c r="C265" s="15">
        <v>3.3</v>
      </c>
      <c r="D265" s="15">
        <v>1.022</v>
      </c>
      <c r="E265" s="16">
        <v>0.53</v>
      </c>
    </row>
    <row r="266" spans="1:5" x14ac:dyDescent="0.25">
      <c r="A266" s="14">
        <v>755</v>
      </c>
      <c r="B266" s="15">
        <v>1500</v>
      </c>
      <c r="C266" s="15">
        <v>2.0099999999999998</v>
      </c>
      <c r="D266" s="15">
        <v>0.95399999999999996</v>
      </c>
      <c r="E266" s="16">
        <v>0.35199999999999998</v>
      </c>
    </row>
    <row r="267" spans="1:5" x14ac:dyDescent="0.25">
      <c r="A267" s="14">
        <v>755</v>
      </c>
      <c r="B267" s="15">
        <v>1600</v>
      </c>
      <c r="C267" s="15">
        <v>0</v>
      </c>
      <c r="D267" s="15">
        <v>0.80100000000000005</v>
      </c>
      <c r="E267" s="16">
        <v>0</v>
      </c>
    </row>
    <row r="268" spans="1:5" s="1" customFormat="1" x14ac:dyDescent="0.25">
      <c r="A268" s="17">
        <v>756</v>
      </c>
      <c r="B268" s="18">
        <v>0</v>
      </c>
      <c r="C268" s="18">
        <v>12.12</v>
      </c>
      <c r="D268" s="18">
        <v>0.27400000000000002</v>
      </c>
      <c r="E268" s="19">
        <v>0</v>
      </c>
    </row>
    <row r="269" spans="1:5" x14ac:dyDescent="0.25">
      <c r="A269" s="14">
        <v>756</v>
      </c>
      <c r="B269" s="15">
        <v>20</v>
      </c>
      <c r="C269" s="15">
        <v>11.94</v>
      </c>
      <c r="D269" s="15">
        <v>0.27610000000000001</v>
      </c>
      <c r="E269" s="16">
        <v>8.8700000000000001E-2</v>
      </c>
    </row>
    <row r="270" spans="1:5" x14ac:dyDescent="0.25">
      <c r="A270" s="14">
        <v>756</v>
      </c>
      <c r="B270" s="15">
        <v>40</v>
      </c>
      <c r="C270" s="15">
        <v>11.81</v>
      </c>
      <c r="D270" s="15">
        <v>0.27750000000000002</v>
      </c>
      <c r="E270" s="16">
        <v>0.18</v>
      </c>
    </row>
    <row r="271" spans="1:5" x14ac:dyDescent="0.25">
      <c r="A271" s="14">
        <v>756</v>
      </c>
      <c r="B271" s="15">
        <v>60</v>
      </c>
      <c r="C271" s="15">
        <v>11.68</v>
      </c>
      <c r="D271" s="15">
        <v>0.27800000000000002</v>
      </c>
      <c r="E271" s="16">
        <v>0.28360000000000002</v>
      </c>
    </row>
    <row r="272" spans="1:5" x14ac:dyDescent="0.25">
      <c r="A272" s="14">
        <v>756</v>
      </c>
      <c r="B272" s="15">
        <v>80</v>
      </c>
      <c r="C272" s="15">
        <v>11.49</v>
      </c>
      <c r="D272" s="15">
        <v>0.27700000000000002</v>
      </c>
      <c r="E272" s="16">
        <v>0.38</v>
      </c>
    </row>
    <row r="273" spans="1:5" x14ac:dyDescent="0.25">
      <c r="A273" s="14">
        <v>756</v>
      </c>
      <c r="B273" s="15">
        <v>100</v>
      </c>
      <c r="C273" s="15">
        <v>11.2</v>
      </c>
      <c r="D273" s="15">
        <v>0.27900000000000003</v>
      </c>
      <c r="E273" s="16">
        <v>0.46</v>
      </c>
    </row>
    <row r="274" spans="1:5" x14ac:dyDescent="0.25">
      <c r="A274" s="14">
        <v>756</v>
      </c>
      <c r="B274" s="15">
        <v>120</v>
      </c>
      <c r="C274" s="15">
        <v>10.76</v>
      </c>
      <c r="D274" s="15">
        <v>0.28260000000000002</v>
      </c>
      <c r="E274" s="16">
        <v>0.51559999999999995</v>
      </c>
    </row>
    <row r="275" spans="1:5" x14ac:dyDescent="0.25">
      <c r="A275" s="14">
        <v>756</v>
      </c>
      <c r="B275" s="15">
        <v>130</v>
      </c>
      <c r="C275" s="15">
        <v>10.49</v>
      </c>
      <c r="D275" s="15">
        <v>0.28799999999999998</v>
      </c>
      <c r="E275" s="16">
        <v>0.53</v>
      </c>
    </row>
    <row r="276" spans="1:5" x14ac:dyDescent="0.25">
      <c r="A276" s="14">
        <v>756</v>
      </c>
      <c r="B276" s="15">
        <v>160</v>
      </c>
      <c r="C276" s="15">
        <v>9.39</v>
      </c>
      <c r="D276" s="15">
        <v>0.30599999999999999</v>
      </c>
      <c r="E276" s="16">
        <v>0.55000000000000004</v>
      </c>
    </row>
    <row r="277" spans="1:5" x14ac:dyDescent="0.25">
      <c r="A277" s="14">
        <v>756</v>
      </c>
      <c r="B277" s="15">
        <v>180</v>
      </c>
      <c r="C277" s="15">
        <v>8.42</v>
      </c>
      <c r="D277" s="15">
        <v>0.32300000000000001</v>
      </c>
      <c r="E277" s="16">
        <v>0.53</v>
      </c>
    </row>
    <row r="278" spans="1:5" x14ac:dyDescent="0.25">
      <c r="A278" s="14">
        <v>756</v>
      </c>
      <c r="B278" s="15">
        <v>200</v>
      </c>
      <c r="C278" s="15">
        <v>7.28</v>
      </c>
      <c r="D278" s="15">
        <v>0.34300000000000003</v>
      </c>
      <c r="E278" s="16">
        <v>0.48</v>
      </c>
    </row>
    <row r="279" spans="1:5" x14ac:dyDescent="0.25">
      <c r="A279" s="14">
        <v>756</v>
      </c>
      <c r="B279" s="15">
        <v>220</v>
      </c>
      <c r="C279" s="15">
        <v>5.97</v>
      </c>
      <c r="D279" s="15">
        <v>0.36499999999999999</v>
      </c>
      <c r="E279" s="16">
        <v>0.41</v>
      </c>
    </row>
    <row r="280" spans="1:5" x14ac:dyDescent="0.25">
      <c r="A280" s="14">
        <v>756</v>
      </c>
      <c r="B280" s="15">
        <v>240</v>
      </c>
      <c r="C280" s="15">
        <v>4.53</v>
      </c>
      <c r="D280" s="15">
        <v>0.38600000000000001</v>
      </c>
      <c r="E280" s="16">
        <v>0.32</v>
      </c>
    </row>
    <row r="281" spans="1:5" x14ac:dyDescent="0.25">
      <c r="A281" s="14">
        <v>756</v>
      </c>
      <c r="B281" s="15">
        <v>260</v>
      </c>
      <c r="C281" s="15">
        <v>2.98</v>
      </c>
      <c r="D281" s="15">
        <v>0.40400000000000003</v>
      </c>
      <c r="E281" s="16">
        <v>0.21</v>
      </c>
    </row>
    <row r="282" spans="1:5" x14ac:dyDescent="0.25">
      <c r="A282" s="14">
        <v>756</v>
      </c>
      <c r="B282" s="15">
        <v>280</v>
      </c>
      <c r="C282" s="15">
        <v>1.23</v>
      </c>
      <c r="D282" s="15">
        <v>0.41599999999999998</v>
      </c>
      <c r="E282" s="16">
        <v>0.08</v>
      </c>
    </row>
    <row r="283" spans="1:5" x14ac:dyDescent="0.25">
      <c r="A283" s="14">
        <v>756</v>
      </c>
      <c r="B283" s="15">
        <v>292</v>
      </c>
      <c r="C283" s="15">
        <v>0</v>
      </c>
      <c r="D283" s="15">
        <v>0.41899999999999998</v>
      </c>
      <c r="E283" s="16">
        <v>0</v>
      </c>
    </row>
    <row r="284" spans="1:5" s="1" customFormat="1" x14ac:dyDescent="0.25">
      <c r="A284" s="17">
        <v>757</v>
      </c>
      <c r="B284" s="18">
        <v>0</v>
      </c>
      <c r="C284" s="18">
        <v>12.07</v>
      </c>
      <c r="D284" s="18">
        <v>0.33300000000000002</v>
      </c>
      <c r="E284" s="19">
        <v>0</v>
      </c>
    </row>
    <row r="285" spans="1:5" x14ac:dyDescent="0.25">
      <c r="A285" s="14">
        <v>757</v>
      </c>
      <c r="B285" s="15">
        <v>50</v>
      </c>
      <c r="C285" s="15">
        <v>11.85</v>
      </c>
      <c r="D285" s="15">
        <v>0.38400000000000001</v>
      </c>
      <c r="E285" s="16">
        <v>0.17</v>
      </c>
    </row>
    <row r="286" spans="1:5" x14ac:dyDescent="0.25">
      <c r="A286" s="14">
        <v>757</v>
      </c>
      <c r="B286" s="15">
        <v>100</v>
      </c>
      <c r="C286" s="15">
        <v>11.7</v>
      </c>
      <c r="D286" s="15">
        <v>0.41299999999999998</v>
      </c>
      <c r="E286" s="16">
        <v>0.33</v>
      </c>
    </row>
    <row r="287" spans="1:5" x14ac:dyDescent="0.25">
      <c r="A287" s="14">
        <v>757</v>
      </c>
      <c r="B287" s="15">
        <v>150</v>
      </c>
      <c r="C287" s="15">
        <v>11.5</v>
      </c>
      <c r="D287" s="15">
        <v>0.42899999999999999</v>
      </c>
      <c r="E287" s="16">
        <v>0.47</v>
      </c>
    </row>
    <row r="288" spans="1:5" x14ac:dyDescent="0.25">
      <c r="A288" s="14">
        <v>757</v>
      </c>
      <c r="B288" s="15">
        <v>180</v>
      </c>
      <c r="C288" s="15">
        <v>11.19</v>
      </c>
      <c r="D288" s="15">
        <v>0.436</v>
      </c>
      <c r="E288" s="16">
        <v>0.53</v>
      </c>
    </row>
    <row r="289" spans="1:5" x14ac:dyDescent="0.25">
      <c r="A289" s="14">
        <v>757</v>
      </c>
      <c r="B289" s="15">
        <v>200</v>
      </c>
      <c r="C289" s="15">
        <v>10.87</v>
      </c>
      <c r="D289" s="15">
        <v>0.441</v>
      </c>
      <c r="E289" s="16">
        <v>0.56000000000000005</v>
      </c>
    </row>
    <row r="290" spans="1:5" x14ac:dyDescent="0.25">
      <c r="A290" s="14">
        <v>757</v>
      </c>
      <c r="B290" s="15">
        <v>250</v>
      </c>
      <c r="C290" s="15">
        <v>9.6300000000000008</v>
      </c>
      <c r="D290" s="15">
        <v>0.45400000000000001</v>
      </c>
      <c r="E290" s="16">
        <v>0.6</v>
      </c>
    </row>
    <row r="291" spans="1:5" x14ac:dyDescent="0.25">
      <c r="A291" s="14">
        <v>757</v>
      </c>
      <c r="B291" s="15">
        <v>310</v>
      </c>
      <c r="C291" s="15">
        <v>7.51</v>
      </c>
      <c r="D291" s="15">
        <v>0.47699999999999998</v>
      </c>
      <c r="E291" s="16">
        <v>0.56000000000000005</v>
      </c>
    </row>
    <row r="292" spans="1:5" x14ac:dyDescent="0.25">
      <c r="A292" s="14">
        <v>757</v>
      </c>
      <c r="B292" s="15">
        <v>350</v>
      </c>
      <c r="C292" s="15">
        <v>5.9</v>
      </c>
      <c r="D292" s="15">
        <v>0.498</v>
      </c>
      <c r="E292" s="16">
        <v>0.47</v>
      </c>
    </row>
    <row r="293" spans="1:5" x14ac:dyDescent="0.25">
      <c r="A293" s="14">
        <v>757</v>
      </c>
      <c r="B293" s="15">
        <v>400</v>
      </c>
      <c r="C293" s="15">
        <v>3.62</v>
      </c>
      <c r="D293" s="15">
        <v>0.53100000000000003</v>
      </c>
      <c r="E293" s="16">
        <v>0.28000000000000003</v>
      </c>
    </row>
    <row r="294" spans="1:5" x14ac:dyDescent="0.25">
      <c r="A294" s="14">
        <v>757</v>
      </c>
      <c r="B294" s="15">
        <v>450</v>
      </c>
      <c r="C294" s="15">
        <v>0</v>
      </c>
      <c r="D294" s="15">
        <v>0.57099999999999995</v>
      </c>
      <c r="E294" s="16">
        <v>0</v>
      </c>
    </row>
    <row r="295" spans="1:5" s="1" customFormat="1" x14ac:dyDescent="0.25">
      <c r="A295" s="17">
        <v>758</v>
      </c>
      <c r="B295" s="18">
        <v>0</v>
      </c>
      <c r="C295" s="18">
        <v>9.08</v>
      </c>
      <c r="D295" s="18">
        <v>1.538</v>
      </c>
      <c r="E295" s="19">
        <v>0</v>
      </c>
    </row>
    <row r="296" spans="1:5" x14ac:dyDescent="0.25">
      <c r="A296" s="14">
        <v>758</v>
      </c>
      <c r="B296" s="15">
        <v>500</v>
      </c>
      <c r="C296" s="15">
        <v>8.8800000000000008</v>
      </c>
      <c r="D296" s="15">
        <v>1.6779999999999999</v>
      </c>
      <c r="E296" s="16">
        <v>0.31</v>
      </c>
    </row>
    <row r="297" spans="1:5" x14ac:dyDescent="0.25">
      <c r="A297" s="14">
        <v>758</v>
      </c>
      <c r="B297" s="15">
        <v>1000</v>
      </c>
      <c r="C297" s="15">
        <v>8.16</v>
      </c>
      <c r="D297" s="15">
        <v>1.913</v>
      </c>
      <c r="E297" s="16">
        <v>0.46</v>
      </c>
    </row>
    <row r="298" spans="1:5" x14ac:dyDescent="0.25">
      <c r="A298" s="14">
        <v>758</v>
      </c>
      <c r="B298" s="15">
        <v>1400</v>
      </c>
      <c r="C298" s="15">
        <v>7.61</v>
      </c>
      <c r="D298" s="15">
        <v>2.101</v>
      </c>
      <c r="E298" s="16">
        <v>0.56000000000000005</v>
      </c>
    </row>
    <row r="299" spans="1:5" x14ac:dyDescent="0.25">
      <c r="A299" s="14">
        <v>758</v>
      </c>
      <c r="B299" s="15">
        <v>2000</v>
      </c>
      <c r="C299" s="15">
        <v>6.71</v>
      </c>
      <c r="D299" s="15">
        <v>2.2290000000000001</v>
      </c>
      <c r="E299" s="16">
        <v>0.7</v>
      </c>
    </row>
    <row r="300" spans="1:5" x14ac:dyDescent="0.25">
      <c r="A300" s="14">
        <v>758</v>
      </c>
      <c r="B300" s="15">
        <v>2200</v>
      </c>
      <c r="C300" s="15">
        <v>6.23</v>
      </c>
      <c r="D300" s="15">
        <v>2.2000000000000002</v>
      </c>
      <c r="E300" s="16">
        <v>0.71</v>
      </c>
    </row>
    <row r="301" spans="1:5" x14ac:dyDescent="0.25">
      <c r="A301" s="14">
        <v>758</v>
      </c>
      <c r="B301" s="15">
        <v>2400</v>
      </c>
      <c r="C301" s="15">
        <v>5.5</v>
      </c>
      <c r="D301" s="15">
        <v>2.15</v>
      </c>
      <c r="E301" s="16">
        <v>0.69299999999999995</v>
      </c>
    </row>
    <row r="302" spans="1:5" x14ac:dyDescent="0.25">
      <c r="A302" s="14">
        <v>758</v>
      </c>
      <c r="B302" s="15">
        <v>2600</v>
      </c>
      <c r="C302" s="15">
        <v>4.49</v>
      </c>
      <c r="D302" s="15">
        <v>2.0870000000000002</v>
      </c>
      <c r="E302" s="16">
        <v>0.59</v>
      </c>
    </row>
    <row r="303" spans="1:5" x14ac:dyDescent="0.25">
      <c r="A303" s="14">
        <v>758</v>
      </c>
      <c r="B303" s="15">
        <v>2800</v>
      </c>
      <c r="C303" s="15">
        <v>3.02</v>
      </c>
      <c r="D303" s="15">
        <v>1.956</v>
      </c>
      <c r="E303" s="16">
        <v>0.43</v>
      </c>
    </row>
    <row r="304" spans="1:5" x14ac:dyDescent="0.25">
      <c r="A304" s="14">
        <v>758</v>
      </c>
      <c r="B304" s="15">
        <v>3000</v>
      </c>
      <c r="C304" s="15">
        <v>0.98</v>
      </c>
      <c r="D304" s="15">
        <v>1.7450000000000001</v>
      </c>
      <c r="E304" s="16">
        <v>0.15</v>
      </c>
    </row>
    <row r="305" spans="1:5" s="1" customFormat="1" x14ac:dyDescent="0.25">
      <c r="A305" s="17">
        <v>759</v>
      </c>
      <c r="B305" s="18">
        <v>0</v>
      </c>
      <c r="C305" s="18">
        <v>21</v>
      </c>
      <c r="D305" s="18">
        <v>2.036</v>
      </c>
      <c r="E305" s="19">
        <v>0</v>
      </c>
    </row>
    <row r="306" spans="1:5" x14ac:dyDescent="0.25">
      <c r="A306" s="14">
        <v>759</v>
      </c>
      <c r="B306" s="15">
        <v>350</v>
      </c>
      <c r="C306" s="15">
        <v>21.8</v>
      </c>
      <c r="D306" s="15">
        <v>2.633</v>
      </c>
      <c r="E306" s="16">
        <v>0.33</v>
      </c>
    </row>
    <row r="307" spans="1:5" x14ac:dyDescent="0.25">
      <c r="A307" s="14">
        <v>759</v>
      </c>
      <c r="B307" s="15">
        <v>700</v>
      </c>
      <c r="C307" s="15">
        <v>22</v>
      </c>
      <c r="D307" s="15">
        <v>3.1589999999999998</v>
      </c>
      <c r="E307" s="16">
        <v>0.56000000000000005</v>
      </c>
    </row>
    <row r="308" spans="1:5" x14ac:dyDescent="0.25">
      <c r="A308" s="14">
        <v>759</v>
      </c>
      <c r="B308" s="15">
        <v>1000</v>
      </c>
      <c r="C308" s="15">
        <v>20.5</v>
      </c>
      <c r="D308" s="15">
        <v>3.5409999999999999</v>
      </c>
      <c r="E308" s="16">
        <v>0.66</v>
      </c>
    </row>
    <row r="309" spans="1:5" x14ac:dyDescent="0.25">
      <c r="A309" s="14">
        <v>759</v>
      </c>
      <c r="B309" s="15">
        <v>1300</v>
      </c>
      <c r="C309" s="15">
        <v>16.899999999999999</v>
      </c>
      <c r="D309" s="15">
        <v>3.8479999999999999</v>
      </c>
      <c r="E309" s="16">
        <v>0.64</v>
      </c>
    </row>
    <row r="310" spans="1:5" x14ac:dyDescent="0.25">
      <c r="A310" s="14">
        <v>759</v>
      </c>
      <c r="B310" s="15">
        <v>1400</v>
      </c>
      <c r="C310" s="15">
        <v>15.2</v>
      </c>
      <c r="D310" s="15">
        <v>3.9329999999999998</v>
      </c>
      <c r="E310" s="16">
        <v>0.61</v>
      </c>
    </row>
    <row r="311" spans="1:5" x14ac:dyDescent="0.25">
      <c r="A311" s="14">
        <v>759</v>
      </c>
      <c r="B311" s="15">
        <v>1700</v>
      </c>
      <c r="C311" s="15">
        <v>8</v>
      </c>
      <c r="D311" s="15">
        <v>4.1399999999999997</v>
      </c>
      <c r="E311" s="16">
        <v>0.37</v>
      </c>
    </row>
    <row r="312" spans="1:5" x14ac:dyDescent="0.25">
      <c r="A312" s="14">
        <v>759</v>
      </c>
      <c r="B312" s="15">
        <v>1900</v>
      </c>
      <c r="C312" s="15">
        <v>0</v>
      </c>
      <c r="D312" s="15">
        <v>4.3</v>
      </c>
      <c r="E312" s="16">
        <v>0</v>
      </c>
    </row>
    <row r="313" spans="1:5" s="1" customFormat="1" x14ac:dyDescent="0.25">
      <c r="A313" s="17">
        <v>760</v>
      </c>
      <c r="B313" s="18">
        <v>0</v>
      </c>
      <c r="C313" s="18">
        <v>22.06</v>
      </c>
      <c r="D313" s="18">
        <v>3.4079999999999999</v>
      </c>
      <c r="E313" s="19">
        <v>0</v>
      </c>
    </row>
    <row r="314" spans="1:5" x14ac:dyDescent="0.25">
      <c r="A314" s="14">
        <v>760</v>
      </c>
      <c r="B314" s="15">
        <v>200</v>
      </c>
      <c r="C314" s="15">
        <v>22.54</v>
      </c>
      <c r="D314" s="15">
        <v>3.86</v>
      </c>
      <c r="E314" s="16">
        <v>0.14000000000000001</v>
      </c>
    </row>
    <row r="315" spans="1:5" x14ac:dyDescent="0.25">
      <c r="A315" s="14">
        <v>760</v>
      </c>
      <c r="B315" s="15">
        <v>400</v>
      </c>
      <c r="C315" s="15">
        <v>22.78</v>
      </c>
      <c r="D315" s="15">
        <v>4.32</v>
      </c>
      <c r="E315" s="16">
        <v>0.24</v>
      </c>
    </row>
    <row r="316" spans="1:5" x14ac:dyDescent="0.25">
      <c r="A316" s="14">
        <v>760</v>
      </c>
      <c r="B316" s="15">
        <v>600</v>
      </c>
      <c r="C316" s="15">
        <v>22.91</v>
      </c>
      <c r="D316" s="15">
        <v>4.7300000000000004</v>
      </c>
      <c r="E316" s="16">
        <v>0.33</v>
      </c>
    </row>
    <row r="317" spans="1:5" x14ac:dyDescent="0.25">
      <c r="A317" s="14">
        <v>760</v>
      </c>
      <c r="B317" s="15">
        <v>800</v>
      </c>
      <c r="C317" s="15">
        <v>22.91</v>
      </c>
      <c r="D317" s="15">
        <v>5.0999999999999996</v>
      </c>
      <c r="E317" s="16">
        <v>0.41</v>
      </c>
    </row>
    <row r="318" spans="1:5" x14ac:dyDescent="0.25">
      <c r="A318" s="14">
        <v>760</v>
      </c>
      <c r="B318" s="15">
        <v>1000</v>
      </c>
      <c r="C318" s="15">
        <v>22.7</v>
      </c>
      <c r="D318" s="15">
        <v>5.41</v>
      </c>
      <c r="E318" s="16">
        <v>0.48</v>
      </c>
    </row>
    <row r="319" spans="1:5" x14ac:dyDescent="0.25">
      <c r="A319" s="14">
        <v>760</v>
      </c>
      <c r="B319" s="15">
        <v>1200</v>
      </c>
      <c r="C319" s="15">
        <v>22.21</v>
      </c>
      <c r="D319" s="15">
        <v>5.62</v>
      </c>
      <c r="E319" s="16">
        <v>0.54</v>
      </c>
    </row>
    <row r="320" spans="1:5" x14ac:dyDescent="0.25">
      <c r="A320" s="14">
        <v>760</v>
      </c>
      <c r="B320" s="15">
        <v>1400</v>
      </c>
      <c r="C320" s="15">
        <v>21.4</v>
      </c>
      <c r="D320" s="15">
        <v>5.742</v>
      </c>
      <c r="E320" s="16">
        <v>0.59</v>
      </c>
    </row>
    <row r="321" spans="1:5" x14ac:dyDescent="0.25">
      <c r="A321" s="14">
        <v>760</v>
      </c>
      <c r="B321" s="15">
        <v>1600</v>
      </c>
      <c r="C321" s="15">
        <v>20.27</v>
      </c>
      <c r="D321" s="15">
        <v>5.88</v>
      </c>
      <c r="E321" s="16">
        <v>0.63</v>
      </c>
    </row>
    <row r="322" spans="1:5" x14ac:dyDescent="0.25">
      <c r="A322" s="14">
        <v>760</v>
      </c>
      <c r="B322" s="15">
        <v>1800</v>
      </c>
      <c r="C322" s="15">
        <v>18.88</v>
      </c>
      <c r="D322" s="15">
        <v>5.99</v>
      </c>
      <c r="E322" s="16">
        <v>0.65</v>
      </c>
    </row>
    <row r="323" spans="1:5" x14ac:dyDescent="0.25">
      <c r="A323" s="14">
        <v>760</v>
      </c>
      <c r="B323" s="15">
        <v>2000</v>
      </c>
      <c r="C323" s="15">
        <v>17.329999999999998</v>
      </c>
      <c r="D323" s="15">
        <v>6.11</v>
      </c>
      <c r="E323" s="16">
        <v>0.65</v>
      </c>
    </row>
    <row r="324" spans="1:5" x14ac:dyDescent="0.25">
      <c r="A324" s="14">
        <v>760</v>
      </c>
      <c r="B324" s="15">
        <v>2200</v>
      </c>
      <c r="C324" s="15">
        <v>15.51</v>
      </c>
      <c r="D324" s="15">
        <v>6.21</v>
      </c>
      <c r="E324" s="16">
        <v>0.64500000000000002</v>
      </c>
    </row>
    <row r="325" spans="1:5" x14ac:dyDescent="0.25">
      <c r="A325" s="14">
        <v>760</v>
      </c>
      <c r="B325" s="15">
        <v>2400</v>
      </c>
      <c r="C325" s="15">
        <v>13.94</v>
      </c>
      <c r="D325" s="15">
        <v>6.33</v>
      </c>
      <c r="E325" s="16">
        <v>0.61</v>
      </c>
    </row>
    <row r="326" spans="1:5" x14ac:dyDescent="0.25">
      <c r="A326" s="14">
        <v>760</v>
      </c>
      <c r="B326" s="15">
        <v>2600</v>
      </c>
      <c r="C326" s="15">
        <v>12.23</v>
      </c>
      <c r="D326" s="15">
        <v>6.44</v>
      </c>
      <c r="E326" s="16">
        <v>0.56799999999999995</v>
      </c>
    </row>
    <row r="327" spans="1:5" x14ac:dyDescent="0.25">
      <c r="A327" s="14">
        <v>760</v>
      </c>
      <c r="B327" s="15">
        <v>2745</v>
      </c>
      <c r="C327" s="15">
        <v>10.58</v>
      </c>
      <c r="D327" s="15">
        <v>6.49</v>
      </c>
      <c r="E327" s="16">
        <v>0.50900000000000001</v>
      </c>
    </row>
    <row r="328" spans="1:5" x14ac:dyDescent="0.25">
      <c r="A328" s="14">
        <v>760</v>
      </c>
      <c r="B328" s="15">
        <v>3000</v>
      </c>
      <c r="C328" s="15">
        <v>6.15</v>
      </c>
      <c r="D328" s="15">
        <v>6.62</v>
      </c>
      <c r="E328" s="16">
        <v>0.28999999999999998</v>
      </c>
    </row>
    <row r="329" spans="1:5" x14ac:dyDescent="0.25">
      <c r="A329" s="14">
        <v>760</v>
      </c>
      <c r="B329" s="15">
        <v>3200</v>
      </c>
      <c r="C329" s="15">
        <v>0</v>
      </c>
      <c r="D329" s="15">
        <v>6.9</v>
      </c>
      <c r="E329" s="16">
        <v>0</v>
      </c>
    </row>
    <row r="330" spans="1:5" s="1" customFormat="1" x14ac:dyDescent="0.25">
      <c r="A330" s="17">
        <v>761</v>
      </c>
      <c r="B330" s="18">
        <v>0</v>
      </c>
      <c r="C330" s="18">
        <v>20</v>
      </c>
      <c r="D330" s="18">
        <v>3.911</v>
      </c>
      <c r="E330" s="19">
        <v>0</v>
      </c>
    </row>
    <row r="331" spans="1:5" x14ac:dyDescent="0.25">
      <c r="A331" s="14">
        <v>761</v>
      </c>
      <c r="B331" s="15">
        <v>500</v>
      </c>
      <c r="C331" s="15">
        <v>20.18</v>
      </c>
      <c r="D331" s="15">
        <v>4.875</v>
      </c>
      <c r="E331" s="16">
        <v>0.24</v>
      </c>
    </row>
    <row r="332" spans="1:5" x14ac:dyDescent="0.25">
      <c r="A332" s="14">
        <v>761</v>
      </c>
      <c r="B332" s="15">
        <v>1000</v>
      </c>
      <c r="C332" s="15">
        <v>19.670000000000002</v>
      </c>
      <c r="D332" s="15">
        <v>5.41</v>
      </c>
      <c r="E332" s="16">
        <v>0.41</v>
      </c>
    </row>
    <row r="333" spans="1:5" x14ac:dyDescent="0.25">
      <c r="A333" s="14">
        <v>761</v>
      </c>
      <c r="B333" s="15">
        <v>1500</v>
      </c>
      <c r="C333" s="15">
        <v>18.25</v>
      </c>
      <c r="D333" s="15">
        <v>5.78</v>
      </c>
      <c r="E333" s="16">
        <v>0.53700000000000003</v>
      </c>
    </row>
    <row r="334" spans="1:5" x14ac:dyDescent="0.25">
      <c r="A334" s="14">
        <v>761</v>
      </c>
      <c r="B334" s="15">
        <v>1700</v>
      </c>
      <c r="C334" s="15">
        <v>17.600000000000001</v>
      </c>
      <c r="D334" s="15">
        <v>5.8920000000000003</v>
      </c>
      <c r="E334" s="16">
        <v>0.57999999999999996</v>
      </c>
    </row>
    <row r="335" spans="1:5" x14ac:dyDescent="0.25">
      <c r="A335" s="14">
        <v>761</v>
      </c>
      <c r="B335" s="15">
        <v>2000</v>
      </c>
      <c r="C335" s="15">
        <v>16.510000000000002</v>
      </c>
      <c r="D335" s="15">
        <v>6.06</v>
      </c>
      <c r="E335" s="16">
        <v>0.63</v>
      </c>
    </row>
    <row r="336" spans="1:5" x14ac:dyDescent="0.25">
      <c r="A336" s="14">
        <v>761</v>
      </c>
      <c r="B336" s="15">
        <v>2200</v>
      </c>
      <c r="C336" s="15">
        <v>15.7</v>
      </c>
      <c r="D336" s="15">
        <v>6.16</v>
      </c>
      <c r="E336" s="16">
        <v>0.65</v>
      </c>
    </row>
    <row r="337" spans="1:5" x14ac:dyDescent="0.25">
      <c r="A337" s="14">
        <v>761</v>
      </c>
      <c r="B337" s="15">
        <v>2500</v>
      </c>
      <c r="C337" s="15">
        <v>14.7</v>
      </c>
      <c r="D337" s="15">
        <v>6.2880000000000003</v>
      </c>
      <c r="E337" s="16">
        <v>0.67</v>
      </c>
    </row>
    <row r="338" spans="1:5" x14ac:dyDescent="0.25">
      <c r="A338" s="14">
        <v>761</v>
      </c>
      <c r="B338" s="15">
        <v>2700</v>
      </c>
      <c r="C338" s="15">
        <v>13.34</v>
      </c>
      <c r="D338" s="15">
        <v>6.36</v>
      </c>
      <c r="E338" s="16">
        <v>0.65639999999999998</v>
      </c>
    </row>
    <row r="339" spans="1:5" x14ac:dyDescent="0.25">
      <c r="A339" s="14">
        <v>761</v>
      </c>
      <c r="B339" s="15">
        <v>3000</v>
      </c>
      <c r="C339" s="15">
        <v>11.56</v>
      </c>
      <c r="D339" s="15">
        <v>6.44</v>
      </c>
      <c r="E339" s="16">
        <v>0.61929999999999996</v>
      </c>
    </row>
    <row r="340" spans="1:5" x14ac:dyDescent="0.25">
      <c r="A340" s="14">
        <v>761</v>
      </c>
      <c r="B340" s="15">
        <v>3600</v>
      </c>
      <c r="C340" s="15">
        <v>7</v>
      </c>
      <c r="D340" s="15">
        <v>6.5679999999999996</v>
      </c>
      <c r="E340" s="16">
        <v>0.44</v>
      </c>
    </row>
    <row r="341" spans="1:5" x14ac:dyDescent="0.25">
      <c r="A341" s="14">
        <v>761</v>
      </c>
      <c r="B341" s="15">
        <v>3900</v>
      </c>
      <c r="C341" s="15">
        <v>3.55</v>
      </c>
      <c r="D341" s="15">
        <v>6.5</v>
      </c>
      <c r="E341" s="16">
        <v>0.26</v>
      </c>
    </row>
    <row r="342" spans="1:5" x14ac:dyDescent="0.25">
      <c r="A342" s="14">
        <v>761</v>
      </c>
      <c r="B342" s="15">
        <v>4200</v>
      </c>
      <c r="C342" s="15">
        <v>0</v>
      </c>
      <c r="D342" s="15">
        <v>6.4</v>
      </c>
      <c r="E342" s="16">
        <v>0</v>
      </c>
    </row>
    <row r="343" spans="1:5" s="1" customFormat="1" x14ac:dyDescent="0.25">
      <c r="A343" s="17">
        <v>767</v>
      </c>
      <c r="B343" s="18">
        <v>0</v>
      </c>
      <c r="C343" s="18">
        <v>6.63</v>
      </c>
      <c r="D343" s="18">
        <v>0.70199999999999996</v>
      </c>
      <c r="E343" s="19">
        <v>0</v>
      </c>
    </row>
    <row r="344" spans="1:5" x14ac:dyDescent="0.25">
      <c r="A344" s="14">
        <v>767</v>
      </c>
      <c r="B344" s="15">
        <v>100</v>
      </c>
      <c r="C344" s="15">
        <v>6.68</v>
      </c>
      <c r="D344" s="15">
        <v>0.74399999999999999</v>
      </c>
      <c r="E344" s="16">
        <v>0.1</v>
      </c>
    </row>
    <row r="345" spans="1:5" x14ac:dyDescent="0.25">
      <c r="A345" s="14">
        <v>767</v>
      </c>
      <c r="B345" s="15">
        <v>200</v>
      </c>
      <c r="C345" s="15">
        <v>6.57</v>
      </c>
      <c r="D345" s="15">
        <v>0.78400000000000003</v>
      </c>
      <c r="E345" s="16">
        <v>0.19</v>
      </c>
    </row>
    <row r="346" spans="1:5" x14ac:dyDescent="0.25">
      <c r="A346" s="14">
        <v>767</v>
      </c>
      <c r="B346" s="15">
        <v>300</v>
      </c>
      <c r="C346" s="15">
        <v>6.46</v>
      </c>
      <c r="D346" s="15">
        <v>0.82299999999999995</v>
      </c>
      <c r="E346" s="16">
        <v>0.26</v>
      </c>
    </row>
    <row r="347" spans="1:5" x14ac:dyDescent="0.25">
      <c r="A347" s="14">
        <v>767</v>
      </c>
      <c r="B347" s="15">
        <v>400</v>
      </c>
      <c r="C347" s="15">
        <v>6.3</v>
      </c>
      <c r="D347" s="15">
        <v>0.85799999999999998</v>
      </c>
      <c r="E347" s="16">
        <v>0.33</v>
      </c>
    </row>
    <row r="348" spans="1:5" x14ac:dyDescent="0.25">
      <c r="A348" s="14">
        <v>767</v>
      </c>
      <c r="B348" s="15">
        <v>500</v>
      </c>
      <c r="C348" s="15">
        <v>6.08</v>
      </c>
      <c r="D348" s="15">
        <v>0.89100000000000001</v>
      </c>
      <c r="E348" s="16">
        <v>0.38</v>
      </c>
    </row>
    <row r="349" spans="1:5" x14ac:dyDescent="0.25">
      <c r="A349" s="14">
        <v>767</v>
      </c>
      <c r="B349" s="15">
        <v>600</v>
      </c>
      <c r="C349" s="15">
        <v>5.83</v>
      </c>
      <c r="D349" s="15">
        <v>0.92</v>
      </c>
      <c r="E349" s="16">
        <v>0.43</v>
      </c>
    </row>
    <row r="350" spans="1:5" x14ac:dyDescent="0.25">
      <c r="A350" s="14">
        <v>767</v>
      </c>
      <c r="B350" s="15">
        <v>700</v>
      </c>
      <c r="C350" s="15">
        <v>5.61</v>
      </c>
      <c r="D350" s="15">
        <v>0.95</v>
      </c>
      <c r="E350" s="16">
        <v>0.48</v>
      </c>
    </row>
    <row r="351" spans="1:5" x14ac:dyDescent="0.25">
      <c r="A351" s="14">
        <v>767</v>
      </c>
      <c r="B351" s="15">
        <v>800</v>
      </c>
      <c r="C351" s="15">
        <v>5.46</v>
      </c>
      <c r="D351" s="15">
        <v>0.97099999999999997</v>
      </c>
      <c r="E351" s="16">
        <v>0.52</v>
      </c>
    </row>
    <row r="352" spans="1:5" x14ac:dyDescent="0.25">
      <c r="A352" s="14">
        <v>767</v>
      </c>
      <c r="B352" s="15">
        <v>900</v>
      </c>
      <c r="C352" s="15">
        <v>5.38</v>
      </c>
      <c r="D352" s="15">
        <v>0.996</v>
      </c>
      <c r="E352" s="16">
        <v>0.56000000000000005</v>
      </c>
    </row>
    <row r="353" spans="1:5" x14ac:dyDescent="0.25">
      <c r="A353" s="14">
        <v>767</v>
      </c>
      <c r="B353" s="15">
        <v>1000</v>
      </c>
      <c r="C353" s="15">
        <v>5.33</v>
      </c>
      <c r="D353" s="15">
        <v>1.018</v>
      </c>
      <c r="E353" s="16">
        <v>0.59</v>
      </c>
    </row>
    <row r="354" spans="1:5" x14ac:dyDescent="0.25">
      <c r="A354" s="14">
        <v>767</v>
      </c>
      <c r="B354" s="15">
        <v>1100</v>
      </c>
      <c r="C354" s="15">
        <v>5.25</v>
      </c>
      <c r="D354" s="15">
        <v>1.0489999999999999</v>
      </c>
      <c r="E354" s="16">
        <v>0.62</v>
      </c>
    </row>
    <row r="355" spans="1:5" x14ac:dyDescent="0.25">
      <c r="A355" s="14">
        <v>767</v>
      </c>
      <c r="B355" s="15">
        <v>1250</v>
      </c>
      <c r="C355" s="15">
        <v>4.92</v>
      </c>
      <c r="D355" s="15">
        <v>1.0880000000000001</v>
      </c>
      <c r="E355" s="16">
        <v>0.64</v>
      </c>
    </row>
    <row r="356" spans="1:5" x14ac:dyDescent="0.25">
      <c r="A356" s="14">
        <v>767</v>
      </c>
      <c r="B356" s="15">
        <v>1400</v>
      </c>
      <c r="C356" s="15">
        <v>4.28</v>
      </c>
      <c r="D356" s="15">
        <v>1.1020000000000001</v>
      </c>
      <c r="E356" s="16">
        <v>0.62</v>
      </c>
    </row>
    <row r="357" spans="1:5" x14ac:dyDescent="0.25">
      <c r="A357" s="14">
        <v>767</v>
      </c>
      <c r="B357" s="15">
        <v>1500</v>
      </c>
      <c r="C357" s="15">
        <v>3.71</v>
      </c>
      <c r="D357" s="15">
        <v>1.0900000000000001</v>
      </c>
      <c r="E357" s="16">
        <v>0.59</v>
      </c>
    </row>
    <row r="358" spans="1:5" x14ac:dyDescent="0.25">
      <c r="A358" s="14">
        <v>767</v>
      </c>
      <c r="B358" s="15">
        <v>1600</v>
      </c>
      <c r="C358" s="15">
        <v>3.08</v>
      </c>
      <c r="D358" s="15">
        <v>1.0589999999999999</v>
      </c>
      <c r="E358" s="16">
        <v>0.53</v>
      </c>
    </row>
    <row r="359" spans="1:5" x14ac:dyDescent="0.25">
      <c r="A359" s="14">
        <v>767</v>
      </c>
      <c r="B359" s="15">
        <v>1700</v>
      </c>
      <c r="C359" s="15">
        <v>2.4</v>
      </c>
      <c r="D359" s="15">
        <v>1.0109999999999999</v>
      </c>
      <c r="E359" s="16">
        <v>0.44</v>
      </c>
    </row>
    <row r="360" spans="1:5" x14ac:dyDescent="0.25">
      <c r="A360" s="14">
        <v>767</v>
      </c>
      <c r="B360" s="15">
        <v>1800</v>
      </c>
      <c r="C360" s="15">
        <v>1.58</v>
      </c>
      <c r="D360" s="15">
        <v>0.95399999999999996</v>
      </c>
      <c r="E360" s="16">
        <v>0.33</v>
      </c>
    </row>
    <row r="361" spans="1:5" x14ac:dyDescent="0.25">
      <c r="A361" s="14">
        <v>767</v>
      </c>
      <c r="B361" s="15">
        <v>1900</v>
      </c>
      <c r="C361" s="15">
        <v>0.73</v>
      </c>
      <c r="D361" s="15">
        <v>0.90800000000000003</v>
      </c>
      <c r="E361" s="16">
        <v>0.18</v>
      </c>
    </row>
    <row r="362" spans="1:5" x14ac:dyDescent="0.25">
      <c r="A362" s="14">
        <v>767</v>
      </c>
      <c r="B362" s="15">
        <v>2000</v>
      </c>
      <c r="C362" s="15">
        <v>0</v>
      </c>
      <c r="D362" s="15">
        <v>0.89600000000000002</v>
      </c>
      <c r="E362" s="16">
        <v>0</v>
      </c>
    </row>
    <row r="363" spans="1:5" s="1" customFormat="1" x14ac:dyDescent="0.25">
      <c r="A363" s="17">
        <v>799</v>
      </c>
      <c r="B363" s="18">
        <v>0</v>
      </c>
      <c r="C363" s="18">
        <v>9.7055056079999993</v>
      </c>
      <c r="D363" s="18">
        <v>0.18305738699999999</v>
      </c>
      <c r="E363" s="19">
        <v>0</v>
      </c>
    </row>
    <row r="364" spans="1:5" x14ac:dyDescent="0.25">
      <c r="A364" s="14">
        <v>799</v>
      </c>
      <c r="B364" s="15">
        <v>9.1999994600000008</v>
      </c>
      <c r="C364" s="15">
        <v>9.7732201720000003</v>
      </c>
      <c r="D364" s="15">
        <v>0.188028522</v>
      </c>
      <c r="E364" s="16">
        <v>5.4294647000000001E-2</v>
      </c>
    </row>
    <row r="365" spans="1:5" x14ac:dyDescent="0.25">
      <c r="A365" s="14">
        <v>799</v>
      </c>
      <c r="B365" s="15">
        <v>18.399998920000002</v>
      </c>
      <c r="C365" s="15">
        <v>9.7692807819999992</v>
      </c>
      <c r="D365" s="15">
        <v>0.192680937</v>
      </c>
      <c r="E365" s="16">
        <v>0.105924617</v>
      </c>
    </row>
    <row r="366" spans="1:5" x14ac:dyDescent="0.25">
      <c r="A366" s="14">
        <v>799</v>
      </c>
      <c r="B366" s="15">
        <v>27.599998379999999</v>
      </c>
      <c r="C366" s="15">
        <v>9.7343998289999991</v>
      </c>
      <c r="D366" s="15">
        <v>0.19714000600000001</v>
      </c>
      <c r="E366" s="16">
        <v>0.15473862599999999</v>
      </c>
    </row>
    <row r="367" spans="1:5" x14ac:dyDescent="0.25">
      <c r="A367" s="14">
        <v>799</v>
      </c>
      <c r="B367" s="15">
        <v>36.799997840000003</v>
      </c>
      <c r="C367" s="15">
        <v>9.6945595820000001</v>
      </c>
      <c r="D367" s="15">
        <v>0.20149760799999999</v>
      </c>
      <c r="E367" s="16">
        <v>0.20103017300000001</v>
      </c>
    </row>
    <row r="368" spans="1:5" x14ac:dyDescent="0.25">
      <c r="A368" s="14">
        <v>799</v>
      </c>
      <c r="B368" s="15">
        <v>45.999997299999997</v>
      </c>
      <c r="C368" s="15">
        <v>9.6637679189999997</v>
      </c>
      <c r="D368" s="15">
        <v>0.205817888</v>
      </c>
      <c r="E368" s="16">
        <v>0.24523160799999999</v>
      </c>
    </row>
    <row r="369" spans="1:5" x14ac:dyDescent="0.25">
      <c r="A369" s="14">
        <v>799</v>
      </c>
      <c r="B369" s="15">
        <v>55.199996759999998</v>
      </c>
      <c r="C369" s="15">
        <v>9.64658689</v>
      </c>
      <c r="D369" s="15">
        <v>0.21014255000000001</v>
      </c>
      <c r="E369" s="16">
        <v>0.28770936600000002</v>
      </c>
    </row>
    <row r="370" spans="1:5" x14ac:dyDescent="0.25">
      <c r="A370" s="14">
        <v>799</v>
      </c>
      <c r="B370" s="15">
        <v>64.399996220000006</v>
      </c>
      <c r="C370" s="15">
        <v>9.6404340939999997</v>
      </c>
      <c r="D370" s="15">
        <v>0.21449569499999999</v>
      </c>
      <c r="E370" s="16">
        <v>0.32863901200000001</v>
      </c>
    </row>
    <row r="371" spans="1:5" x14ac:dyDescent="0.25">
      <c r="A371" s="14">
        <v>799</v>
      </c>
      <c r="B371" s="15">
        <v>73.599995680000006</v>
      </c>
      <c r="C371" s="15">
        <v>9.6376568880000004</v>
      </c>
      <c r="D371" s="15">
        <v>0.21888819300000001</v>
      </c>
      <c r="E371" s="16">
        <v>0.36794438400000001</v>
      </c>
    </row>
    <row r="372" spans="1:5" x14ac:dyDescent="0.25">
      <c r="A372" s="14">
        <v>799</v>
      </c>
      <c r="B372" s="15">
        <v>82.799995139999993</v>
      </c>
      <c r="C372" s="15">
        <v>9.6273794129999999</v>
      </c>
      <c r="D372" s="15">
        <v>0.22332159900000001</v>
      </c>
      <c r="E372" s="16">
        <v>0.40528724300000002</v>
      </c>
    </row>
    <row r="373" spans="1:5" x14ac:dyDescent="0.25">
      <c r="A373" s="14">
        <v>799</v>
      </c>
      <c r="B373" s="15">
        <v>91.999994599999994</v>
      </c>
      <c r="C373" s="15">
        <v>9.5971224480000004</v>
      </c>
      <c r="D373" s="15">
        <v>0.22779160700000001</v>
      </c>
      <c r="E373" s="16">
        <v>0.44009494999999998</v>
      </c>
    </row>
    <row r="374" spans="1:5" x14ac:dyDescent="0.25">
      <c r="A374" s="14">
        <v>799</v>
      </c>
      <c r="B374" s="15">
        <v>101.1999941</v>
      </c>
      <c r="C374" s="15">
        <v>9.5341960869999998</v>
      </c>
      <c r="D374" s="15">
        <v>0.23229103800000001</v>
      </c>
      <c r="E374" s="16">
        <v>0.471614747</v>
      </c>
    </row>
    <row r="375" spans="1:5" x14ac:dyDescent="0.25">
      <c r="A375" s="14">
        <v>799</v>
      </c>
      <c r="B375" s="15">
        <v>110.39999349999999</v>
      </c>
      <c r="C375" s="15">
        <v>9.4268652349999993</v>
      </c>
      <c r="D375" s="15">
        <v>0.23681237799999999</v>
      </c>
      <c r="E375" s="16">
        <v>0.49898468099999999</v>
      </c>
    </row>
    <row r="376" spans="1:5" x14ac:dyDescent="0.25">
      <c r="A376" s="14">
        <v>799</v>
      </c>
      <c r="B376" s="15">
        <v>119.599993</v>
      </c>
      <c r="C376" s="15">
        <v>9.2652879329999998</v>
      </c>
      <c r="D376" s="15">
        <v>0.24134984300000001</v>
      </c>
      <c r="E376" s="16">
        <v>0.52131271700000004</v>
      </c>
    </row>
    <row r="377" spans="1:5" x14ac:dyDescent="0.25">
      <c r="A377" s="14">
        <v>799</v>
      </c>
      <c r="B377" s="15">
        <v>128.79999240000001</v>
      </c>
      <c r="C377" s="15">
        <v>9.0422265040000003</v>
      </c>
      <c r="D377" s="15">
        <v>0.24590099400000001</v>
      </c>
      <c r="E377" s="16">
        <v>0.53775715800000001</v>
      </c>
    </row>
    <row r="378" spans="1:5" x14ac:dyDescent="0.25">
      <c r="A378" s="14">
        <v>799</v>
      </c>
      <c r="B378" s="15">
        <v>137.9999919</v>
      </c>
      <c r="C378" s="15">
        <v>8.7535315239999996</v>
      </c>
      <c r="D378" s="15">
        <v>0.25046788399999997</v>
      </c>
      <c r="E378" s="16">
        <v>0.54760269900000003</v>
      </c>
    </row>
    <row r="379" spans="1:5" x14ac:dyDescent="0.25">
      <c r="A379" s="14">
        <v>799</v>
      </c>
      <c r="B379" s="15">
        <v>147.19999139999999</v>
      </c>
      <c r="C379" s="15">
        <v>8.3983986169999998</v>
      </c>
      <c r="D379" s="15">
        <v>0.255057745</v>
      </c>
      <c r="E379" s="16">
        <v>0.55032724899999996</v>
      </c>
    </row>
    <row r="380" spans="1:5" x14ac:dyDescent="0.25">
      <c r="A380" s="14">
        <v>799</v>
      </c>
      <c r="B380" s="15">
        <v>156.39999080000001</v>
      </c>
      <c r="C380" s="15">
        <v>7.9793980680000001</v>
      </c>
      <c r="D380" s="15">
        <v>0.25968322199999999</v>
      </c>
      <c r="E380" s="16">
        <v>0.54565511300000002</v>
      </c>
    </row>
    <row r="381" spans="1:5" x14ac:dyDescent="0.25">
      <c r="A381" s="14">
        <v>799</v>
      </c>
      <c r="B381" s="15">
        <v>165.5999903</v>
      </c>
      <c r="C381" s="15">
        <v>7.5022772660000001</v>
      </c>
      <c r="D381" s="15">
        <v>0.26436213200000003</v>
      </c>
      <c r="E381" s="16">
        <v>0.53359215699999996</v>
      </c>
    </row>
    <row r="382" spans="1:5" x14ac:dyDescent="0.25">
      <c r="A382" s="14">
        <v>799</v>
      </c>
      <c r="B382" s="15">
        <v>174.7999897</v>
      </c>
      <c r="C382" s="15">
        <v>6.9755359700000001</v>
      </c>
      <c r="D382" s="15">
        <v>0.26911677699999997</v>
      </c>
      <c r="E382" s="16">
        <v>0.51443851699999998</v>
      </c>
    </row>
    <row r="383" spans="1:5" x14ac:dyDescent="0.25">
      <c r="A383" s="14">
        <v>799</v>
      </c>
      <c r="B383" s="15">
        <v>183.99998919999999</v>
      </c>
      <c r="C383" s="15">
        <v>6.4097743960000004</v>
      </c>
      <c r="D383" s="15">
        <v>0.27397278600000002</v>
      </c>
      <c r="E383" s="16">
        <v>0.48877431900000001</v>
      </c>
    </row>
    <row r="384" spans="1:5" x14ac:dyDescent="0.25">
      <c r="A384" s="14">
        <v>799</v>
      </c>
      <c r="B384" s="15">
        <v>193.19998870000001</v>
      </c>
      <c r="C384" s="15">
        <v>5.8168141259999997</v>
      </c>
      <c r="D384" s="15">
        <v>0.27895750400000002</v>
      </c>
      <c r="E384" s="16">
        <v>0.45741405000000002</v>
      </c>
    </row>
    <row r="385" spans="1:5" x14ac:dyDescent="0.25">
      <c r="A385" s="14">
        <v>799</v>
      </c>
      <c r="B385" s="15">
        <v>202.3999881</v>
      </c>
      <c r="C385" s="15">
        <v>5.2085918449999999</v>
      </c>
      <c r="D385" s="15">
        <v>0.28089999999999998</v>
      </c>
      <c r="E385" s="16">
        <v>0.42132578399999998</v>
      </c>
    </row>
    <row r="386" spans="1:5" x14ac:dyDescent="0.25">
      <c r="A386" s="14">
        <v>799</v>
      </c>
      <c r="B386" s="15">
        <v>211.59998759999999</v>
      </c>
      <c r="C386" s="15">
        <v>4.5958259010000004</v>
      </c>
      <c r="D386" s="15">
        <v>0.27739999999999998</v>
      </c>
      <c r="E386" s="16">
        <v>0.38151253299999999</v>
      </c>
    </row>
    <row r="387" spans="1:5" x14ac:dyDescent="0.25">
      <c r="A387" s="14">
        <v>799</v>
      </c>
      <c r="B387" s="15">
        <v>220.79998699999999</v>
      </c>
      <c r="C387" s="15">
        <v>3.9864556860000002</v>
      </c>
      <c r="D387" s="15">
        <v>0.26800000000000002</v>
      </c>
      <c r="E387" s="16">
        <v>0.33885442100000002</v>
      </c>
    </row>
    <row r="388" spans="1:5" x14ac:dyDescent="0.25">
      <c r="A388" s="14">
        <v>799</v>
      </c>
      <c r="B388" s="15">
        <v>229.99998650000001</v>
      </c>
      <c r="C388" s="15">
        <v>3.3838538379999998</v>
      </c>
      <c r="D388" s="15">
        <v>0.26300000000000001</v>
      </c>
      <c r="E388" s="16">
        <v>0.293912057</v>
      </c>
    </row>
    <row r="389" spans="1:5" x14ac:dyDescent="0.25">
      <c r="A389" s="14">
        <v>799</v>
      </c>
      <c r="B389" s="15">
        <v>239.199986</v>
      </c>
      <c r="C389" s="15">
        <v>2.7848112770000002</v>
      </c>
      <c r="D389" s="15">
        <v>0.25800000000000001</v>
      </c>
      <c r="E389" s="16">
        <v>0.24669282100000001</v>
      </c>
    </row>
    <row r="390" spans="1:5" x14ac:dyDescent="0.25">
      <c r="A390" s="14">
        <v>799</v>
      </c>
      <c r="B390" s="15">
        <v>248.39998539999999</v>
      </c>
      <c r="C390" s="15">
        <v>2.1772950529999999</v>
      </c>
      <c r="D390" s="15">
        <v>0.25</v>
      </c>
      <c r="E390" s="16">
        <v>0.19638214000000001</v>
      </c>
    </row>
    <row r="391" spans="1:5" x14ac:dyDescent="0.25">
      <c r="A391" s="14">
        <v>799</v>
      </c>
      <c r="B391" s="15">
        <v>257.59998489999998</v>
      </c>
      <c r="C391" s="15">
        <v>1.5379790250000001</v>
      </c>
      <c r="D391" s="15">
        <v>0.24429999999999999</v>
      </c>
      <c r="E391" s="16">
        <v>0.14104051400000001</v>
      </c>
    </row>
    <row r="392" spans="1:5" x14ac:dyDescent="0.25">
      <c r="A392" s="14">
        <v>799</v>
      </c>
      <c r="B392" s="15">
        <v>266.79998430000001</v>
      </c>
      <c r="C392" s="15">
        <v>0.82954735599999996</v>
      </c>
      <c r="D392" s="15">
        <v>0.23130000000000001</v>
      </c>
      <c r="E392" s="16">
        <v>7.7262912000000003E-2</v>
      </c>
    </row>
    <row r="393" spans="1:5" s="1" customFormat="1" x14ac:dyDescent="0.25">
      <c r="A393" s="17">
        <v>871</v>
      </c>
      <c r="B393" s="18">
        <v>0</v>
      </c>
      <c r="C393" s="18">
        <v>23.86</v>
      </c>
      <c r="D393" s="18">
        <v>0.32400000000000001</v>
      </c>
      <c r="E393" s="19">
        <v>0</v>
      </c>
    </row>
    <row r="394" spans="1:5" x14ac:dyDescent="0.25">
      <c r="A394" s="14">
        <v>871</v>
      </c>
      <c r="B394" s="15">
        <v>20</v>
      </c>
      <c r="C394" s="15">
        <v>22.99</v>
      </c>
      <c r="D394" s="15">
        <v>0.32400000000000001</v>
      </c>
      <c r="E394" s="16">
        <v>0.15</v>
      </c>
    </row>
    <row r="395" spans="1:5" x14ac:dyDescent="0.25">
      <c r="A395" s="14">
        <v>871</v>
      </c>
      <c r="B395" s="15">
        <v>40</v>
      </c>
      <c r="C395" s="15">
        <v>22.48</v>
      </c>
      <c r="D395" s="15">
        <v>0.33</v>
      </c>
      <c r="E395" s="16">
        <v>0.32</v>
      </c>
    </row>
    <row r="396" spans="1:5" x14ac:dyDescent="0.25">
      <c r="A396" s="14">
        <v>871</v>
      </c>
      <c r="B396" s="15">
        <v>67</v>
      </c>
      <c r="C396" s="15">
        <v>21.96</v>
      </c>
      <c r="D396" s="15">
        <v>0.34799999999999998</v>
      </c>
      <c r="E396" s="16">
        <v>0.48</v>
      </c>
    </row>
    <row r="397" spans="1:5" x14ac:dyDescent="0.25">
      <c r="A397" s="14">
        <v>871</v>
      </c>
      <c r="B397" s="15">
        <v>90</v>
      </c>
      <c r="C397" s="15">
        <v>19.670000000000002</v>
      </c>
      <c r="D397" s="15">
        <v>0.371</v>
      </c>
      <c r="E397" s="16">
        <v>0.53</v>
      </c>
    </row>
    <row r="398" spans="1:5" x14ac:dyDescent="0.25">
      <c r="A398" s="14">
        <v>871</v>
      </c>
      <c r="B398" s="15">
        <v>121</v>
      </c>
      <c r="C398" s="15">
        <v>13.3</v>
      </c>
      <c r="D398" s="15">
        <v>0.41499999999999998</v>
      </c>
      <c r="E398" s="16">
        <v>0.44</v>
      </c>
    </row>
    <row r="399" spans="1:5" x14ac:dyDescent="0.25">
      <c r="A399" s="14">
        <v>871</v>
      </c>
      <c r="B399" s="15">
        <v>140</v>
      </c>
      <c r="C399" s="15">
        <v>8.85</v>
      </c>
      <c r="D399" s="15">
        <v>0.44900000000000001</v>
      </c>
      <c r="E399" s="16">
        <v>0.31</v>
      </c>
    </row>
    <row r="400" spans="1:5" x14ac:dyDescent="0.25">
      <c r="A400" s="14">
        <v>871</v>
      </c>
      <c r="B400" s="15">
        <v>160</v>
      </c>
      <c r="C400" s="15">
        <v>3.98</v>
      </c>
      <c r="D400" s="15">
        <v>0.49099999999999999</v>
      </c>
      <c r="E400" s="16">
        <v>0.14000000000000001</v>
      </c>
    </row>
    <row r="401" spans="1:5" x14ac:dyDescent="0.25">
      <c r="A401" s="14">
        <v>871</v>
      </c>
      <c r="B401" s="15">
        <v>171</v>
      </c>
      <c r="C401" s="15">
        <v>0</v>
      </c>
      <c r="D401" s="15">
        <v>0.51600000000000001</v>
      </c>
      <c r="E401" s="16">
        <v>0</v>
      </c>
    </row>
    <row r="402" spans="1:5" s="1" customFormat="1" x14ac:dyDescent="0.25">
      <c r="A402" s="17">
        <v>877</v>
      </c>
      <c r="B402" s="18">
        <v>0</v>
      </c>
      <c r="C402" s="18">
        <v>21.54</v>
      </c>
      <c r="D402" s="18">
        <v>1.0469999999999999</v>
      </c>
      <c r="E402" s="19">
        <v>0</v>
      </c>
    </row>
    <row r="403" spans="1:5" x14ac:dyDescent="0.25">
      <c r="A403" s="14">
        <v>877</v>
      </c>
      <c r="B403" s="15">
        <v>50</v>
      </c>
      <c r="C403" s="15">
        <v>21.51</v>
      </c>
      <c r="D403" s="15">
        <v>1.159</v>
      </c>
      <c r="E403" s="16">
        <v>0.09</v>
      </c>
    </row>
    <row r="404" spans="1:5" x14ac:dyDescent="0.25">
      <c r="A404" s="14">
        <v>877</v>
      </c>
      <c r="B404" s="15">
        <v>100</v>
      </c>
      <c r="C404" s="15">
        <v>21.77</v>
      </c>
      <c r="D404" s="15">
        <v>1.2370000000000001</v>
      </c>
      <c r="E404" s="16">
        <v>0.18</v>
      </c>
    </row>
    <row r="405" spans="1:5" x14ac:dyDescent="0.25">
      <c r="A405" s="14">
        <v>877</v>
      </c>
      <c r="B405" s="15">
        <v>150</v>
      </c>
      <c r="C405" s="15">
        <v>22.06</v>
      </c>
      <c r="D405" s="15">
        <v>1.2989999999999999</v>
      </c>
      <c r="E405" s="16">
        <v>0.26</v>
      </c>
    </row>
    <row r="406" spans="1:5" x14ac:dyDescent="0.25">
      <c r="A406" s="14">
        <v>877</v>
      </c>
      <c r="B406" s="15">
        <v>200</v>
      </c>
      <c r="C406" s="15">
        <v>22.23</v>
      </c>
      <c r="D406" s="15">
        <v>1.357</v>
      </c>
      <c r="E406" s="16">
        <v>0.34</v>
      </c>
    </row>
    <row r="407" spans="1:5" x14ac:dyDescent="0.25">
      <c r="A407" s="14">
        <v>877</v>
      </c>
      <c r="B407" s="15">
        <v>250</v>
      </c>
      <c r="C407" s="15">
        <v>22.21</v>
      </c>
      <c r="D407" s="15">
        <v>1.419</v>
      </c>
      <c r="E407" s="16">
        <v>0.41</v>
      </c>
    </row>
    <row r="408" spans="1:5" x14ac:dyDescent="0.25">
      <c r="A408" s="14">
        <v>877</v>
      </c>
      <c r="B408" s="15">
        <v>300</v>
      </c>
      <c r="C408" s="15">
        <v>21.98</v>
      </c>
      <c r="D408" s="15">
        <v>1.4850000000000001</v>
      </c>
      <c r="E408" s="16">
        <v>0.46</v>
      </c>
    </row>
    <row r="409" spans="1:5" x14ac:dyDescent="0.25">
      <c r="A409" s="14">
        <v>877</v>
      </c>
      <c r="B409" s="15">
        <v>350</v>
      </c>
      <c r="C409" s="15">
        <v>21.56</v>
      </c>
      <c r="D409" s="15">
        <v>1.5549999999999999</v>
      </c>
      <c r="E409" s="16">
        <v>0.51</v>
      </c>
    </row>
    <row r="410" spans="1:5" x14ac:dyDescent="0.25">
      <c r="A410" s="14">
        <v>877</v>
      </c>
      <c r="B410" s="15">
        <v>400</v>
      </c>
      <c r="C410" s="15">
        <v>20.94</v>
      </c>
      <c r="D410" s="15">
        <v>1.625</v>
      </c>
      <c r="E410" s="16">
        <v>0.55000000000000004</v>
      </c>
    </row>
    <row r="411" spans="1:5" x14ac:dyDescent="0.25">
      <c r="A411" s="14">
        <v>877</v>
      </c>
      <c r="B411" s="15">
        <v>450</v>
      </c>
      <c r="C411" s="15">
        <v>20.14</v>
      </c>
      <c r="D411" s="15">
        <v>1.69</v>
      </c>
      <c r="E411" s="16">
        <v>0.56999999999999995</v>
      </c>
    </row>
    <row r="412" spans="1:5" x14ac:dyDescent="0.25">
      <c r="A412" s="14">
        <v>877</v>
      </c>
      <c r="B412" s="15">
        <v>500</v>
      </c>
      <c r="C412" s="15">
        <v>19.170000000000002</v>
      </c>
      <c r="D412" s="15">
        <v>1.7470000000000001</v>
      </c>
      <c r="E412" s="16">
        <v>0.59</v>
      </c>
    </row>
    <row r="413" spans="1:5" x14ac:dyDescent="0.25">
      <c r="A413" s="14">
        <v>877</v>
      </c>
      <c r="B413" s="15">
        <v>550</v>
      </c>
      <c r="C413" s="15">
        <v>18.010000000000002</v>
      </c>
      <c r="D413" s="15">
        <v>1.7889999999999999</v>
      </c>
      <c r="E413" s="16">
        <v>0.6</v>
      </c>
    </row>
    <row r="414" spans="1:5" x14ac:dyDescent="0.25">
      <c r="A414" s="14">
        <v>877</v>
      </c>
      <c r="B414" s="15">
        <v>600</v>
      </c>
      <c r="C414" s="15">
        <v>16.63</v>
      </c>
      <c r="D414" s="15">
        <v>1.8169999999999999</v>
      </c>
      <c r="E414" s="16">
        <v>0.59</v>
      </c>
    </row>
    <row r="415" spans="1:5" x14ac:dyDescent="0.25">
      <c r="A415" s="14">
        <v>877</v>
      </c>
      <c r="B415" s="15">
        <v>650</v>
      </c>
      <c r="C415" s="15">
        <v>15</v>
      </c>
      <c r="D415" s="15">
        <v>1.829</v>
      </c>
      <c r="E415" s="16">
        <v>0.56999999999999995</v>
      </c>
    </row>
    <row r="416" spans="1:5" x14ac:dyDescent="0.25">
      <c r="A416" s="14">
        <v>877</v>
      </c>
      <c r="B416" s="15">
        <v>700</v>
      </c>
      <c r="C416" s="15">
        <v>13.08</v>
      </c>
      <c r="D416" s="15">
        <v>1.8320000000000001</v>
      </c>
      <c r="E416" s="16">
        <v>0.53</v>
      </c>
    </row>
    <row r="417" spans="1:5" x14ac:dyDescent="0.25">
      <c r="A417" s="14">
        <v>877</v>
      </c>
      <c r="B417" s="15">
        <v>750</v>
      </c>
      <c r="C417" s="15">
        <v>10.85</v>
      </c>
      <c r="D417" s="15">
        <v>1.835</v>
      </c>
      <c r="E417" s="16">
        <v>0.47</v>
      </c>
    </row>
    <row r="418" spans="1:5" x14ac:dyDescent="0.25">
      <c r="A418" s="14">
        <v>877</v>
      </c>
      <c r="B418" s="15">
        <v>800</v>
      </c>
      <c r="C418" s="15">
        <v>8.33</v>
      </c>
      <c r="D418" s="15">
        <v>1.8540000000000001</v>
      </c>
      <c r="E418" s="16">
        <v>0.39</v>
      </c>
    </row>
    <row r="419" spans="1:5" x14ac:dyDescent="0.25">
      <c r="A419" s="14">
        <v>877</v>
      </c>
      <c r="B419" s="15">
        <v>850</v>
      </c>
      <c r="C419" s="15">
        <v>5.59</v>
      </c>
      <c r="D419" s="15">
        <v>1.913</v>
      </c>
      <c r="E419" s="16">
        <v>0.28000000000000003</v>
      </c>
    </row>
    <row r="420" spans="1:5" x14ac:dyDescent="0.25">
      <c r="A420" s="14">
        <v>877</v>
      </c>
      <c r="B420" s="15">
        <v>900</v>
      </c>
      <c r="C420" s="15">
        <v>2.79</v>
      </c>
      <c r="D420" s="15">
        <v>2.0430000000000001</v>
      </c>
      <c r="E420" s="16">
        <v>0.15</v>
      </c>
    </row>
    <row r="421" spans="1:5" x14ac:dyDescent="0.25">
      <c r="A421" s="14">
        <v>877</v>
      </c>
      <c r="B421" s="15">
        <v>950</v>
      </c>
      <c r="C421" s="15">
        <v>0</v>
      </c>
      <c r="D421" s="15">
        <v>2.2839999999999998</v>
      </c>
      <c r="E421" s="16">
        <v>0</v>
      </c>
    </row>
    <row r="422" spans="1:5" s="1" customFormat="1" x14ac:dyDescent="0.25">
      <c r="A422" s="17">
        <v>878</v>
      </c>
      <c r="B422" s="18">
        <v>0</v>
      </c>
      <c r="C422" s="18">
        <v>4.32</v>
      </c>
      <c r="D422" s="18">
        <v>9.8000000000000004E-2</v>
      </c>
      <c r="E422" s="19">
        <v>0</v>
      </c>
    </row>
    <row r="423" spans="1:5" x14ac:dyDescent="0.25">
      <c r="A423" s="14">
        <v>878</v>
      </c>
      <c r="B423" s="15">
        <v>50</v>
      </c>
      <c r="C423" s="15">
        <v>4.45</v>
      </c>
      <c r="D423" s="15">
        <v>0.126</v>
      </c>
      <c r="E423" s="16">
        <v>0.21</v>
      </c>
    </row>
    <row r="424" spans="1:5" x14ac:dyDescent="0.25">
      <c r="A424" s="14">
        <v>878</v>
      </c>
      <c r="B424" s="15">
        <v>100</v>
      </c>
      <c r="C424" s="15">
        <v>4.5</v>
      </c>
      <c r="D424" s="15">
        <v>0.14299999999999999</v>
      </c>
      <c r="E424" s="16">
        <v>0.35</v>
      </c>
    </row>
    <row r="425" spans="1:5" x14ac:dyDescent="0.25">
      <c r="A425" s="14">
        <v>878</v>
      </c>
      <c r="B425" s="15">
        <v>150</v>
      </c>
      <c r="C425" s="15">
        <v>4.2</v>
      </c>
      <c r="D425" s="15">
        <v>0.151</v>
      </c>
      <c r="E425" s="16">
        <v>0.46</v>
      </c>
    </row>
    <row r="426" spans="1:5" x14ac:dyDescent="0.25">
      <c r="A426" s="14">
        <v>878</v>
      </c>
      <c r="B426" s="15">
        <v>200</v>
      </c>
      <c r="C426" s="15">
        <v>3.6</v>
      </c>
      <c r="D426" s="15">
        <v>0.154</v>
      </c>
      <c r="E426" s="16">
        <v>0.54</v>
      </c>
    </row>
    <row r="427" spans="1:5" x14ac:dyDescent="0.25">
      <c r="A427" s="14">
        <v>878</v>
      </c>
      <c r="B427" s="15">
        <v>250</v>
      </c>
      <c r="C427" s="15">
        <v>2.83</v>
      </c>
      <c r="D427" s="15">
        <v>0.152</v>
      </c>
      <c r="E427" s="16">
        <v>0.54</v>
      </c>
    </row>
    <row r="428" spans="1:5" x14ac:dyDescent="0.25">
      <c r="A428" s="14">
        <v>878</v>
      </c>
      <c r="B428" s="15">
        <v>300</v>
      </c>
      <c r="C428" s="15">
        <v>1.81</v>
      </c>
      <c r="D428" s="15">
        <v>0.14899999999999999</v>
      </c>
      <c r="E428" s="16">
        <v>0.39</v>
      </c>
    </row>
    <row r="429" spans="1:5" x14ac:dyDescent="0.25">
      <c r="A429" s="14">
        <v>878</v>
      </c>
      <c r="B429" s="15">
        <v>350</v>
      </c>
      <c r="C429" s="15">
        <v>0</v>
      </c>
      <c r="D429" s="15">
        <v>0.14699999999999999</v>
      </c>
      <c r="E429" s="16">
        <v>0</v>
      </c>
    </row>
    <row r="430" spans="1:5" s="1" customFormat="1" x14ac:dyDescent="0.25">
      <c r="A430" s="17">
        <v>879</v>
      </c>
      <c r="B430" s="18">
        <v>0</v>
      </c>
      <c r="C430" s="18">
        <v>17.600000000000001</v>
      </c>
      <c r="D430" s="18">
        <v>3.5169999999999999</v>
      </c>
      <c r="E430" s="19">
        <v>0</v>
      </c>
    </row>
    <row r="431" spans="1:5" x14ac:dyDescent="0.25">
      <c r="A431" s="14">
        <v>879</v>
      </c>
      <c r="B431" s="15">
        <v>1000</v>
      </c>
      <c r="C431" s="15">
        <v>16.5</v>
      </c>
      <c r="D431" s="15">
        <v>4.6310000000000002</v>
      </c>
      <c r="E431" s="16">
        <v>0.39</v>
      </c>
    </row>
    <row r="432" spans="1:5" x14ac:dyDescent="0.25">
      <c r="A432" s="14">
        <v>879</v>
      </c>
      <c r="B432" s="15">
        <v>2400</v>
      </c>
      <c r="C432" s="15">
        <v>14.2</v>
      </c>
      <c r="D432" s="15">
        <v>5.9340000000000002</v>
      </c>
      <c r="E432" s="16">
        <v>0.65</v>
      </c>
    </row>
    <row r="433" spans="1:5" x14ac:dyDescent="0.25">
      <c r="A433" s="14">
        <v>879</v>
      </c>
      <c r="B433" s="15">
        <v>3000</v>
      </c>
      <c r="C433" s="15">
        <v>12.8</v>
      </c>
      <c r="D433" s="15">
        <v>6.226</v>
      </c>
      <c r="E433" s="16">
        <v>0.68</v>
      </c>
    </row>
    <row r="434" spans="1:5" x14ac:dyDescent="0.25">
      <c r="A434" s="14">
        <v>879</v>
      </c>
      <c r="B434" s="15">
        <v>3600</v>
      </c>
      <c r="C434" s="15">
        <v>9.9</v>
      </c>
      <c r="D434" s="15">
        <v>6.3929999999999998</v>
      </c>
      <c r="E434" s="16">
        <v>0.62</v>
      </c>
    </row>
    <row r="435" spans="1:5" x14ac:dyDescent="0.25">
      <c r="A435" s="14">
        <v>879</v>
      </c>
      <c r="B435" s="15">
        <v>4000</v>
      </c>
      <c r="C435" s="15">
        <v>6.6</v>
      </c>
      <c r="D435" s="15">
        <v>6.4859999999999998</v>
      </c>
      <c r="E435" s="16">
        <v>0.48</v>
      </c>
    </row>
    <row r="436" spans="1:5" s="1" customFormat="1" x14ac:dyDescent="0.25">
      <c r="A436" s="17">
        <v>1002</v>
      </c>
      <c r="B436" s="18">
        <v>0</v>
      </c>
      <c r="C436" s="18">
        <v>4.9000000000000004</v>
      </c>
      <c r="D436" s="18">
        <v>0.02</v>
      </c>
      <c r="E436" s="19">
        <v>0</v>
      </c>
    </row>
    <row r="437" spans="1:5" x14ac:dyDescent="0.25">
      <c r="A437" s="14">
        <v>1002</v>
      </c>
      <c r="B437" s="15">
        <v>10</v>
      </c>
      <c r="C437" s="15">
        <v>4.7</v>
      </c>
      <c r="D437" s="15">
        <v>2.5000000000000001E-2</v>
      </c>
      <c r="E437" s="16">
        <v>0.21</v>
      </c>
    </row>
    <row r="438" spans="1:5" x14ac:dyDescent="0.25">
      <c r="A438" s="14">
        <v>1002</v>
      </c>
      <c r="B438" s="15">
        <v>15</v>
      </c>
      <c r="C438" s="15">
        <v>4.5999999999999996</v>
      </c>
      <c r="D438" s="15">
        <v>2.7E-2</v>
      </c>
      <c r="E438" s="16">
        <v>0.28999999999999998</v>
      </c>
    </row>
    <row r="439" spans="1:5" x14ac:dyDescent="0.25">
      <c r="A439" s="14">
        <v>1002</v>
      </c>
      <c r="B439" s="15">
        <v>20</v>
      </c>
      <c r="C439" s="15">
        <v>4.5</v>
      </c>
      <c r="D439" s="15">
        <v>0.03</v>
      </c>
      <c r="E439" s="16">
        <v>0.35</v>
      </c>
    </row>
    <row r="440" spans="1:5" x14ac:dyDescent="0.25">
      <c r="A440" s="14">
        <v>1002</v>
      </c>
      <c r="B440" s="15">
        <v>30</v>
      </c>
      <c r="C440" s="15">
        <v>4.0999999999999996</v>
      </c>
      <c r="D440" s="15">
        <v>3.5000000000000003E-2</v>
      </c>
      <c r="E440" s="16">
        <v>0.4</v>
      </c>
    </row>
    <row r="441" spans="1:5" x14ac:dyDescent="0.25">
      <c r="A441" s="14">
        <v>1002</v>
      </c>
      <c r="B441" s="15">
        <v>40</v>
      </c>
      <c r="C441" s="15">
        <v>3.3</v>
      </c>
      <c r="D441" s="15">
        <v>4.1000000000000002E-2</v>
      </c>
      <c r="E441" s="16">
        <v>0.37</v>
      </c>
    </row>
    <row r="442" spans="1:5" x14ac:dyDescent="0.25">
      <c r="A442" s="14">
        <v>1002</v>
      </c>
      <c r="B442" s="15">
        <v>65</v>
      </c>
      <c r="C442" s="15">
        <v>0</v>
      </c>
      <c r="D442" s="15">
        <v>0.02</v>
      </c>
      <c r="E442" s="16">
        <v>0</v>
      </c>
    </row>
    <row r="443" spans="1:5" s="1" customFormat="1" x14ac:dyDescent="0.25">
      <c r="A443" s="17">
        <v>1003</v>
      </c>
      <c r="B443" s="18">
        <v>0</v>
      </c>
      <c r="C443" s="18">
        <v>7.1</v>
      </c>
      <c r="D443" s="18">
        <v>0.03</v>
      </c>
      <c r="E443" s="19">
        <v>0</v>
      </c>
    </row>
    <row r="444" spans="1:5" x14ac:dyDescent="0.25">
      <c r="A444" s="14">
        <v>1003</v>
      </c>
      <c r="B444" s="15">
        <v>10</v>
      </c>
      <c r="C444" s="15">
        <v>6.2</v>
      </c>
      <c r="D444" s="15">
        <v>2.9000000000000001E-2</v>
      </c>
      <c r="E444" s="16">
        <v>0.24</v>
      </c>
    </row>
    <row r="445" spans="1:5" x14ac:dyDescent="0.25">
      <c r="A445" s="14">
        <v>1003</v>
      </c>
      <c r="B445" s="15">
        <v>15</v>
      </c>
      <c r="C445" s="15">
        <v>5.6</v>
      </c>
      <c r="D445" s="15">
        <v>0.03</v>
      </c>
      <c r="E445" s="16">
        <v>0.31</v>
      </c>
    </row>
    <row r="446" spans="1:5" x14ac:dyDescent="0.25">
      <c r="A446" s="14">
        <v>1003</v>
      </c>
      <c r="B446" s="15">
        <v>20</v>
      </c>
      <c r="C446" s="15">
        <v>4.7</v>
      </c>
      <c r="D446" s="15">
        <v>3.2000000000000001E-2</v>
      </c>
      <c r="E446" s="16">
        <v>0.33</v>
      </c>
    </row>
    <row r="447" spans="1:5" x14ac:dyDescent="0.25">
      <c r="A447" s="14">
        <v>1003</v>
      </c>
      <c r="B447" s="15">
        <v>25</v>
      </c>
      <c r="C447" s="15">
        <v>3.6</v>
      </c>
      <c r="D447" s="15">
        <v>3.5000000000000003E-2</v>
      </c>
      <c r="E447" s="16">
        <v>0.28999999999999998</v>
      </c>
    </row>
    <row r="448" spans="1:5" x14ac:dyDescent="0.25">
      <c r="A448" s="14">
        <v>1003</v>
      </c>
      <c r="B448" s="15">
        <v>30</v>
      </c>
      <c r="C448" s="15">
        <v>2.5</v>
      </c>
      <c r="D448" s="15">
        <v>3.7999999999999999E-2</v>
      </c>
      <c r="E448" s="16">
        <v>0.22</v>
      </c>
    </row>
    <row r="449" spans="1:5" x14ac:dyDescent="0.25">
      <c r="A449" s="14">
        <v>1003</v>
      </c>
      <c r="B449" s="15">
        <v>38</v>
      </c>
      <c r="C449" s="15">
        <v>0</v>
      </c>
      <c r="D449" s="15">
        <v>4.2999999999999997E-2</v>
      </c>
      <c r="E449" s="16">
        <v>0</v>
      </c>
    </row>
    <row r="450" spans="1:5" s="1" customFormat="1" x14ac:dyDescent="0.25">
      <c r="A450" s="17">
        <v>1004</v>
      </c>
      <c r="B450" s="18">
        <v>0</v>
      </c>
      <c r="C450" s="18">
        <v>6.1</v>
      </c>
      <c r="D450" s="18">
        <v>3.7999999999999999E-2</v>
      </c>
      <c r="E450" s="19">
        <v>0</v>
      </c>
    </row>
    <row r="451" spans="1:5" x14ac:dyDescent="0.25">
      <c r="A451" s="14">
        <v>1004</v>
      </c>
      <c r="B451" s="15">
        <v>10</v>
      </c>
      <c r="C451" s="15">
        <v>6</v>
      </c>
      <c r="D451" s="15">
        <v>3.7999999999999999E-2</v>
      </c>
      <c r="E451" s="16">
        <v>0.17</v>
      </c>
    </row>
    <row r="452" spans="1:5" x14ac:dyDescent="0.25">
      <c r="A452" s="14">
        <v>1004</v>
      </c>
      <c r="B452" s="15">
        <v>22</v>
      </c>
      <c r="C452" s="15">
        <v>5.4</v>
      </c>
      <c r="D452" s="15">
        <v>3.9E-2</v>
      </c>
      <c r="E452" s="16">
        <v>0.35</v>
      </c>
    </row>
    <row r="453" spans="1:5" x14ac:dyDescent="0.25">
      <c r="A453" s="14">
        <v>1004</v>
      </c>
      <c r="B453" s="15">
        <v>35</v>
      </c>
      <c r="C453" s="15">
        <v>4.5999999999999996</v>
      </c>
      <c r="D453" s="15">
        <v>4.2000000000000003E-2</v>
      </c>
      <c r="E453" s="16">
        <v>0.43</v>
      </c>
    </row>
    <row r="454" spans="1:5" x14ac:dyDescent="0.25">
      <c r="A454" s="14">
        <v>1004</v>
      </c>
      <c r="B454" s="15">
        <v>50</v>
      </c>
      <c r="C454" s="15">
        <v>3</v>
      </c>
      <c r="D454" s="15">
        <v>4.8000000000000001E-2</v>
      </c>
      <c r="E454" s="16">
        <v>0.35</v>
      </c>
    </row>
    <row r="455" spans="1:5" x14ac:dyDescent="0.25">
      <c r="A455" s="14">
        <v>1004</v>
      </c>
      <c r="B455" s="15">
        <v>60</v>
      </c>
      <c r="C455" s="15">
        <v>1.2</v>
      </c>
      <c r="D455" s="15">
        <v>5.2999999999999999E-2</v>
      </c>
      <c r="E455" s="16">
        <v>0.17</v>
      </c>
    </row>
    <row r="456" spans="1:5" x14ac:dyDescent="0.25">
      <c r="A456" s="14">
        <v>1004</v>
      </c>
      <c r="B456" s="15">
        <v>66</v>
      </c>
      <c r="C456" s="15">
        <v>0</v>
      </c>
      <c r="D456" s="15">
        <v>5.7000000000000002E-2</v>
      </c>
      <c r="E456" s="16">
        <v>0</v>
      </c>
    </row>
    <row r="457" spans="1:5" s="1" customFormat="1" x14ac:dyDescent="0.25">
      <c r="A457" s="17">
        <v>1005</v>
      </c>
      <c r="B457" s="18">
        <v>0</v>
      </c>
      <c r="C457" s="18">
        <v>6.5</v>
      </c>
      <c r="D457" s="18">
        <v>5.6000000000000001E-2</v>
      </c>
      <c r="E457" s="19">
        <v>0</v>
      </c>
    </row>
    <row r="458" spans="1:5" x14ac:dyDescent="0.25">
      <c r="A458" s="14">
        <v>1005</v>
      </c>
      <c r="B458" s="15">
        <v>20</v>
      </c>
      <c r="C458" s="15">
        <v>6.2</v>
      </c>
      <c r="D458" s="15">
        <v>5.0999999999999997E-2</v>
      </c>
      <c r="E458" s="16">
        <v>0.27</v>
      </c>
    </row>
    <row r="459" spans="1:5" x14ac:dyDescent="0.25">
      <c r="A459" s="14">
        <v>1005</v>
      </c>
      <c r="B459" s="15">
        <v>35</v>
      </c>
      <c r="C459" s="15">
        <v>5.8</v>
      </c>
      <c r="D459" s="15">
        <v>5.5E-2</v>
      </c>
      <c r="E459" s="16">
        <v>0.42</v>
      </c>
    </row>
    <row r="460" spans="1:5" x14ac:dyDescent="0.25">
      <c r="A460" s="14">
        <v>1005</v>
      </c>
      <c r="B460" s="15">
        <v>50</v>
      </c>
      <c r="C460" s="15">
        <v>5.0999999999999996</v>
      </c>
      <c r="D460" s="15">
        <v>0.06</v>
      </c>
      <c r="E460" s="16">
        <v>0.48</v>
      </c>
    </row>
    <row r="461" spans="1:5" x14ac:dyDescent="0.25">
      <c r="A461" s="14">
        <v>1005</v>
      </c>
      <c r="B461" s="15">
        <v>65</v>
      </c>
      <c r="C461" s="15">
        <v>3.9</v>
      </c>
      <c r="D461" s="15">
        <v>6.6000000000000003E-2</v>
      </c>
      <c r="E461" s="16">
        <v>0.44</v>
      </c>
    </row>
    <row r="462" spans="1:5" x14ac:dyDescent="0.25">
      <c r="A462" s="14">
        <v>1005</v>
      </c>
      <c r="B462" s="15">
        <v>75</v>
      </c>
      <c r="C462" s="15">
        <v>2.9</v>
      </c>
      <c r="D462" s="15">
        <v>7.0000000000000007E-2</v>
      </c>
      <c r="E462" s="16">
        <v>0.35</v>
      </c>
    </row>
    <row r="463" spans="1:5" x14ac:dyDescent="0.25">
      <c r="A463" s="14">
        <v>1005</v>
      </c>
      <c r="B463" s="15">
        <v>85</v>
      </c>
      <c r="C463" s="15">
        <v>1.7</v>
      </c>
      <c r="D463" s="15">
        <v>7.1999999999999995E-2</v>
      </c>
      <c r="E463" s="16">
        <v>0.19</v>
      </c>
    </row>
    <row r="464" spans="1:5" x14ac:dyDescent="0.25">
      <c r="A464" s="14">
        <v>1005</v>
      </c>
      <c r="B464" s="15">
        <v>95</v>
      </c>
      <c r="C464" s="15">
        <v>0</v>
      </c>
      <c r="D464" s="15">
        <v>7.5999999999999998E-2</v>
      </c>
      <c r="E464" s="16">
        <v>0</v>
      </c>
    </row>
    <row r="465" spans="1:5" s="1" customFormat="1" x14ac:dyDescent="0.25">
      <c r="A465" s="17">
        <v>1006</v>
      </c>
      <c r="B465" s="18">
        <v>0</v>
      </c>
      <c r="C465" s="18">
        <v>6.6</v>
      </c>
      <c r="D465" s="18">
        <v>8.6999999999999994E-2</v>
      </c>
      <c r="E465" s="19">
        <v>0</v>
      </c>
    </row>
    <row r="466" spans="1:5" x14ac:dyDescent="0.25">
      <c r="A466" s="14">
        <v>1006</v>
      </c>
      <c r="B466" s="15">
        <v>30</v>
      </c>
      <c r="C466" s="15">
        <v>6.7</v>
      </c>
      <c r="D466" s="15">
        <v>9.2999999999999999E-2</v>
      </c>
      <c r="E466" s="16">
        <v>0.24</v>
      </c>
    </row>
    <row r="467" spans="1:5" x14ac:dyDescent="0.25">
      <c r="A467" s="14">
        <v>1006</v>
      </c>
      <c r="B467" s="15">
        <v>60</v>
      </c>
      <c r="C467" s="15">
        <v>6.5</v>
      </c>
      <c r="D467" s="15">
        <v>9.6000000000000002E-2</v>
      </c>
      <c r="E467" s="16">
        <v>0.47</v>
      </c>
    </row>
    <row r="468" spans="1:5" x14ac:dyDescent="0.25">
      <c r="A468" s="14">
        <v>1006</v>
      </c>
      <c r="B468" s="15">
        <v>80</v>
      </c>
      <c r="C468" s="15">
        <v>6</v>
      </c>
      <c r="D468" s="15">
        <v>9.9000000000000005E-2</v>
      </c>
      <c r="E468" s="16">
        <v>0.55000000000000004</v>
      </c>
    </row>
    <row r="469" spans="1:5" x14ac:dyDescent="0.25">
      <c r="A469" s="14">
        <v>1006</v>
      </c>
      <c r="B469" s="15">
        <v>105</v>
      </c>
      <c r="C469" s="15">
        <v>4.8</v>
      </c>
      <c r="D469" s="15">
        <v>0.107</v>
      </c>
      <c r="E469" s="16">
        <v>0.53</v>
      </c>
    </row>
    <row r="470" spans="1:5" x14ac:dyDescent="0.25">
      <c r="A470" s="14">
        <v>1006</v>
      </c>
      <c r="B470" s="15">
        <v>130</v>
      </c>
      <c r="C470" s="15">
        <v>3.3</v>
      </c>
      <c r="D470" s="15">
        <v>0.11700000000000001</v>
      </c>
      <c r="E470" s="16">
        <v>0.41</v>
      </c>
    </row>
    <row r="471" spans="1:5" x14ac:dyDescent="0.25">
      <c r="A471" s="14">
        <v>1006</v>
      </c>
      <c r="B471" s="15">
        <v>175</v>
      </c>
      <c r="C471" s="15">
        <v>0</v>
      </c>
      <c r="D471" s="15">
        <v>0.14000000000000001</v>
      </c>
      <c r="E471" s="16">
        <v>0</v>
      </c>
    </row>
    <row r="472" spans="1:5" s="1" customFormat="1" x14ac:dyDescent="0.25">
      <c r="A472" s="17">
        <v>1007</v>
      </c>
      <c r="B472" s="18">
        <v>0</v>
      </c>
      <c r="C472" s="18">
        <v>6.9</v>
      </c>
      <c r="D472" s="18">
        <v>0.08</v>
      </c>
      <c r="E472" s="19">
        <v>0</v>
      </c>
    </row>
    <row r="473" spans="1:5" x14ac:dyDescent="0.25">
      <c r="A473" s="14">
        <v>1007</v>
      </c>
      <c r="B473" s="15">
        <v>40</v>
      </c>
      <c r="C473" s="15">
        <v>6.9</v>
      </c>
      <c r="D473" s="15">
        <v>0.09</v>
      </c>
      <c r="E473" s="16">
        <v>0.32</v>
      </c>
    </row>
    <row r="474" spans="1:5" x14ac:dyDescent="0.25">
      <c r="A474" s="14">
        <v>1007</v>
      </c>
      <c r="B474" s="15">
        <v>80</v>
      </c>
      <c r="C474" s="15">
        <v>6.4</v>
      </c>
      <c r="D474" s="15">
        <v>0.1</v>
      </c>
      <c r="E474" s="16">
        <v>0.56000000000000005</v>
      </c>
    </row>
    <row r="475" spans="1:5" x14ac:dyDescent="0.25">
      <c r="A475" s="14">
        <v>1007</v>
      </c>
      <c r="B475" s="15">
        <v>100</v>
      </c>
      <c r="C475" s="15">
        <v>5.8</v>
      </c>
      <c r="D475" s="15">
        <v>0.11</v>
      </c>
      <c r="E475" s="16">
        <v>0.57999999999999996</v>
      </c>
    </row>
    <row r="476" spans="1:5" x14ac:dyDescent="0.25">
      <c r="A476" s="14">
        <v>1007</v>
      </c>
      <c r="B476" s="15">
        <v>120</v>
      </c>
      <c r="C476" s="15">
        <v>4.7</v>
      </c>
      <c r="D476" s="15">
        <v>0.11799999999999999</v>
      </c>
      <c r="E476" s="16">
        <v>0.54</v>
      </c>
    </row>
    <row r="477" spans="1:5" x14ac:dyDescent="0.25">
      <c r="A477" s="14">
        <v>1007</v>
      </c>
      <c r="B477" s="15">
        <v>140</v>
      </c>
      <c r="C477" s="15">
        <v>3.4</v>
      </c>
      <c r="D477" s="15">
        <v>0.12</v>
      </c>
      <c r="E477" s="16">
        <v>0.42</v>
      </c>
    </row>
    <row r="478" spans="1:5" x14ac:dyDescent="0.25">
      <c r="A478" s="14">
        <v>1007</v>
      </c>
      <c r="B478" s="15">
        <v>183</v>
      </c>
      <c r="C478" s="15">
        <v>0</v>
      </c>
      <c r="D478" s="15">
        <v>0.151</v>
      </c>
      <c r="E478" s="16">
        <v>0</v>
      </c>
    </row>
    <row r="479" spans="1:5" s="1" customFormat="1" x14ac:dyDescent="0.25">
      <c r="A479" s="17">
        <v>1008</v>
      </c>
      <c r="B479" s="18">
        <v>0</v>
      </c>
      <c r="C479" s="18">
        <v>8.8000000000000007</v>
      </c>
      <c r="D479" s="18">
        <v>5.7000000000000002E-2</v>
      </c>
      <c r="E479" s="19">
        <v>0</v>
      </c>
    </row>
    <row r="480" spans="1:5" x14ac:dyDescent="0.25">
      <c r="A480" s="14">
        <v>1008</v>
      </c>
      <c r="B480" s="15">
        <v>10</v>
      </c>
      <c r="C480" s="15">
        <v>8.6999999999999993</v>
      </c>
      <c r="D480" s="15">
        <v>5.8999999999999997E-2</v>
      </c>
      <c r="E480" s="16">
        <v>0.17</v>
      </c>
    </row>
    <row r="481" spans="1:5" x14ac:dyDescent="0.25">
      <c r="A481" s="14">
        <v>1008</v>
      </c>
      <c r="B481" s="15">
        <v>18</v>
      </c>
      <c r="C481" s="15">
        <v>8.1999999999999993</v>
      </c>
      <c r="D481" s="15">
        <v>6.2E-2</v>
      </c>
      <c r="E481" s="16">
        <v>0.27</v>
      </c>
    </row>
    <row r="482" spans="1:5" x14ac:dyDescent="0.25">
      <c r="A482" s="14">
        <v>1008</v>
      </c>
      <c r="B482" s="15">
        <v>25</v>
      </c>
      <c r="C482" s="15">
        <v>7.5</v>
      </c>
      <c r="D482" s="15">
        <v>6.4000000000000001E-2</v>
      </c>
      <c r="E482" s="16">
        <v>0.33</v>
      </c>
    </row>
    <row r="483" spans="1:5" x14ac:dyDescent="0.25">
      <c r="A483" s="14">
        <v>1008</v>
      </c>
      <c r="B483" s="15">
        <v>35</v>
      </c>
      <c r="C483" s="15">
        <v>6.1</v>
      </c>
      <c r="D483" s="15">
        <v>6.8000000000000005E-2</v>
      </c>
      <c r="E483" s="16">
        <v>0.35</v>
      </c>
    </row>
    <row r="484" spans="1:5" x14ac:dyDescent="0.25">
      <c r="A484" s="14">
        <v>1008</v>
      </c>
      <c r="B484" s="15">
        <v>45</v>
      </c>
      <c r="C484" s="15">
        <v>4.0999999999999996</v>
      </c>
      <c r="D484" s="15">
        <v>7.2999999999999995E-2</v>
      </c>
      <c r="E484" s="16">
        <v>0.28000000000000003</v>
      </c>
    </row>
    <row r="485" spans="1:5" x14ac:dyDescent="0.25">
      <c r="A485" s="14">
        <v>1008</v>
      </c>
      <c r="B485" s="15">
        <v>58</v>
      </c>
      <c r="C485" s="15">
        <v>0</v>
      </c>
      <c r="D485" s="15">
        <v>0.08</v>
      </c>
      <c r="E485" s="16">
        <v>0</v>
      </c>
    </row>
    <row r="486" spans="1:5" s="1" customFormat="1" x14ac:dyDescent="0.25">
      <c r="A486" s="17">
        <v>1009</v>
      </c>
      <c r="B486" s="18">
        <v>0</v>
      </c>
      <c r="C486" s="18">
        <v>9.1999999999999993</v>
      </c>
      <c r="D486" s="18">
        <v>6.5000000000000002E-2</v>
      </c>
      <c r="E486" s="19">
        <v>0</v>
      </c>
    </row>
    <row r="487" spans="1:5" x14ac:dyDescent="0.25">
      <c r="A487" s="14">
        <v>1009</v>
      </c>
      <c r="B487" s="15">
        <v>10</v>
      </c>
      <c r="C487" s="15">
        <v>9.1999999999999993</v>
      </c>
      <c r="D487" s="15">
        <v>6.5000000000000002E-2</v>
      </c>
      <c r="E487" s="16">
        <v>0.16</v>
      </c>
    </row>
    <row r="488" spans="1:5" x14ac:dyDescent="0.25">
      <c r="A488" s="14">
        <v>1009</v>
      </c>
      <c r="B488" s="15">
        <v>20</v>
      </c>
      <c r="C488" s="15">
        <v>8.5</v>
      </c>
      <c r="D488" s="15">
        <v>6.5000000000000002E-2</v>
      </c>
      <c r="E488" s="16">
        <v>0.28999999999999998</v>
      </c>
    </row>
    <row r="489" spans="1:5" x14ac:dyDescent="0.25">
      <c r="A489" s="14">
        <v>1009</v>
      </c>
      <c r="B489" s="15">
        <v>30</v>
      </c>
      <c r="C489" s="15">
        <v>7.3</v>
      </c>
      <c r="D489" s="15">
        <v>6.5000000000000002E-2</v>
      </c>
      <c r="E489" s="16">
        <v>0.37</v>
      </c>
    </row>
    <row r="490" spans="1:5" x14ac:dyDescent="0.25">
      <c r="A490" s="14">
        <v>1009</v>
      </c>
      <c r="B490" s="15">
        <v>34</v>
      </c>
      <c r="C490" s="15">
        <v>6.7</v>
      </c>
      <c r="D490" s="15">
        <v>6.7000000000000004E-2</v>
      </c>
      <c r="E490" s="16">
        <v>0.39</v>
      </c>
    </row>
    <row r="491" spans="1:5" x14ac:dyDescent="0.25">
      <c r="A491" s="14">
        <v>1009</v>
      </c>
      <c r="B491" s="15">
        <v>40</v>
      </c>
      <c r="C491" s="15">
        <v>5.6</v>
      </c>
      <c r="D491" s="15">
        <v>6.9000000000000006E-2</v>
      </c>
      <c r="E491" s="16">
        <v>0.37</v>
      </c>
    </row>
    <row r="492" spans="1:5" x14ac:dyDescent="0.25">
      <c r="A492" s="14">
        <v>1009</v>
      </c>
      <c r="B492" s="15">
        <v>45</v>
      </c>
      <c r="C492" s="15">
        <v>4.5999999999999996</v>
      </c>
      <c r="D492" s="15">
        <v>7.1999999999999995E-2</v>
      </c>
      <c r="E492" s="16">
        <v>0.33</v>
      </c>
    </row>
    <row r="493" spans="1:5" x14ac:dyDescent="0.25">
      <c r="A493" s="14">
        <v>1009</v>
      </c>
      <c r="B493" s="15">
        <v>55</v>
      </c>
      <c r="C493" s="15">
        <v>2</v>
      </c>
      <c r="D493" s="15">
        <v>7.8E-2</v>
      </c>
      <c r="E493" s="16">
        <v>0.16</v>
      </c>
    </row>
    <row r="494" spans="1:5" x14ac:dyDescent="0.25">
      <c r="A494" s="14">
        <v>1009</v>
      </c>
      <c r="B494" s="15">
        <v>60</v>
      </c>
      <c r="C494" s="15">
        <v>0</v>
      </c>
      <c r="D494" s="15">
        <v>8.1000000000000003E-2</v>
      </c>
      <c r="E494" s="16">
        <v>0</v>
      </c>
    </row>
    <row r="495" spans="1:5" s="1" customFormat="1" x14ac:dyDescent="0.25">
      <c r="A495" s="17">
        <v>1012</v>
      </c>
      <c r="B495" s="18">
        <v>0</v>
      </c>
      <c r="C495" s="18">
        <v>3.3</v>
      </c>
      <c r="D495" s="18">
        <v>1.7999999999999999E-2</v>
      </c>
      <c r="E495" s="19">
        <v>0</v>
      </c>
    </row>
    <row r="496" spans="1:5" x14ac:dyDescent="0.25">
      <c r="A496" s="14">
        <v>1012</v>
      </c>
      <c r="B496" s="15">
        <v>15</v>
      </c>
      <c r="C496" s="15">
        <v>3.2</v>
      </c>
      <c r="D496" s="15">
        <v>1.7999999999999999E-2</v>
      </c>
      <c r="E496" s="16">
        <v>0.28999999999999998</v>
      </c>
    </row>
    <row r="497" spans="1:5" x14ac:dyDescent="0.25">
      <c r="A497" s="14">
        <v>1012</v>
      </c>
      <c r="B497" s="15">
        <v>20</v>
      </c>
      <c r="C497" s="15">
        <v>3.1</v>
      </c>
      <c r="D497" s="15">
        <v>1.9E-2</v>
      </c>
      <c r="E497" s="16">
        <v>0.36</v>
      </c>
    </row>
    <row r="498" spans="1:5" x14ac:dyDescent="0.25">
      <c r="A498" s="14">
        <v>1012</v>
      </c>
      <c r="B498" s="15">
        <v>30</v>
      </c>
      <c r="C498" s="15">
        <v>2.7</v>
      </c>
      <c r="D498" s="15">
        <v>1.9E-2</v>
      </c>
      <c r="E498" s="16">
        <v>0.48</v>
      </c>
    </row>
    <row r="499" spans="1:5" x14ac:dyDescent="0.25">
      <c r="A499" s="14">
        <v>1012</v>
      </c>
      <c r="B499" s="15">
        <v>40</v>
      </c>
      <c r="C499" s="15">
        <v>2</v>
      </c>
      <c r="D499" s="15">
        <v>1.9E-2</v>
      </c>
      <c r="E499" s="16">
        <v>0.47</v>
      </c>
    </row>
    <row r="500" spans="1:5" x14ac:dyDescent="0.25">
      <c r="A500" s="14">
        <v>1012</v>
      </c>
      <c r="B500" s="15">
        <v>50</v>
      </c>
      <c r="C500" s="15">
        <v>0.8</v>
      </c>
      <c r="D500" s="15">
        <v>0.02</v>
      </c>
      <c r="E500" s="16">
        <v>0.23</v>
      </c>
    </row>
    <row r="501" spans="1:5" ht="15.75" thickBot="1" x14ac:dyDescent="0.3">
      <c r="A501" s="14">
        <v>1012</v>
      </c>
      <c r="B501" s="15">
        <v>55</v>
      </c>
      <c r="C501" s="15">
        <v>0</v>
      </c>
      <c r="D501" s="15">
        <v>2.1999999999999999E-2</v>
      </c>
      <c r="E501" s="16">
        <v>0</v>
      </c>
    </row>
    <row r="502" spans="1:5" s="1" customFormat="1" x14ac:dyDescent="0.25">
      <c r="A502" s="20">
        <v>1016</v>
      </c>
      <c r="B502" s="21">
        <v>0</v>
      </c>
      <c r="C502" s="21">
        <v>2.8</v>
      </c>
      <c r="D502" s="21">
        <v>1.4999999999999999E-2</v>
      </c>
      <c r="E502" s="22">
        <v>0</v>
      </c>
    </row>
    <row r="503" spans="1:5" x14ac:dyDescent="0.25">
      <c r="A503" s="14">
        <v>1016</v>
      </c>
      <c r="B503" s="15">
        <v>7</v>
      </c>
      <c r="C503" s="15">
        <v>2.6</v>
      </c>
      <c r="D503" s="15">
        <v>1.6E-2</v>
      </c>
      <c r="E503" s="16">
        <v>0.13</v>
      </c>
    </row>
    <row r="504" spans="1:5" x14ac:dyDescent="0.25">
      <c r="A504" s="14">
        <v>1016</v>
      </c>
      <c r="B504" s="15">
        <v>15</v>
      </c>
      <c r="C504" s="15">
        <v>2.8</v>
      </c>
      <c r="D504" s="15">
        <v>1.7999999999999999E-2</v>
      </c>
      <c r="E504" s="16">
        <v>0.26</v>
      </c>
    </row>
    <row r="505" spans="1:5" x14ac:dyDescent="0.25">
      <c r="A505" s="14">
        <v>1016</v>
      </c>
      <c r="B505" s="15">
        <v>35</v>
      </c>
      <c r="C505" s="15">
        <v>3</v>
      </c>
      <c r="D505" s="15">
        <v>2.3E-2</v>
      </c>
      <c r="E505" s="16">
        <v>0.53</v>
      </c>
    </row>
    <row r="506" spans="1:5" x14ac:dyDescent="0.25">
      <c r="A506" s="14">
        <v>1016</v>
      </c>
      <c r="B506" s="15">
        <v>50</v>
      </c>
      <c r="C506" s="15">
        <v>2.8</v>
      </c>
      <c r="D506" s="15">
        <v>2.5000000000000001E-2</v>
      </c>
      <c r="E506" s="16">
        <v>0.61</v>
      </c>
    </row>
    <row r="507" spans="1:5" x14ac:dyDescent="0.25">
      <c r="A507" s="14">
        <v>1016</v>
      </c>
      <c r="B507" s="15">
        <v>65</v>
      </c>
      <c r="C507" s="15">
        <v>1.7</v>
      </c>
      <c r="D507" s="15">
        <v>2.5999999999999999E-2</v>
      </c>
      <c r="E507" s="16">
        <v>0.48</v>
      </c>
    </row>
    <row r="508" spans="1:5" x14ac:dyDescent="0.25">
      <c r="A508" s="14">
        <v>1016</v>
      </c>
      <c r="B508" s="15">
        <v>70</v>
      </c>
      <c r="C508" s="15">
        <v>1.2</v>
      </c>
      <c r="D508" s="15">
        <v>2.7E-2</v>
      </c>
      <c r="E508" s="16">
        <v>0.38</v>
      </c>
    </row>
    <row r="509" spans="1:5" ht="15.75" thickBot="1" x14ac:dyDescent="0.3">
      <c r="A509" s="2">
        <v>1016</v>
      </c>
      <c r="B509" s="3">
        <v>85</v>
      </c>
      <c r="C509" s="3">
        <v>0</v>
      </c>
      <c r="D509" s="3">
        <v>0.03</v>
      </c>
      <c r="E509" s="4">
        <v>0</v>
      </c>
    </row>
    <row r="510" spans="1:5" s="1" customFormat="1" x14ac:dyDescent="0.25">
      <c r="A510" s="20">
        <v>1025</v>
      </c>
      <c r="B510" s="21">
        <v>0</v>
      </c>
      <c r="C510" s="21">
        <v>5</v>
      </c>
      <c r="D510" s="21">
        <v>5.6000000000000001E-2</v>
      </c>
      <c r="E510" s="22">
        <v>0</v>
      </c>
    </row>
    <row r="511" spans="1:5" x14ac:dyDescent="0.25">
      <c r="A511" s="14">
        <v>1025</v>
      </c>
      <c r="B511" s="15">
        <v>30</v>
      </c>
      <c r="C511" s="15">
        <v>4.9000000000000004</v>
      </c>
      <c r="D511" s="15">
        <v>5.8999999999999997E-2</v>
      </c>
      <c r="E511" s="16">
        <v>0.28999999999999998</v>
      </c>
    </row>
    <row r="512" spans="1:5" x14ac:dyDescent="0.25">
      <c r="A512" s="14">
        <v>1025</v>
      </c>
      <c r="B512" s="15">
        <v>70</v>
      </c>
      <c r="C512" s="15">
        <v>4.7</v>
      </c>
      <c r="D512" s="15">
        <v>7.0999999999999994E-2</v>
      </c>
      <c r="E512" s="16">
        <v>0.55000000000000004</v>
      </c>
    </row>
    <row r="513" spans="1:5" x14ac:dyDescent="0.25">
      <c r="A513" s="14">
        <v>1025</v>
      </c>
      <c r="B513" s="15">
        <v>100</v>
      </c>
      <c r="C513" s="15">
        <v>4.2</v>
      </c>
      <c r="D513" s="15">
        <v>7.6999999999999999E-2</v>
      </c>
      <c r="E513" s="16">
        <v>0.65</v>
      </c>
    </row>
    <row r="514" spans="1:5" x14ac:dyDescent="0.25">
      <c r="A514" s="14">
        <v>1025</v>
      </c>
      <c r="B514" s="15">
        <v>140</v>
      </c>
      <c r="C514" s="15">
        <v>2.9</v>
      </c>
      <c r="D514" s="15">
        <v>0.08</v>
      </c>
      <c r="E514" s="16">
        <v>0.61</v>
      </c>
    </row>
    <row r="515" spans="1:5" x14ac:dyDescent="0.25">
      <c r="A515" s="14">
        <v>1025</v>
      </c>
      <c r="B515" s="15">
        <v>180</v>
      </c>
      <c r="C515" s="15">
        <v>1.3</v>
      </c>
      <c r="D515" s="15">
        <v>7.3999999999999996E-2</v>
      </c>
      <c r="E515" s="16">
        <v>0.39</v>
      </c>
    </row>
    <row r="516" spans="1:5" ht="15.75" thickBot="1" x14ac:dyDescent="0.3">
      <c r="A516" s="2">
        <v>1025</v>
      </c>
      <c r="B516" s="3">
        <v>200</v>
      </c>
      <c r="C516" s="3">
        <v>0</v>
      </c>
      <c r="D516" s="3">
        <v>0.08</v>
      </c>
      <c r="E516" s="4">
        <v>0</v>
      </c>
    </row>
    <row r="517" spans="1:5" x14ac:dyDescent="0.25">
      <c r="A517" s="116">
        <f>'68'!AQ5</f>
        <v>2068</v>
      </c>
      <c r="B517" s="116">
        <f>'68'!AR5</f>
        <v>0</v>
      </c>
      <c r="C517" s="116">
        <f>'68'!AS5</f>
        <v>8.3927395929999999</v>
      </c>
      <c r="D517" s="116">
        <f>'68'!AT5</f>
        <v>0.1061379239</v>
      </c>
      <c r="E517" s="116">
        <f>'68'!AU5</f>
        <v>0</v>
      </c>
    </row>
    <row r="518" spans="1:5" x14ac:dyDescent="0.25">
      <c r="A518" s="116">
        <f>'68'!AQ6</f>
        <v>2068</v>
      </c>
      <c r="B518" s="116">
        <f>'68'!AR6</f>
        <v>18.5</v>
      </c>
      <c r="C518" s="116">
        <f>'68'!AS6</f>
        <v>8.5722069290793588</v>
      </c>
      <c r="D518" s="116">
        <f>'68'!AT6</f>
        <v>0.11384780881719848</v>
      </c>
      <c r="E518" s="116">
        <f>'68'!AU6</f>
        <v>0.15859117838083811</v>
      </c>
    </row>
    <row r="519" spans="1:5" x14ac:dyDescent="0.25">
      <c r="A519" s="116">
        <f>'68'!AQ7</f>
        <v>2068</v>
      </c>
      <c r="B519" s="116">
        <f>'68'!AR7</f>
        <v>37</v>
      </c>
      <c r="C519" s="116">
        <f>'68'!AS7</f>
        <v>8.6801812279521471</v>
      </c>
      <c r="D519" s="116">
        <f>'68'!AT7</f>
        <v>0.12062753178492813</v>
      </c>
      <c r="E519" s="116">
        <f>'68'!AU7</f>
        <v>0.30169261270292064</v>
      </c>
    </row>
    <row r="520" spans="1:5" x14ac:dyDescent="0.25">
      <c r="A520" s="116">
        <f>'68'!AQ8</f>
        <v>2068</v>
      </c>
      <c r="B520" s="116">
        <f>'68'!AR8</f>
        <v>55.5</v>
      </c>
      <c r="C520" s="116">
        <f>'68'!AS8</f>
        <v>8.5872617323178115</v>
      </c>
      <c r="D520" s="116">
        <f>'68'!AT8</f>
        <v>0.1272013353122837</v>
      </c>
      <c r="E520" s="116">
        <f>'68'!AU8</f>
        <v>0.42324710910542324</v>
      </c>
    </row>
    <row r="521" spans="1:5" x14ac:dyDescent="0.25">
      <c r="A521" s="116">
        <f>'68'!AQ9</f>
        <v>2068</v>
      </c>
      <c r="B521" s="116">
        <f>'68'!AR9</f>
        <v>74</v>
      </c>
      <c r="C521" s="116">
        <f>'68'!AS9</f>
        <v>8.2590920916768571</v>
      </c>
      <c r="D521" s="116">
        <f>'68'!AT9</f>
        <v>0.13411716467094512</v>
      </c>
      <c r="E521" s="116">
        <f>'68'!AU9</f>
        <v>0.51573777387544972</v>
      </c>
    </row>
    <row r="522" spans="1:5" x14ac:dyDescent="0.25">
      <c r="A522" s="116">
        <f>'68'!AQ10</f>
        <v>2068</v>
      </c>
      <c r="B522" s="116">
        <f>'68'!AR10</f>
        <v>92.5</v>
      </c>
      <c r="C522" s="116">
        <f>'68'!AS10</f>
        <v>7.6984262980788793</v>
      </c>
      <c r="D522" s="116">
        <f>'68'!AT10</f>
        <v>0.14174673533514681</v>
      </c>
      <c r="E522" s="116">
        <f>'68'!AU10</f>
        <v>0.57135414957708475</v>
      </c>
    </row>
    <row r="523" spans="1:5" x14ac:dyDescent="0.25">
      <c r="A523" s="116">
        <f>'68'!AQ11</f>
        <v>2068</v>
      </c>
      <c r="B523" s="116">
        <f>'68'!AR11</f>
        <v>111</v>
      </c>
      <c r="C523" s="116">
        <f>'68'!AS11</f>
        <v>6.9023570566737691</v>
      </c>
      <c r="D523" s="116">
        <f>'68'!AT11</f>
        <v>0.15028549400019486</v>
      </c>
      <c r="E523" s="116">
        <f>'68'!AU11</f>
        <v>0.581992215128188</v>
      </c>
    </row>
    <row r="524" spans="1:5" x14ac:dyDescent="0.25">
      <c r="A524" s="116">
        <f>'68'!AQ12</f>
        <v>2068</v>
      </c>
      <c r="B524" s="116">
        <f>'68'!AR12</f>
        <v>129.5</v>
      </c>
      <c r="C524" s="116">
        <f>'68'!AS12</f>
        <v>5.8346886172029615</v>
      </c>
      <c r="D524" s="116">
        <f>'68'!AT12</f>
        <v>0.15975262818193106</v>
      </c>
      <c r="E524" s="116">
        <f>'68'!AU12</f>
        <v>0.53925438582017493</v>
      </c>
    </row>
    <row r="525" spans="1:5" x14ac:dyDescent="0.25">
      <c r="A525" s="116">
        <f>'68'!AQ13</f>
        <v>2068</v>
      </c>
      <c r="B525" s="116">
        <f>'68'!AR13</f>
        <v>148</v>
      </c>
      <c r="C525" s="116">
        <f>'68'!AS13</f>
        <v>4.4134553038576563</v>
      </c>
      <c r="D525" s="116">
        <f>'68'!AT13</f>
        <v>0.16999106615720766</v>
      </c>
      <c r="E525" s="116">
        <f>'68'!AU13</f>
        <v>0.43444951332474463</v>
      </c>
    </row>
    <row r="526" spans="1:5" x14ac:dyDescent="0.25">
      <c r="A526" s="116">
        <f>'68'!AQ14</f>
        <v>2068</v>
      </c>
      <c r="B526" s="116">
        <f>'68'!AR14</f>
        <v>166.5</v>
      </c>
      <c r="C526" s="116">
        <f>'68'!AS14</f>
        <v>2.5135859236059614</v>
      </c>
      <c r="D526" s="116">
        <f>'68'!AT14</f>
        <v>0.18066730066945286</v>
      </c>
      <c r="E526" s="116">
        <f>'68'!AU14</f>
        <v>0.25859288569663874</v>
      </c>
    </row>
    <row r="527" spans="1:5" x14ac:dyDescent="0.25">
      <c r="A527" s="116">
        <f>'68'!AQ15</f>
        <v>2068</v>
      </c>
      <c r="B527" s="116">
        <f>'68'!AR15</f>
        <v>185</v>
      </c>
      <c r="C527" s="116">
        <f>'68'!AS15</f>
        <v>0</v>
      </c>
      <c r="D527" s="116">
        <f>'68'!AT15</f>
        <v>0.19127226344460491</v>
      </c>
      <c r="E527" s="116">
        <f>'68'!AU15</f>
        <v>0</v>
      </c>
    </row>
    <row r="528" spans="1:5" x14ac:dyDescent="0.25">
      <c r="A528" s="117">
        <f>'80'!AQ5</f>
        <v>2080</v>
      </c>
      <c r="B528" s="117">
        <f>'80'!AR5</f>
        <v>0</v>
      </c>
      <c r="C528" s="117">
        <f>'80'!AS5</f>
        <v>6.610528854</v>
      </c>
      <c r="D528" s="117">
        <f>'80'!AT5</f>
        <v>0.149076087</v>
      </c>
      <c r="E528" s="117">
        <f>'80'!AU5</f>
        <v>0</v>
      </c>
    </row>
    <row r="529" spans="1:5" x14ac:dyDescent="0.25">
      <c r="A529" s="117">
        <f>'80'!AQ6</f>
        <v>2080</v>
      </c>
      <c r="B529" s="117">
        <f>'80'!AR6</f>
        <v>40.5</v>
      </c>
      <c r="C529" s="117">
        <f>'80'!AS6</f>
        <v>6.4218466909632728</v>
      </c>
      <c r="D529" s="117">
        <f>'80'!AT6</f>
        <v>0.17780032173555049</v>
      </c>
      <c r="E529" s="117">
        <f>'80'!AU6</f>
        <v>0.16871479874348208</v>
      </c>
    </row>
    <row r="530" spans="1:5" x14ac:dyDescent="0.25">
      <c r="A530" s="117">
        <f>'80'!AQ7</f>
        <v>2080</v>
      </c>
      <c r="B530" s="117">
        <f>'80'!AR7</f>
        <v>81</v>
      </c>
      <c r="C530" s="117">
        <f>'80'!AS7</f>
        <v>6.2517661113853586</v>
      </c>
      <c r="D530" s="117">
        <f>'80'!AT7</f>
        <v>0.2102684636917132</v>
      </c>
      <c r="E530" s="117">
        <f>'80'!AU7</f>
        <v>0.27156967875298027</v>
      </c>
    </row>
    <row r="531" spans="1:5" x14ac:dyDescent="0.25">
      <c r="A531" s="117">
        <f>'80'!AQ8</f>
        <v>2080</v>
      </c>
      <c r="B531" s="117">
        <f>'80'!AR8</f>
        <v>121.5</v>
      </c>
      <c r="C531" s="117">
        <f>'80'!AS8</f>
        <v>6.3676764799256089</v>
      </c>
      <c r="D531" s="117">
        <f>'80'!AT8</f>
        <v>0.24621705924456647</v>
      </c>
      <c r="E531" s="117">
        <f>'80'!AU8</f>
        <v>0.35536983255044385</v>
      </c>
    </row>
    <row r="532" spans="1:5" x14ac:dyDescent="0.25">
      <c r="A532" s="117">
        <f>'80'!AQ9</f>
        <v>2080</v>
      </c>
      <c r="B532" s="117">
        <f>'80'!AR9</f>
        <v>162</v>
      </c>
      <c r="C532" s="117">
        <f>'80'!AS9</f>
        <v>6.5486884185084513</v>
      </c>
      <c r="D532" s="117">
        <f>'80'!AT9</f>
        <v>0.28482949839241173</v>
      </c>
      <c r="E532" s="117">
        <f>'80'!AU9</f>
        <v>0.42233424573875833</v>
      </c>
    </row>
    <row r="533" spans="1:5" x14ac:dyDescent="0.25">
      <c r="A533" s="117">
        <f>'80'!AQ10</f>
        <v>2080</v>
      </c>
      <c r="B533" s="117">
        <f>'80'!AR10</f>
        <v>202.5</v>
      </c>
      <c r="C533" s="117">
        <f>'80'!AS10</f>
        <v>6.4862819857652241</v>
      </c>
      <c r="D533" s="117">
        <f>'80'!AT10</f>
        <v>0.32473571739031254</v>
      </c>
      <c r="E533" s="117">
        <f>'80'!AU10</f>
        <v>0.45918341912277327</v>
      </c>
    </row>
    <row r="534" spans="1:5" x14ac:dyDescent="0.25">
      <c r="A534" s="117">
        <f>'80'!AQ11</f>
        <v>2080</v>
      </c>
      <c r="B534" s="117">
        <f>'80'!AR11</f>
        <v>243</v>
      </c>
      <c r="C534" s="117">
        <f>'80'!AS11</f>
        <v>6.0123433732615528</v>
      </c>
      <c r="D534" s="117">
        <f>'80'!AT11</f>
        <v>0.36401371686972328</v>
      </c>
      <c r="E534" s="117">
        <f>'80'!AU11</f>
        <v>0.45663662868014437</v>
      </c>
    </row>
    <row r="535" spans="1:5" x14ac:dyDescent="0.25">
      <c r="A535" s="117">
        <f>'80'!AQ12</f>
        <v>2080</v>
      </c>
      <c r="B535" s="117">
        <f>'80'!AR12</f>
        <v>283.5</v>
      </c>
      <c r="C535" s="117">
        <f>'80'!AS12</f>
        <v>5.1582575038089677</v>
      </c>
      <c r="D535" s="117">
        <f>'80'!AT12</f>
        <v>0.40018650265148203</v>
      </c>
      <c r="E535" s="117">
        <f>'80'!AU12</f>
        <v>0.41627738225571892</v>
      </c>
    </row>
    <row r="536" spans="1:5" x14ac:dyDescent="0.25">
      <c r="A536" s="117">
        <f>'80'!AQ13</f>
        <v>2080</v>
      </c>
      <c r="B536" s="117">
        <f>'80'!AR13</f>
        <v>324</v>
      </c>
      <c r="C536" s="117">
        <f>'80'!AS13</f>
        <v>4.0427132621920334</v>
      </c>
      <c r="D536" s="117">
        <f>'80'!AT13</f>
        <v>0.43022515716134835</v>
      </c>
      <c r="E536" s="117">
        <f>'80'!AU13</f>
        <v>0.3447832194480982</v>
      </c>
    </row>
    <row r="537" spans="1:5" x14ac:dyDescent="0.25">
      <c r="A537" s="117">
        <f>'80'!AQ14</f>
        <v>2080</v>
      </c>
      <c r="B537" s="117">
        <f>'80'!AR14</f>
        <v>364.5</v>
      </c>
      <c r="C537" s="117">
        <f>'80'!AS14</f>
        <v>2.5890533476511512</v>
      </c>
      <c r="D537" s="117">
        <f>'80'!AT14</f>
        <v>0.45054730055959891</v>
      </c>
      <c r="E537" s="117">
        <f>'80'!AU14</f>
        <v>0.23552236009731389</v>
      </c>
    </row>
    <row r="538" spans="1:5" x14ac:dyDescent="0.25">
      <c r="A538" s="117">
        <f>'80'!AQ15</f>
        <v>2080</v>
      </c>
      <c r="B538" s="117">
        <f>'80'!AR15</f>
        <v>405</v>
      </c>
      <c r="C538" s="117">
        <f>'80'!AS15</f>
        <v>0</v>
      </c>
      <c r="D538" s="117">
        <f>'80'!AT15</f>
        <v>0.45701739846557093</v>
      </c>
      <c r="E538" s="117">
        <f>'80'!AU15</f>
        <v>0</v>
      </c>
    </row>
    <row r="539" spans="1:5" x14ac:dyDescent="0.25">
      <c r="A539" s="116">
        <f>'84'!AQ5</f>
        <v>2084</v>
      </c>
      <c r="B539" s="116">
        <f>'84'!AR5</f>
        <v>0</v>
      </c>
      <c r="C539" s="116">
        <f>'84'!AS5</f>
        <v>7.1882911409999997</v>
      </c>
      <c r="D539" s="116">
        <f>'84'!AT5</f>
        <v>0.2590423429</v>
      </c>
      <c r="E539" s="116">
        <f>'84'!AU5</f>
        <v>0</v>
      </c>
    </row>
    <row r="540" spans="1:5" x14ac:dyDescent="0.25">
      <c r="A540" s="116">
        <f>'84'!AQ6</f>
        <v>2084</v>
      </c>
      <c r="B540" s="116">
        <f>'84'!AR6</f>
        <v>63.4</v>
      </c>
      <c r="C540" s="116">
        <f>'84'!AS6</f>
        <v>7.6972794816019974</v>
      </c>
      <c r="D540" s="116">
        <f>'84'!AT6</f>
        <v>0.28262747815608602</v>
      </c>
      <c r="E540" s="116">
        <f>'84'!AU6</f>
        <v>0.19177324586022487</v>
      </c>
    </row>
    <row r="541" spans="1:5" x14ac:dyDescent="0.25">
      <c r="A541" s="116">
        <f>'84'!AQ7</f>
        <v>2084</v>
      </c>
      <c r="B541" s="116">
        <f>'84'!AR7</f>
        <v>126.8</v>
      </c>
      <c r="C541" s="116">
        <f>'84'!AS7</f>
        <v>7.2888887705995842</v>
      </c>
      <c r="D541" s="116">
        <f>'84'!AT7</f>
        <v>0.31838189889698676</v>
      </c>
      <c r="E541" s="116">
        <f>'84'!AU7</f>
        <v>0.33067631094038052</v>
      </c>
    </row>
    <row r="542" spans="1:5" x14ac:dyDescent="0.25">
      <c r="A542" s="116">
        <f>'84'!AQ8</f>
        <v>2084</v>
      </c>
      <c r="B542" s="116">
        <f>'84'!AR8</f>
        <v>190.2</v>
      </c>
      <c r="C542" s="116">
        <f>'84'!AS8</f>
        <v>6.9565443840795602</v>
      </c>
      <c r="D542" s="116">
        <f>'84'!AT8</f>
        <v>0.35573964820771298</v>
      </c>
      <c r="E542" s="116">
        <f>'84'!AU8</f>
        <v>0.4281738507065157</v>
      </c>
    </row>
    <row r="543" spans="1:5" x14ac:dyDescent="0.25">
      <c r="A543" s="116">
        <f>'84'!AQ9</f>
        <v>2084</v>
      </c>
      <c r="B543" s="116">
        <f>'84'!AR9</f>
        <v>253.6</v>
      </c>
      <c r="C543" s="116">
        <f>'84'!AS9</f>
        <v>6.8509929768467392</v>
      </c>
      <c r="D543" s="116">
        <f>'84'!AT9</f>
        <v>0.3871391140204537</v>
      </c>
      <c r="E543" s="116">
        <f>'84'!AU9</f>
        <v>0.51036050196184846</v>
      </c>
    </row>
    <row r="544" spans="1:5" x14ac:dyDescent="0.25">
      <c r="A544" s="116">
        <f>'84'!AQ10</f>
        <v>2084</v>
      </c>
      <c r="B544" s="116">
        <f>'84'!AR10</f>
        <v>317</v>
      </c>
      <c r="C544" s="116">
        <f>'84'!AS10</f>
        <v>6.7124574928558447</v>
      </c>
      <c r="D544" s="116">
        <f>'84'!AT10</f>
        <v>0.4079902374151716</v>
      </c>
      <c r="E544" s="116">
        <f>'84'!AU10</f>
        <v>0.5868521540961722</v>
      </c>
    </row>
    <row r="545" spans="1:5" x14ac:dyDescent="0.25">
      <c r="A545" s="116">
        <f>'84'!AQ11</f>
        <v>2084</v>
      </c>
      <c r="B545" s="116">
        <f>'84'!AR11</f>
        <v>380.4</v>
      </c>
      <c r="C545" s="116">
        <f>'84'!AS11</f>
        <v>6.1976449837691874</v>
      </c>
      <c r="D545" s="116">
        <f>'84'!AT11</f>
        <v>0.41669099178759045</v>
      </c>
      <c r="E545" s="116">
        <f>'84'!AU11</f>
        <v>0.63826673010238255</v>
      </c>
    </row>
    <row r="546" spans="1:5" x14ac:dyDescent="0.25">
      <c r="A546" s="116">
        <f>'84'!AQ12</f>
        <v>2084</v>
      </c>
      <c r="B546" s="116">
        <f>'84'!AR12</f>
        <v>443.8</v>
      </c>
      <c r="C546" s="116">
        <f>'84'!AS12</f>
        <v>5.100991964864277</v>
      </c>
      <c r="D546" s="116">
        <f>'84'!AT12</f>
        <v>0.41462405749384867</v>
      </c>
      <c r="E546" s="116">
        <f>'84'!AU12</f>
        <v>0.62187937701806417</v>
      </c>
    </row>
    <row r="547" spans="1:5" x14ac:dyDescent="0.25">
      <c r="A547" s="116">
        <f>'84'!AQ13</f>
        <v>2084</v>
      </c>
      <c r="B547" s="116">
        <f>'84'!AR13</f>
        <v>507.2</v>
      </c>
      <c r="C547" s="116">
        <f>'84'!AS13</f>
        <v>3.469289085858271</v>
      </c>
      <c r="D547" s="116">
        <f>'84'!AT13</f>
        <v>0.40616135745456777</v>
      </c>
      <c r="E547" s="116">
        <f>'84'!AU13</f>
        <v>0.49548277102106136</v>
      </c>
    </row>
    <row r="548" spans="1:5" x14ac:dyDescent="0.25">
      <c r="A548" s="116">
        <f>'84'!AQ14</f>
        <v>2084</v>
      </c>
      <c r="B548" s="116">
        <f>'84'!AR14</f>
        <v>570.6</v>
      </c>
      <c r="C548" s="116">
        <f>'84'!AS14</f>
        <v>1.6105297507335703</v>
      </c>
      <c r="D548" s="116">
        <f>'84'!AT14</f>
        <v>0.39864152069337194</v>
      </c>
      <c r="E548" s="116">
        <f>'84'!AU14</f>
        <v>0.25946530037833182</v>
      </c>
    </row>
    <row r="549" spans="1:5" x14ac:dyDescent="0.25">
      <c r="A549" s="116">
        <f>'84'!AQ15</f>
        <v>2084</v>
      </c>
      <c r="B549" s="116">
        <f>'84'!AR15</f>
        <v>634</v>
      </c>
      <c r="C549" s="116">
        <f>'84'!AS15</f>
        <v>0</v>
      </c>
      <c r="D549" s="116">
        <f>'84'!AT15</f>
        <v>0.40241479284346676</v>
      </c>
      <c r="E549" s="116">
        <f>'84'!AU15</f>
        <v>0</v>
      </c>
    </row>
    <row r="550" spans="1:5" x14ac:dyDescent="0.25">
      <c r="A550" s="117">
        <f>'86'!AQ5</f>
        <v>2086</v>
      </c>
      <c r="B550" s="117">
        <f>'86'!AR5</f>
        <v>0</v>
      </c>
      <c r="C550" s="117">
        <f>'86'!AS5</f>
        <v>7.2921954849999997</v>
      </c>
      <c r="D550" s="117">
        <f>'86'!AT5</f>
        <v>0.39735478669999996</v>
      </c>
      <c r="E550" s="117">
        <f>'86'!AU5</f>
        <v>0</v>
      </c>
    </row>
    <row r="551" spans="1:5" x14ac:dyDescent="0.25">
      <c r="A551" s="117">
        <f>'86'!AQ6</f>
        <v>2086</v>
      </c>
      <c r="B551" s="117">
        <f>'86'!AR6</f>
        <v>78</v>
      </c>
      <c r="C551" s="117">
        <f>'86'!AS6</f>
        <v>6.9269313008191009</v>
      </c>
      <c r="D551" s="117">
        <f>'86'!AT6</f>
        <v>0.45272509563822561</v>
      </c>
      <c r="E551" s="117">
        <f>'86'!AU6</f>
        <v>0.15262360989418955</v>
      </c>
    </row>
    <row r="552" spans="1:5" x14ac:dyDescent="0.25">
      <c r="A552" s="117">
        <f>'86'!AQ7</f>
        <v>2086</v>
      </c>
      <c r="B552" s="117">
        <f>'86'!AR7</f>
        <v>156</v>
      </c>
      <c r="C552" s="117">
        <f>'86'!AS7</f>
        <v>6.7147066612755548</v>
      </c>
      <c r="D552" s="117">
        <f>'86'!AT7</f>
        <v>0.46909065989566906</v>
      </c>
      <c r="E552" s="117">
        <f>'86'!AU7</f>
        <v>0.25899036993171543</v>
      </c>
    </row>
    <row r="553" spans="1:5" x14ac:dyDescent="0.25">
      <c r="A553" s="117">
        <f>'86'!AQ8</f>
        <v>2086</v>
      </c>
      <c r="B553" s="117">
        <f>'86'!AR8</f>
        <v>234</v>
      </c>
      <c r="C553" s="117">
        <f>'86'!AS8</f>
        <v>6.3579730614561027</v>
      </c>
      <c r="D553" s="117">
        <f>'86'!AT8</f>
        <v>0.46829448050293887</v>
      </c>
      <c r="E553" s="117">
        <f>'86'!AU8</f>
        <v>0.34553468531997722</v>
      </c>
    </row>
    <row r="554" spans="1:5" x14ac:dyDescent="0.25">
      <c r="A554" s="117">
        <f>'86'!AQ9</f>
        <v>2086</v>
      </c>
      <c r="B554" s="117">
        <f>'86'!AR9</f>
        <v>312</v>
      </c>
      <c r="C554" s="117">
        <f>'86'!AS9</f>
        <v>5.879163732437978</v>
      </c>
      <c r="D554" s="117">
        <f>'86'!AT9</f>
        <v>0.46547966078286718</v>
      </c>
      <c r="E554" s="117">
        <f>'86'!AU9</f>
        <v>0.42896486206742535</v>
      </c>
    </row>
    <row r="555" spans="1:5" x14ac:dyDescent="0.25">
      <c r="A555" s="117">
        <f>'86'!AQ10</f>
        <v>2086</v>
      </c>
      <c r="B555" s="117">
        <f>'86'!AR10</f>
        <v>390</v>
      </c>
      <c r="C555" s="117">
        <f>'86'!AS10</f>
        <v>5.4140899577367838</v>
      </c>
      <c r="D555" s="117">
        <f>'86'!AT10</f>
        <v>0.46903006223783017</v>
      </c>
      <c r="E555" s="117">
        <f>'86'!AU10</f>
        <v>0.51172530375661163</v>
      </c>
    </row>
    <row r="556" spans="1:5" x14ac:dyDescent="0.25">
      <c r="A556" s="117">
        <f>'86'!AQ11</f>
        <v>2086</v>
      </c>
      <c r="B556" s="117">
        <f>'86'!AR11</f>
        <v>468</v>
      </c>
      <c r="C556" s="117">
        <f>'86'!AS11</f>
        <v>5.0538014280044203</v>
      </c>
      <c r="D556" s="117">
        <f>'86'!AT11</f>
        <v>0.48062985792069784</v>
      </c>
      <c r="E556" s="117">
        <f>'86'!AU11</f>
        <v>0.58204709766859974</v>
      </c>
    </row>
    <row r="557" spans="1:5" x14ac:dyDescent="0.25">
      <c r="A557" s="117">
        <f>'86'!AQ12</f>
        <v>2086</v>
      </c>
      <c r="B557" s="117">
        <f>'86'!AR12</f>
        <v>546</v>
      </c>
      <c r="C557" s="117">
        <f>'86'!AS12</f>
        <v>4.7326063950384221</v>
      </c>
      <c r="D557" s="117">
        <f>'86'!AT12</f>
        <v>0.49523373951220784</v>
      </c>
      <c r="E557" s="117">
        <f>'86'!AU12</f>
        <v>0.61390166681548464</v>
      </c>
    </row>
    <row r="558" spans="1:5" x14ac:dyDescent="0.25">
      <c r="A558" s="117">
        <f>'86'!AQ13</f>
        <v>2086</v>
      </c>
      <c r="B558" s="117">
        <f>'86'!AR13</f>
        <v>624</v>
      </c>
      <c r="C558" s="117">
        <f>'86'!AS13</f>
        <v>4.1651518421326239</v>
      </c>
      <c r="D558" s="117">
        <f>'86'!AT13</f>
        <v>0.50107294073945419</v>
      </c>
      <c r="E558" s="117">
        <f>'86'!AU13</f>
        <v>0.56702256297526676</v>
      </c>
    </row>
    <row r="559" spans="1:5" x14ac:dyDescent="0.25">
      <c r="A559" s="117">
        <f>'86'!AQ14</f>
        <v>2086</v>
      </c>
      <c r="B559" s="117">
        <f>'86'!AR14</f>
        <v>702</v>
      </c>
      <c r="C559" s="117">
        <f>'86'!AS14</f>
        <v>2.8300318527120245</v>
      </c>
      <c r="D559" s="117">
        <f>'86'!AT14</f>
        <v>0.47965485360177146</v>
      </c>
      <c r="E559" s="117">
        <f>'86'!AU14</f>
        <v>0.38690130854206078</v>
      </c>
    </row>
    <row r="560" spans="1:5" x14ac:dyDescent="0.25">
      <c r="A560" s="117">
        <f>'86'!AQ15</f>
        <v>2086</v>
      </c>
      <c r="B560" s="117">
        <f>'86'!AR15</f>
        <v>780</v>
      </c>
      <c r="C560" s="117">
        <f>'86'!AS15</f>
        <v>0</v>
      </c>
      <c r="D560" s="117">
        <f>'86'!AT15</f>
        <v>0.4057635206966238</v>
      </c>
      <c r="E560" s="117">
        <f>'86'!AU15</f>
        <v>0</v>
      </c>
    </row>
    <row r="561" spans="1:5" x14ac:dyDescent="0.25">
      <c r="A561" s="116">
        <f>'88'!AQ5</f>
        <v>2088</v>
      </c>
      <c r="B561" s="116">
        <f>'88'!AR5</f>
        <v>0</v>
      </c>
      <c r="C561" s="116">
        <f>'88'!AS5</f>
        <v>5.1002025040010102</v>
      </c>
      <c r="D561" s="116">
        <f>'88'!AT5</f>
        <v>0.35414945809999998</v>
      </c>
      <c r="E561" s="116">
        <f>'88'!AU5</f>
        <v>0</v>
      </c>
    </row>
    <row r="562" spans="1:5" x14ac:dyDescent="0.25">
      <c r="A562" s="116">
        <f>'88'!AQ6</f>
        <v>2088</v>
      </c>
      <c r="B562" s="116">
        <f>'88'!AR6</f>
        <v>105</v>
      </c>
      <c r="C562" s="116">
        <f>'88'!AS6</f>
        <v>5.1625756250225843</v>
      </c>
      <c r="D562" s="116">
        <f>'88'!AT6</f>
        <v>0.38625184383878869</v>
      </c>
      <c r="E562" s="116">
        <f>'88'!AU6</f>
        <v>0.16181741406277436</v>
      </c>
    </row>
    <row r="563" spans="1:5" x14ac:dyDescent="0.25">
      <c r="A563" s="116">
        <f>'88'!AQ7</f>
        <v>2088</v>
      </c>
      <c r="B563" s="116">
        <f>'88'!AR7</f>
        <v>210</v>
      </c>
      <c r="C563" s="116">
        <f>'88'!AS7</f>
        <v>5.3312786472101203</v>
      </c>
      <c r="D563" s="116">
        <f>'88'!AT7</f>
        <v>0.44868212465798468</v>
      </c>
      <c r="E563" s="116">
        <f>'88'!AU7</f>
        <v>0.28299563363727226</v>
      </c>
    </row>
    <row r="564" spans="1:5" x14ac:dyDescent="0.25">
      <c r="A564" s="116">
        <f>'88'!AQ8</f>
        <v>2088</v>
      </c>
      <c r="B564" s="116">
        <f>'88'!AR8</f>
        <v>315</v>
      </c>
      <c r="C564" s="116">
        <f>'88'!AS8</f>
        <v>5.3626810183006945</v>
      </c>
      <c r="D564" s="116">
        <f>'88'!AT8</f>
        <v>0.49207965530879827</v>
      </c>
      <c r="E564" s="116">
        <f>'88'!AU8</f>
        <v>0.38618440104550478</v>
      </c>
    </row>
    <row r="565" spans="1:5" x14ac:dyDescent="0.25">
      <c r="A565" s="116">
        <f>'88'!AQ9</f>
        <v>2088</v>
      </c>
      <c r="B565" s="116">
        <f>'88'!AR9</f>
        <v>420</v>
      </c>
      <c r="C565" s="116">
        <f>'88'!AS9</f>
        <v>5.0755997461648965</v>
      </c>
      <c r="D565" s="116">
        <f>'88'!AT9</f>
        <v>0.51381515836781233</v>
      </c>
      <c r="E565" s="116">
        <f>'88'!AU9</f>
        <v>0.47492461223667676</v>
      </c>
    </row>
    <row r="566" spans="1:5" x14ac:dyDescent="0.25">
      <c r="A566" s="116">
        <f>'88'!AQ10</f>
        <v>2088</v>
      </c>
      <c r="B566" s="116">
        <f>'88'!AR10</f>
        <v>525</v>
      </c>
      <c r="C566" s="116">
        <f>'88'!AS10</f>
        <v>4.8020908622471081</v>
      </c>
      <c r="D566" s="116">
        <f>'88'!AT10</f>
        <v>0.52728103286478079</v>
      </c>
      <c r="E566" s="116">
        <f>'88'!AU10</f>
        <v>0.54656030540000922</v>
      </c>
    </row>
    <row r="567" spans="1:5" x14ac:dyDescent="0.25">
      <c r="A567" s="116">
        <f>'88'!AQ11</f>
        <v>2088</v>
      </c>
      <c r="B567" s="116">
        <f>'88'!AR11</f>
        <v>630</v>
      </c>
      <c r="C567" s="116">
        <f>'88'!AS11</f>
        <v>4.5669035194385881</v>
      </c>
      <c r="D567" s="116">
        <f>'88'!AT11</f>
        <v>0.54177216760549785</v>
      </c>
      <c r="E567" s="116">
        <f>'88'!AU11</f>
        <v>0.59761276935040808</v>
      </c>
    </row>
    <row r="568" spans="1:5" x14ac:dyDescent="0.25">
      <c r="A568" s="116">
        <f>'88'!AQ12</f>
        <v>2088</v>
      </c>
      <c r="B568" s="116">
        <f>'88'!AR12</f>
        <v>735</v>
      </c>
      <c r="C568" s="116">
        <f>'88'!AS12</f>
        <v>4.0947967546806137</v>
      </c>
      <c r="D568" s="116">
        <f>'88'!AT12</f>
        <v>0.55299808743828793</v>
      </c>
      <c r="E568" s="116">
        <f>'88'!AU12</f>
        <v>0.61959051705776469</v>
      </c>
    </row>
    <row r="569" spans="1:5" x14ac:dyDescent="0.25">
      <c r="A569" s="116">
        <f>'88'!AQ13</f>
        <v>2088</v>
      </c>
      <c r="B569" s="116">
        <f>'88'!AR13</f>
        <v>840</v>
      </c>
      <c r="C569" s="116">
        <f>'88'!AS13</f>
        <v>3.2802563783152499</v>
      </c>
      <c r="D569" s="116">
        <f>'88'!AT13</f>
        <v>0.54415323555149764</v>
      </c>
      <c r="E569" s="116">
        <f>'88'!AU13</f>
        <v>0.58523540526907769</v>
      </c>
    </row>
    <row r="570" spans="1:5" x14ac:dyDescent="0.25">
      <c r="A570" s="116">
        <f>'88'!AQ14</f>
        <v>2088</v>
      </c>
      <c r="B570" s="116">
        <f>'88'!AR14</f>
        <v>945</v>
      </c>
      <c r="C570" s="116">
        <f>'88'!AS14</f>
        <v>2.0816120016054072</v>
      </c>
      <c r="D570" s="116">
        <f>'88'!AT14</f>
        <v>0.49766456545052029</v>
      </c>
      <c r="E570" s="116">
        <f>'88'!AU14</f>
        <v>0.42520415064158962</v>
      </c>
    </row>
    <row r="571" spans="1:5" x14ac:dyDescent="0.25">
      <c r="A571" s="116">
        <f>'88'!AQ15</f>
        <v>2088</v>
      </c>
      <c r="B571" s="116">
        <f>'88'!AR15</f>
        <v>1050</v>
      </c>
      <c r="C571" s="116">
        <f>'88'!AS15</f>
        <v>0</v>
      </c>
      <c r="D571" s="116">
        <f>'88'!AT15</f>
        <v>0.41749651392562376</v>
      </c>
      <c r="E571" s="116">
        <f>'88'!AU15</f>
        <v>0</v>
      </c>
    </row>
    <row r="572" spans="1:5" x14ac:dyDescent="0.25">
      <c r="A572">
        <f>'158'!AQ5</f>
        <v>2158</v>
      </c>
      <c r="B572">
        <f>'158'!AR5</f>
        <v>0</v>
      </c>
      <c r="C572">
        <f>'158'!AS5</f>
        <v>5.3266774119999996</v>
      </c>
      <c r="D572">
        <f>'158'!AT5</f>
        <v>5.4970734319999999E-2</v>
      </c>
      <c r="E572">
        <f>'158'!AU5</f>
        <v>0</v>
      </c>
    </row>
    <row r="573" spans="1:5" x14ac:dyDescent="0.25">
      <c r="A573">
        <f>'158'!AQ6</f>
        <v>2158</v>
      </c>
      <c r="B573">
        <f>'158'!AR6</f>
        <v>21.5</v>
      </c>
      <c r="C573">
        <f>'158'!AS6</f>
        <v>5.442391916831717</v>
      </c>
      <c r="D573">
        <f>'158'!AT6</f>
        <v>6.0851790948939492E-2</v>
      </c>
      <c r="E573">
        <f>'158'!AU6</f>
        <v>0.22341184070735218</v>
      </c>
    </row>
    <row r="574" spans="1:5" x14ac:dyDescent="0.25">
      <c r="A574">
        <f>'158'!AQ7</f>
        <v>2158</v>
      </c>
      <c r="B574">
        <f>'158'!AR7</f>
        <v>43</v>
      </c>
      <c r="C574">
        <f>'158'!AS7</f>
        <v>5.3908022785561363</v>
      </c>
      <c r="D574">
        <f>'158'!AT7</f>
        <v>7.1248603408174016E-2</v>
      </c>
      <c r="E574">
        <f>'158'!AU7</f>
        <v>0.3712964132378157</v>
      </c>
    </row>
    <row r="575" spans="1:5" x14ac:dyDescent="0.25">
      <c r="A575">
        <f>'158'!AQ8</f>
        <v>2158</v>
      </c>
      <c r="B575">
        <f>'158'!AR8</f>
        <v>64.5</v>
      </c>
      <c r="C575">
        <f>'158'!AS8</f>
        <v>5.3214392798026493</v>
      </c>
      <c r="D575">
        <f>'158'!AT8</f>
        <v>8.2761242299794216E-2</v>
      </c>
      <c r="E575">
        <f>'158'!AU8</f>
        <v>0.47397184935079834</v>
      </c>
    </row>
    <row r="576" spans="1:5" x14ac:dyDescent="0.25">
      <c r="A576">
        <f>'158'!AQ9</f>
        <v>2158</v>
      </c>
      <c r="B576">
        <f>'158'!AR9</f>
        <v>86</v>
      </c>
      <c r="C576">
        <f>'158'!AS9</f>
        <v>5.236861427389857</v>
      </c>
      <c r="D576">
        <f>'158'!AT9</f>
        <v>9.2916241571718072E-2</v>
      </c>
      <c r="E576">
        <f>'158'!AU9</f>
        <v>0.55390479945089499</v>
      </c>
    </row>
    <row r="577" spans="1:5" x14ac:dyDescent="0.25">
      <c r="A577">
        <f>'158'!AQ10</f>
        <v>2158</v>
      </c>
      <c r="B577">
        <f>'158'!AR10</f>
        <v>107.5</v>
      </c>
      <c r="C577">
        <f>'158'!AS10</f>
        <v>5.046930920446683</v>
      </c>
      <c r="D577">
        <f>'158'!AT10</f>
        <v>0.10014650550513073</v>
      </c>
      <c r="E577">
        <f>'158'!AU10</f>
        <v>0.617208046121825</v>
      </c>
    </row>
    <row r="578" spans="1:5" x14ac:dyDescent="0.25">
      <c r="A578">
        <f>'158'!AQ11</f>
        <v>2158</v>
      </c>
      <c r="B578">
        <f>'158'!AR11</f>
        <v>129</v>
      </c>
      <c r="C578">
        <f>'158'!AS11</f>
        <v>4.6261308149035516</v>
      </c>
      <c r="D578">
        <f>'158'!AT11</f>
        <v>0.10380670526325378</v>
      </c>
      <c r="E578">
        <f>'158'!AU11</f>
        <v>0.65162833234865591</v>
      </c>
    </row>
    <row r="579" spans="1:5" x14ac:dyDescent="0.25">
      <c r="A579">
        <f>'158'!AQ12</f>
        <v>2158</v>
      </c>
      <c r="B579">
        <f>'158'!AR12</f>
        <v>150.5</v>
      </c>
      <c r="C579">
        <f>'158'!AS12</f>
        <v>3.8714605663312969</v>
      </c>
      <c r="D579">
        <f>'158'!AT12</f>
        <v>0.10416462759868951</v>
      </c>
      <c r="E579">
        <f>'158'!AU12</f>
        <v>0.63124296722449003</v>
      </c>
    </row>
    <row r="580" spans="1:5" x14ac:dyDescent="0.25">
      <c r="A580">
        <f>'158'!AQ13</f>
        <v>2158</v>
      </c>
      <c r="B580">
        <f>'158'!AR13</f>
        <v>172</v>
      </c>
      <c r="C580">
        <f>'158'!AS13</f>
        <v>2.7638565260941474</v>
      </c>
      <c r="D580">
        <f>'158'!AT13</f>
        <v>0.10240512940588148</v>
      </c>
      <c r="E580">
        <f>'158'!AU13</f>
        <v>0.52786508233300322</v>
      </c>
    </row>
    <row r="581" spans="1:5" x14ac:dyDescent="0.25">
      <c r="A581">
        <f>'158'!AQ14</f>
        <v>2158</v>
      </c>
      <c r="B581">
        <f>'158'!AR14</f>
        <v>193.5</v>
      </c>
      <c r="C581">
        <f>'158'!AS14</f>
        <v>1.4302869959351212</v>
      </c>
      <c r="D581">
        <f>'158'!AT14</f>
        <v>0.10062952442454616</v>
      </c>
      <c r="E581">
        <f>'158'!AU14</f>
        <v>0.32905682829469257</v>
      </c>
    </row>
    <row r="582" spans="1:5" x14ac:dyDescent="0.25">
      <c r="A582">
        <f>'158'!AQ15</f>
        <v>2158</v>
      </c>
      <c r="B582">
        <f>'158'!AR15</f>
        <v>215</v>
      </c>
      <c r="C582">
        <f>'158'!AS15</f>
        <v>0</v>
      </c>
      <c r="D582">
        <f>'158'!AT15</f>
        <v>0.1018567045372782</v>
      </c>
      <c r="E582">
        <f>'158'!AU15</f>
        <v>0</v>
      </c>
    </row>
    <row r="583" spans="1:5" x14ac:dyDescent="0.25">
      <c r="A583" s="116">
        <f>'161'!AQ5</f>
        <v>2161</v>
      </c>
      <c r="B583" s="116">
        <f>'161'!AR5</f>
        <v>0</v>
      </c>
      <c r="C583" s="116">
        <f>'161'!AS5</f>
        <v>5.7498930829999999</v>
      </c>
      <c r="D583" s="116">
        <f>'161'!AT5</f>
        <v>0.12499232840000001</v>
      </c>
      <c r="E583" s="116">
        <f>'161'!AU5</f>
        <v>0</v>
      </c>
    </row>
    <row r="584" spans="1:5" x14ac:dyDescent="0.25">
      <c r="A584" s="116">
        <f>'161'!AQ6</f>
        <v>2161</v>
      </c>
      <c r="B584" s="116">
        <f>'161'!AR6</f>
        <v>30</v>
      </c>
      <c r="C584" s="116">
        <f>'161'!AS6</f>
        <v>5.7795053279968656</v>
      </c>
      <c r="D584" s="116">
        <f>'161'!AT6</f>
        <v>0.13790463851742552</v>
      </c>
      <c r="E584" s="116">
        <f>'161'!AU6</f>
        <v>0.13876748085381568</v>
      </c>
    </row>
    <row r="585" spans="1:5" x14ac:dyDescent="0.25">
      <c r="A585" s="116">
        <f>'161'!AQ7</f>
        <v>2161</v>
      </c>
      <c r="B585" s="116">
        <f>'161'!AR7</f>
        <v>60</v>
      </c>
      <c r="C585" s="116">
        <f>'161'!AS7</f>
        <v>5.7699731370642269</v>
      </c>
      <c r="D585" s="116">
        <f>'161'!AT7</f>
        <v>0.15103577174833904</v>
      </c>
      <c r="E585" s="116">
        <f>'161'!AU7</f>
        <v>0.25806517186220451</v>
      </c>
    </row>
    <row r="586" spans="1:5" x14ac:dyDescent="0.25">
      <c r="A586" s="116">
        <f>'161'!AQ8</f>
        <v>2161</v>
      </c>
      <c r="B586" s="116">
        <f>'161'!AR8</f>
        <v>90</v>
      </c>
      <c r="C586" s="116">
        <f>'161'!AS8</f>
        <v>5.7110046942918045</v>
      </c>
      <c r="D586" s="116">
        <f>'161'!AT8</f>
        <v>0.16670043544887025</v>
      </c>
      <c r="E586" s="116">
        <f>'161'!AU8</f>
        <v>0.35073941286903748</v>
      </c>
    </row>
    <row r="587" spans="1:5" x14ac:dyDescent="0.25">
      <c r="A587" s="116">
        <f>'161'!AQ9</f>
        <v>2161</v>
      </c>
      <c r="B587" s="116">
        <f>'161'!AR9</f>
        <v>120</v>
      </c>
      <c r="C587" s="116">
        <f>'161'!AS9</f>
        <v>5.5837150326468787</v>
      </c>
      <c r="D587" s="116">
        <f>'161'!AT9</f>
        <v>0.18218781766174588</v>
      </c>
      <c r="E587" s="116">
        <f>'161'!AU9</f>
        <v>0.41906083379925896</v>
      </c>
    </row>
    <row r="588" spans="1:5" x14ac:dyDescent="0.25">
      <c r="A588" s="116">
        <f>'161'!AQ10</f>
        <v>2161</v>
      </c>
      <c r="B588" s="116">
        <f>'161'!AR10</f>
        <v>150</v>
      </c>
      <c r="C588" s="116">
        <f>'161'!AS10</f>
        <v>5.3636947885120794</v>
      </c>
      <c r="D588" s="116">
        <f>'161'!AT10</f>
        <v>0.194227692780476</v>
      </c>
      <c r="E588" s="116">
        <f>'161'!AU10</f>
        <v>0.46981442456743722</v>
      </c>
    </row>
    <row r="589" spans="1:5" x14ac:dyDescent="0.25">
      <c r="A589" s="116">
        <f>'161'!AQ11</f>
        <v>2161</v>
      </c>
      <c r="B589" s="116">
        <f>'161'!AR11</f>
        <v>180</v>
      </c>
      <c r="C589" s="116">
        <f>'161'!AS11</f>
        <v>5.0144682995872678</v>
      </c>
      <c r="D589" s="116">
        <f>'161'!AT11</f>
        <v>0.20119752743933586</v>
      </c>
      <c r="E589" s="116">
        <f>'161'!AU11</f>
        <v>0.50753071768391766</v>
      </c>
    </row>
    <row r="590" spans="1:5" x14ac:dyDescent="0.25">
      <c r="A590" s="116">
        <f>'161'!AQ12</f>
        <v>2161</v>
      </c>
      <c r="B590" s="116">
        <f>'161'!AR12</f>
        <v>210</v>
      </c>
      <c r="C590" s="116">
        <f>'161'!AS12</f>
        <v>4.47134098539797</v>
      </c>
      <c r="D590" s="116">
        <f>'161'!AT12</f>
        <v>0.20310714411308972</v>
      </c>
      <c r="E590" s="116">
        <f>'161'!AU12</f>
        <v>0.52580479799658131</v>
      </c>
    </row>
    <row r="591" spans="1:5" x14ac:dyDescent="0.25">
      <c r="A591" s="116">
        <f>'161'!AQ13</f>
        <v>2161</v>
      </c>
      <c r="B591" s="116">
        <f>'161'!AR13</f>
        <v>240</v>
      </c>
      <c r="C591" s="116">
        <f>'161'!AS13</f>
        <v>3.6156360630475346</v>
      </c>
      <c r="D591" s="116">
        <f>'161'!AT13</f>
        <v>0.19933895377965691</v>
      </c>
      <c r="E591" s="116">
        <f>'161'!AU13</f>
        <v>0.49670259030278524</v>
      </c>
    </row>
    <row r="592" spans="1:5" x14ac:dyDescent="0.25">
      <c r="A592" s="116">
        <f>'161'!AQ14</f>
        <v>2161</v>
      </c>
      <c r="B592" s="116">
        <f>'161'!AR14</f>
        <v>270</v>
      </c>
      <c r="C592" s="116">
        <f>'161'!AS14</f>
        <v>2.2393203576025869</v>
      </c>
      <c r="D592" s="116">
        <f>'161'!AT14</f>
        <v>0.18415151101669239</v>
      </c>
      <c r="E592" s="116">
        <f>'161'!AU14</f>
        <v>0.35825373429073432</v>
      </c>
    </row>
    <row r="593" spans="1:5" x14ac:dyDescent="0.25">
      <c r="A593" s="116">
        <f>'161'!AQ15</f>
        <v>2161</v>
      </c>
      <c r="B593" s="116">
        <f>'161'!AR15</f>
        <v>300</v>
      </c>
      <c r="C593" s="116">
        <f>'161'!AS15</f>
        <v>0</v>
      </c>
      <c r="D593" s="116">
        <f>'161'!AT15</f>
        <v>0.13994452698799842</v>
      </c>
      <c r="E593" s="116">
        <f>'161'!AU15</f>
        <v>0</v>
      </c>
    </row>
    <row r="594" spans="1:5" x14ac:dyDescent="0.25">
      <c r="A594">
        <f>'166'!AQ5</f>
        <v>2166</v>
      </c>
      <c r="B594">
        <f>'166'!AR5</f>
        <v>0</v>
      </c>
      <c r="C594">
        <f>'166'!AS5</f>
        <v>5.9361764709999996</v>
      </c>
      <c r="D594">
        <f>'166'!AT5</f>
        <v>0.16450795090000001</v>
      </c>
      <c r="E594">
        <f>'166'!AU5</f>
        <v>0</v>
      </c>
    </row>
    <row r="595" spans="1:5" x14ac:dyDescent="0.25">
      <c r="A595">
        <f>'166'!AQ6</f>
        <v>2166</v>
      </c>
      <c r="B595">
        <f>'166'!AR6</f>
        <v>50</v>
      </c>
      <c r="C595">
        <f>'166'!AS6</f>
        <v>5.7628761625597393</v>
      </c>
      <c r="D595">
        <f>'166'!AT6</f>
        <v>0.16381763673750055</v>
      </c>
      <c r="E595">
        <f>'166'!AU6</f>
        <v>0.20180097227331531</v>
      </c>
    </row>
    <row r="596" spans="1:5" x14ac:dyDescent="0.25">
      <c r="A596">
        <f>'166'!AQ7</f>
        <v>2166</v>
      </c>
      <c r="B596">
        <f>'166'!AR7</f>
        <v>100</v>
      </c>
      <c r="C596">
        <f>'166'!AS7</f>
        <v>5.4755452928932202</v>
      </c>
      <c r="D596">
        <f>'166'!AT7</f>
        <v>0.16783800634990648</v>
      </c>
      <c r="E596">
        <f>'166'!AU7</f>
        <v>0.36954764818996783</v>
      </c>
    </row>
    <row r="597" spans="1:5" x14ac:dyDescent="0.25">
      <c r="A597">
        <f>'166'!AQ8</f>
        <v>2166</v>
      </c>
      <c r="B597">
        <f>'166'!AR8</f>
        <v>150</v>
      </c>
      <c r="C597">
        <f>'166'!AS8</f>
        <v>5.1278798915973267</v>
      </c>
      <c r="D597">
        <f>'166'!AT8</f>
        <v>0.17550085424396453</v>
      </c>
      <c r="E597">
        <f>'166'!AU8</f>
        <v>0.49534508898955182</v>
      </c>
    </row>
    <row r="598" spans="1:5" x14ac:dyDescent="0.25">
      <c r="A598">
        <f>'166'!AQ9</f>
        <v>2166</v>
      </c>
      <c r="B598">
        <f>'166'!AR9</f>
        <v>200</v>
      </c>
      <c r="C598">
        <f>'166'!AS9</f>
        <v>4.7645678596837486</v>
      </c>
      <c r="D598">
        <f>'166'!AT9</f>
        <v>0.18559652544240779</v>
      </c>
      <c r="E598">
        <f>'166'!AU9</f>
        <v>0.5823972374645412</v>
      </c>
    </row>
    <row r="599" spans="1:5" x14ac:dyDescent="0.25">
      <c r="A599">
        <f>'166'!AQ10</f>
        <v>2166</v>
      </c>
      <c r="B599">
        <f>'166'!AR10</f>
        <v>250</v>
      </c>
      <c r="C599">
        <f>'166'!AS10</f>
        <v>4.4070656679505316</v>
      </c>
      <c r="D599">
        <f>'166'!AT10</f>
        <v>0.1967735837606657</v>
      </c>
      <c r="E599">
        <f>'166'!AU10</f>
        <v>0.63743549612153461</v>
      </c>
    </row>
    <row r="600" spans="1:5" x14ac:dyDescent="0.25">
      <c r="A600">
        <f>'166'!AQ11</f>
        <v>2166</v>
      </c>
      <c r="B600">
        <f>'166'!AR11</f>
        <v>300</v>
      </c>
      <c r="C600">
        <f>'166'!AS11</f>
        <v>4.0394557255784704</v>
      </c>
      <c r="D600">
        <f>'166'!AT11</f>
        <v>0.207540477510332</v>
      </c>
      <c r="E600">
        <f>'166'!AU11</f>
        <v>0.6645511896448798</v>
      </c>
    </row>
    <row r="601" spans="1:5" x14ac:dyDescent="0.25">
      <c r="A601">
        <f>'166'!AQ12</f>
        <v>2166</v>
      </c>
      <c r="B601">
        <f>'166'!AR12</f>
        <v>350</v>
      </c>
      <c r="C601">
        <f>'166'!AS12</f>
        <v>3.5941188122386101</v>
      </c>
      <c r="D601">
        <f>'166'!AT12</f>
        <v>0.21626220265422544</v>
      </c>
      <c r="E601">
        <f>'166'!AU12</f>
        <v>0.65902817826664406</v>
      </c>
    </row>
    <row r="602" spans="1:5" x14ac:dyDescent="0.25">
      <c r="A602">
        <f>'166'!AQ13</f>
        <v>2166</v>
      </c>
      <c r="B602">
        <f>'166'!AR13</f>
        <v>400</v>
      </c>
      <c r="C602">
        <f>'166'!AS13</f>
        <v>2.9376463654525566</v>
      </c>
      <c r="D602">
        <f>'166'!AT13</f>
        <v>0.22116364248061843</v>
      </c>
      <c r="E602">
        <f>'166'!AU13</f>
        <v>0.6011755184964156</v>
      </c>
    </row>
    <row r="603" spans="1:5" x14ac:dyDescent="0.25">
      <c r="A603">
        <f>'166'!AQ14</f>
        <v>2166</v>
      </c>
      <c r="B603">
        <f>'166'!AR14</f>
        <v>450</v>
      </c>
      <c r="C603">
        <f>'166'!AS14</f>
        <v>1.8565744915970883</v>
      </c>
      <c r="D603">
        <f>'166'!AT14</f>
        <v>0.22032789707165432</v>
      </c>
      <c r="E603">
        <f>'166'!AU14</f>
        <v>0.45015984717538848</v>
      </c>
    </row>
    <row r="604" spans="1:5" x14ac:dyDescent="0.25">
      <c r="A604">
        <f>'166'!AQ15</f>
        <v>2166</v>
      </c>
      <c r="B604">
        <f>'166'!AR15</f>
        <v>500</v>
      </c>
      <c r="C604">
        <f>'166'!AS15</f>
        <v>0</v>
      </c>
      <c r="D604">
        <f>'166'!AT15</f>
        <v>0.21169661736750003</v>
      </c>
      <c r="E604">
        <f>'166'!AU15</f>
        <v>0</v>
      </c>
    </row>
    <row r="605" spans="1:5" x14ac:dyDescent="0.25">
      <c r="A605" s="116">
        <f>'168'!AQ5</f>
        <v>2168</v>
      </c>
      <c r="B605" s="116">
        <f>'168'!AR5</f>
        <v>0</v>
      </c>
      <c r="C605" s="116">
        <f>'168'!AS5</f>
        <v>5.9859841749999996</v>
      </c>
      <c r="D605" s="116">
        <f>'168'!AT5</f>
        <v>0.2136055392</v>
      </c>
      <c r="E605" s="116">
        <f>'168'!AU5</f>
        <v>0</v>
      </c>
    </row>
    <row r="606" spans="1:5" x14ac:dyDescent="0.25">
      <c r="A606" s="116">
        <f>'168'!AQ6</f>
        <v>2168</v>
      </c>
      <c r="B606" s="116">
        <f>'168'!AR6</f>
        <v>70</v>
      </c>
      <c r="C606" s="116">
        <f>'168'!AS6</f>
        <v>5.590490208674737</v>
      </c>
      <c r="D606" s="116">
        <f>'168'!AT6</f>
        <v>0.20630937159680704</v>
      </c>
      <c r="E606" s="116">
        <f>'168'!AU6</f>
        <v>0.2131898254472582</v>
      </c>
    </row>
    <row r="607" spans="1:5" x14ac:dyDescent="0.25">
      <c r="A607" s="116">
        <f>'168'!AQ7</f>
        <v>2168</v>
      </c>
      <c r="B607" s="116">
        <f>'168'!AR7</f>
        <v>140</v>
      </c>
      <c r="C607" s="116">
        <f>'168'!AS7</f>
        <v>5.0350741866876367</v>
      </c>
      <c r="D607" s="116">
        <f>'168'!AT7</f>
        <v>0.21082631601207469</v>
      </c>
      <c r="E607" s="116">
        <f>'168'!AU7</f>
        <v>0.37435902843492297</v>
      </c>
    </row>
    <row r="608" spans="1:5" x14ac:dyDescent="0.25">
      <c r="A608" s="116">
        <f>'168'!AQ8</f>
        <v>2168</v>
      </c>
      <c r="B608" s="116">
        <f>'168'!AR8</f>
        <v>210</v>
      </c>
      <c r="C608" s="116">
        <f>'168'!AS8</f>
        <v>4.6468579757070057</v>
      </c>
      <c r="D608" s="116">
        <f>'168'!AT8</f>
        <v>0.22465396217434885</v>
      </c>
      <c r="E608" s="116">
        <f>'168'!AU8</f>
        <v>0.49879606802470844</v>
      </c>
    </row>
    <row r="609" spans="1:5" x14ac:dyDescent="0.25">
      <c r="A609" s="116">
        <f>'168'!AQ9</f>
        <v>2168</v>
      </c>
      <c r="B609" s="116">
        <f>'168'!AR9</f>
        <v>280</v>
      </c>
      <c r="C609" s="116">
        <f>'168'!AS9</f>
        <v>4.4529664931627613</v>
      </c>
      <c r="D609" s="116">
        <f>'168'!AT9</f>
        <v>0.24435309888767071</v>
      </c>
      <c r="E609" s="116">
        <f>'168'!AU9</f>
        <v>0.59076493144408571</v>
      </c>
    </row>
    <row r="610" spans="1:5" x14ac:dyDescent="0.25">
      <c r="A610" s="116">
        <f>'168'!AQ10</f>
        <v>2168</v>
      </c>
      <c r="B610" s="116">
        <f>'168'!AR10</f>
        <v>350</v>
      </c>
      <c r="C610" s="116">
        <f>'168'!AS10</f>
        <v>4.2948119080589171</v>
      </c>
      <c r="D610" s="116">
        <f>'168'!AT10</f>
        <v>0.26554784349528049</v>
      </c>
      <c r="E610" s="116">
        <f>'168'!AU10</f>
        <v>0.64624941755387599</v>
      </c>
    </row>
    <row r="611" spans="1:5" x14ac:dyDescent="0.25">
      <c r="A611" s="116">
        <f>'168'!AQ11</f>
        <v>2168</v>
      </c>
      <c r="B611" s="116">
        <f>'168'!AR11</f>
        <v>420</v>
      </c>
      <c r="C611" s="116">
        <f>'168'!AS11</f>
        <v>3.9440965670541659</v>
      </c>
      <c r="D611" s="116">
        <f>'168'!AT11</f>
        <v>0.2829253696932697</v>
      </c>
      <c r="E611" s="116">
        <f>'168'!AU11</f>
        <v>0.65568495404405547</v>
      </c>
    </row>
    <row r="612" spans="1:5" x14ac:dyDescent="0.25">
      <c r="A612" s="116">
        <f>'168'!AQ12</f>
        <v>2168</v>
      </c>
      <c r="B612" s="116">
        <f>'168'!AR12</f>
        <v>490</v>
      </c>
      <c r="C612" s="116">
        <f>'168'!AS12</f>
        <v>3.2166259100881711</v>
      </c>
      <c r="D612" s="116">
        <f>'168'!AT12</f>
        <v>0.29023618455854994</v>
      </c>
      <c r="E612" s="116">
        <f>'168'!AU12</f>
        <v>0.60669045550979317</v>
      </c>
    </row>
    <row r="613" spans="1:5" x14ac:dyDescent="0.25">
      <c r="A613" s="116">
        <f>'168'!AQ13</f>
        <v>2168</v>
      </c>
      <c r="B613" s="116">
        <f>'168'!AR13</f>
        <v>560</v>
      </c>
      <c r="C613" s="116">
        <f>'168'!AS13</f>
        <v>2.0877481370226905</v>
      </c>
      <c r="D613" s="116">
        <f>'168'!AT13</f>
        <v>0.28029399296920682</v>
      </c>
      <c r="E613" s="116">
        <f>'168'!AU13</f>
        <v>0.48680020819713377</v>
      </c>
    </row>
    <row r="614" spans="1:5" x14ac:dyDescent="0.25">
      <c r="A614" s="116">
        <f>'168'!AQ14</f>
        <v>2168</v>
      </c>
      <c r="B614" s="116">
        <f>'168'!AR14</f>
        <v>630</v>
      </c>
      <c r="C614" s="116">
        <f>'168'!AS14</f>
        <v>0.80716515101407194</v>
      </c>
      <c r="D614" s="116">
        <f>'168'!AT14</f>
        <v>0.24497572080278021</v>
      </c>
      <c r="E614" s="116">
        <f>'168'!AU14</f>
        <v>0.28619574870038073</v>
      </c>
    </row>
    <row r="615" spans="1:5" x14ac:dyDescent="0.25">
      <c r="A615" s="116">
        <f>'168'!AQ15</f>
        <v>2168</v>
      </c>
      <c r="B615" s="116">
        <f>'168'!AR15</f>
        <v>700</v>
      </c>
      <c r="C615" s="116">
        <f>'168'!AS15</f>
        <v>0</v>
      </c>
      <c r="D615" s="116">
        <f>'168'!AT15</f>
        <v>0.1752215164831</v>
      </c>
      <c r="E615" s="116">
        <f>'168'!AU15</f>
        <v>0</v>
      </c>
    </row>
    <row r="616" spans="1:5" x14ac:dyDescent="0.25">
      <c r="A616">
        <f>'191'!AQ5</f>
        <v>2191</v>
      </c>
      <c r="B616">
        <f>'191'!AR5</f>
        <v>0</v>
      </c>
      <c r="C616">
        <f>'191'!AS5</f>
        <v>7.5681751740000003</v>
      </c>
      <c r="D616">
        <f>'191'!AT5</f>
        <v>0.19758204330000001</v>
      </c>
      <c r="E616">
        <f>'191'!AU5</f>
        <v>0</v>
      </c>
    </row>
    <row r="617" spans="1:5" x14ac:dyDescent="0.25">
      <c r="A617">
        <f>'191'!AQ6</f>
        <v>2191</v>
      </c>
      <c r="B617">
        <f>'191'!AR6</f>
        <v>54</v>
      </c>
      <c r="C617">
        <f>'191'!AS6</f>
        <v>7.2430122718256937</v>
      </c>
      <c r="D617">
        <f>'191'!AT6</f>
        <v>0.19609852837029859</v>
      </c>
      <c r="E617">
        <f>'191'!AU6</f>
        <v>0.22385708706768168</v>
      </c>
    </row>
    <row r="618" spans="1:5" x14ac:dyDescent="0.25">
      <c r="A618">
        <f>'191'!AQ7</f>
        <v>2191</v>
      </c>
      <c r="B618">
        <f>'191'!AR7</f>
        <v>108</v>
      </c>
      <c r="C618">
        <f>'191'!AS7</f>
        <v>6.682462689149637</v>
      </c>
      <c r="D618">
        <f>'191'!AT7</f>
        <v>0.19958983841667149</v>
      </c>
      <c r="E618">
        <f>'191'!AU7</f>
        <v>0.41321063452260703</v>
      </c>
    </row>
    <row r="619" spans="1:5" x14ac:dyDescent="0.25">
      <c r="A619">
        <f>'191'!AQ8</f>
        <v>2191</v>
      </c>
      <c r="B619">
        <f>'191'!AR8</f>
        <v>162</v>
      </c>
      <c r="C619">
        <f>'191'!AS8</f>
        <v>6.129620519006779</v>
      </c>
      <c r="D619">
        <f>'191'!AT8</f>
        <v>0.20585967185740464</v>
      </c>
      <c r="E619">
        <f>'191'!AU8</f>
        <v>0.55120635507038684</v>
      </c>
    </row>
    <row r="620" spans="1:5" x14ac:dyDescent="0.25">
      <c r="A620">
        <f>'191'!AQ9</f>
        <v>2191</v>
      </c>
      <c r="B620">
        <f>'191'!AR9</f>
        <v>216</v>
      </c>
      <c r="C620">
        <f>'191'!AS9</f>
        <v>5.562133405563225</v>
      </c>
      <c r="D620">
        <f>'191'!AT9</f>
        <v>0.21265559991984154</v>
      </c>
      <c r="E620">
        <f>'191'!AU9</f>
        <v>0.63883234052041937</v>
      </c>
    </row>
    <row r="621" spans="1:5" x14ac:dyDescent="0.25">
      <c r="A621">
        <f>'191'!AQ10</f>
        <v>2191</v>
      </c>
      <c r="B621">
        <f>'191'!AR10</f>
        <v>270</v>
      </c>
      <c r="C621">
        <f>'191'!AS10</f>
        <v>4.9060585196552156</v>
      </c>
      <c r="D621">
        <f>'191'!AT10</f>
        <v>0.21767328292735899</v>
      </c>
      <c r="E621">
        <f>'191'!AU10</f>
        <v>0.68580068498536728</v>
      </c>
    </row>
    <row r="622" spans="1:5" x14ac:dyDescent="0.25">
      <c r="A622">
        <f>'191'!AQ11</f>
        <v>2191</v>
      </c>
      <c r="B622">
        <f>'191'!AR11</f>
        <v>324</v>
      </c>
      <c r="C622">
        <f>'191'!AS11</f>
        <v>4.1497989261301766</v>
      </c>
      <c r="D622">
        <f>'191'!AT11</f>
        <v>0.21855225597432737</v>
      </c>
      <c r="E622">
        <f>'191'!AU11</f>
        <v>0.70060311069805459</v>
      </c>
    </row>
    <row r="623" spans="1:5" x14ac:dyDescent="0.25">
      <c r="A623">
        <f>'191'!AQ12</f>
        <v>2191</v>
      </c>
      <c r="B623">
        <f>'191'!AR12</f>
        <v>378</v>
      </c>
      <c r="C623">
        <f>'191'!AS12</f>
        <v>3.3572738848287638</v>
      </c>
      <c r="D623">
        <f>'191'!AT12</f>
        <v>0.21287803508943509</v>
      </c>
      <c r="E623">
        <f>'191'!AU12</f>
        <v>0.68056675197848615</v>
      </c>
    </row>
    <row r="624" spans="1:5" x14ac:dyDescent="0.25">
      <c r="A624">
        <f>'191'!AQ13</f>
        <v>2191</v>
      </c>
      <c r="B624">
        <f>'191'!AR13</f>
        <v>432</v>
      </c>
      <c r="C624">
        <f>'191'!AS13</f>
        <v>2.5807346929846835</v>
      </c>
      <c r="D624">
        <f>'191'!AT13</f>
        <v>0.1981816962615307</v>
      </c>
      <c r="E624">
        <f>'191'!AU13</f>
        <v>0.60191025459721559</v>
      </c>
    </row>
    <row r="625" spans="1:5" x14ac:dyDescent="0.25">
      <c r="A625">
        <f>'191'!AQ14</f>
        <v>2191</v>
      </c>
      <c r="B625">
        <f>'191'!AR14</f>
        <v>486</v>
      </c>
      <c r="C625">
        <f>'191'!AS14</f>
        <v>1.6731626484869582</v>
      </c>
      <c r="D625">
        <f>'191'!AT14</f>
        <v>0.17193987542552641</v>
      </c>
      <c r="E625">
        <f>'191'!AU14</f>
        <v>0.40979913913894789</v>
      </c>
    </row>
    <row r="626" spans="1:5" x14ac:dyDescent="0.25">
      <c r="A626">
        <f>'191'!AQ15</f>
        <v>2191</v>
      </c>
      <c r="B626">
        <f>'191'!AR15</f>
        <v>540</v>
      </c>
      <c r="C626">
        <f>'191'!AS15</f>
        <v>0</v>
      </c>
      <c r="D626">
        <f>'191'!AT15</f>
        <v>0.13157476845630561</v>
      </c>
      <c r="E626">
        <f>'191'!AU15</f>
        <v>0</v>
      </c>
    </row>
    <row r="627" spans="1:5" x14ac:dyDescent="0.25">
      <c r="A627" s="116">
        <f>'193'!AQ5</f>
        <v>2193</v>
      </c>
      <c r="B627" s="116">
        <f>'193'!AR5</f>
        <v>0</v>
      </c>
      <c r="C627" s="116">
        <f>'193'!AS5</f>
        <v>6.9916515840000004</v>
      </c>
      <c r="D627" s="116">
        <f>'193'!AT5</f>
        <v>0.30672850679999997</v>
      </c>
      <c r="E627" s="116">
        <f>'193'!AU5</f>
        <v>0</v>
      </c>
    </row>
    <row r="628" spans="1:5" x14ac:dyDescent="0.25">
      <c r="A628" s="116">
        <f>'193'!AQ6</f>
        <v>2193</v>
      </c>
      <c r="B628" s="116">
        <f>'193'!AR6</f>
        <v>67.7</v>
      </c>
      <c r="C628" s="116">
        <f>'193'!AS6</f>
        <v>7.2324033712186191</v>
      </c>
      <c r="D628" s="116">
        <f>'193'!AT6</f>
        <v>0.33160396379606139</v>
      </c>
      <c r="E628" s="116">
        <f>'193'!AU6</f>
        <v>0.16766935380199829</v>
      </c>
    </row>
    <row r="629" spans="1:5" x14ac:dyDescent="0.25">
      <c r="A629" s="116">
        <f>'193'!AQ7</f>
        <v>2193</v>
      </c>
      <c r="B629" s="116">
        <f>'193'!AR7</f>
        <v>135.4</v>
      </c>
      <c r="C629" s="116">
        <f>'193'!AS7</f>
        <v>7.1679458005236203</v>
      </c>
      <c r="D629" s="116">
        <f>'193'!AT7</f>
        <v>0.34840758536931621</v>
      </c>
      <c r="E629" s="116">
        <f>'193'!AU7</f>
        <v>0.31719675256688579</v>
      </c>
    </row>
    <row r="630" spans="1:5" x14ac:dyDescent="0.25">
      <c r="A630" s="116">
        <f>'193'!AQ8</f>
        <v>2193</v>
      </c>
      <c r="B630" s="116">
        <f>'193'!AR8</f>
        <v>203.1</v>
      </c>
      <c r="C630" s="116">
        <f>'193'!AS8</f>
        <v>6.8468282197543653</v>
      </c>
      <c r="D630" s="116">
        <f>'193'!AT8</f>
        <v>0.36172346193759747</v>
      </c>
      <c r="E630" s="116">
        <f>'193'!AU8</f>
        <v>0.43537773207132469</v>
      </c>
    </row>
    <row r="631" spans="1:5" x14ac:dyDescent="0.25">
      <c r="A631" s="116">
        <f>'193'!AQ9</f>
        <v>2193</v>
      </c>
      <c r="B631" s="116">
        <f>'193'!AR9</f>
        <v>270.8</v>
      </c>
      <c r="C631" s="116">
        <f>'193'!AS9</f>
        <v>6.3592867368424484</v>
      </c>
      <c r="D631" s="116">
        <f>'193'!AT9</f>
        <v>0.37442406203631429</v>
      </c>
      <c r="E631" s="116">
        <f>'193'!AU9</f>
        <v>0.52017641622842803</v>
      </c>
    </row>
    <row r="632" spans="1:5" x14ac:dyDescent="0.25">
      <c r="A632" s="116">
        <f>'193'!AQ10</f>
        <v>2193</v>
      </c>
      <c r="B632" s="116">
        <f>'193'!AR10</f>
        <v>338.5</v>
      </c>
      <c r="C632" s="116">
        <f>'193'!AS10</f>
        <v>5.7966128376550596</v>
      </c>
      <c r="D632" s="116">
        <f>'193'!AT10</f>
        <v>0.38767038560188982</v>
      </c>
      <c r="E632" s="116">
        <f>'193'!AU10</f>
        <v>0.57487273652493365</v>
      </c>
    </row>
    <row r="633" spans="1:5" x14ac:dyDescent="0.25">
      <c r="A633" s="116">
        <f>'193'!AQ11</f>
        <v>2193</v>
      </c>
      <c r="B633" s="116">
        <f>'193'!AR11</f>
        <v>406.2</v>
      </c>
      <c r="C633" s="116">
        <f>'193'!AS11</f>
        <v>5.2105154107022535</v>
      </c>
      <c r="D633" s="116">
        <f>'193'!AT11</f>
        <v>0.40090861174093795</v>
      </c>
      <c r="E633" s="116">
        <f>'193'!AU11</f>
        <v>0.6021090391942906</v>
      </c>
    </row>
    <row r="634" spans="1:5" x14ac:dyDescent="0.25">
      <c r="A634" s="116">
        <f>'193'!AQ12</f>
        <v>2193</v>
      </c>
      <c r="B634" s="116">
        <f>'193'!AR12</f>
        <v>473.9</v>
      </c>
      <c r="C634" s="116">
        <f>'193'!AS12</f>
        <v>4.5724989981422537</v>
      </c>
      <c r="D634" s="116">
        <f>'193'!AT12</f>
        <v>0.41187785155285772</v>
      </c>
      <c r="E634" s="116">
        <f>'193'!AU12</f>
        <v>0.59793676616711255</v>
      </c>
    </row>
    <row r="635" spans="1:5" x14ac:dyDescent="0.25">
      <c r="A635" s="116">
        <f>'193'!AQ13</f>
        <v>2193</v>
      </c>
      <c r="B635" s="116">
        <f>'193'!AR13</f>
        <v>541.6</v>
      </c>
      <c r="C635" s="116">
        <f>'193'!AS13</f>
        <v>3.7332223539584737</v>
      </c>
      <c r="D635" s="116">
        <f>'193'!AT13</f>
        <v>0.4166020821447507</v>
      </c>
      <c r="E635" s="116">
        <f>'193'!AU13</f>
        <v>0.54586322077618643</v>
      </c>
    </row>
    <row r="636" spans="1:5" x14ac:dyDescent="0.25">
      <c r="A636" s="116">
        <f>'193'!AQ14</f>
        <v>2193</v>
      </c>
      <c r="B636" s="116">
        <f>'193'!AR14</f>
        <v>609.29999999999995</v>
      </c>
      <c r="C636" s="116">
        <f>'193'!AS14</f>
        <v>2.3818691952410758</v>
      </c>
      <c r="D636" s="116">
        <f>'193'!AT14</f>
        <v>0.40939423526517732</v>
      </c>
      <c r="E636" s="116">
        <f>'193'!AU14</f>
        <v>0.41089810294005141</v>
      </c>
    </row>
    <row r="637" spans="1:5" x14ac:dyDescent="0.25">
      <c r="A637" s="116">
        <f>'193'!AQ15</f>
        <v>2193</v>
      </c>
      <c r="B637" s="116">
        <f>'193'!AR15</f>
        <v>677</v>
      </c>
      <c r="C637" s="116">
        <f>'193'!AS15</f>
        <v>0</v>
      </c>
      <c r="D637" s="116">
        <f>'193'!AT15</f>
        <v>0.38285537149976995</v>
      </c>
      <c r="E637" s="116">
        <f>'193'!AU15</f>
        <v>0</v>
      </c>
    </row>
    <row r="638" spans="1:5" x14ac:dyDescent="0.25">
      <c r="A638">
        <f>'89'!AQ5</f>
        <v>2089</v>
      </c>
      <c r="B638">
        <f>'89'!AR5</f>
        <v>0</v>
      </c>
      <c r="C638">
        <f>'89'!AS5</f>
        <v>7.9019829719999999</v>
      </c>
      <c r="D638">
        <f>'89'!AT5</f>
        <v>8.4422268910000001E-2</v>
      </c>
      <c r="E638">
        <f>'89'!AU5</f>
        <v>0</v>
      </c>
    </row>
    <row r="639" spans="1:5" x14ac:dyDescent="0.25">
      <c r="A639">
        <f>'89'!AQ6</f>
        <v>2089</v>
      </c>
      <c r="B639">
        <f>'89'!AR6</f>
        <v>13.6</v>
      </c>
      <c r="C639">
        <f>'89'!AS6</f>
        <v>7.9995138700822945</v>
      </c>
      <c r="D639">
        <f>'89'!AT6</f>
        <v>8.2133783574619659E-2</v>
      </c>
      <c r="E639">
        <f>'89'!AU6</f>
        <v>0.15006007633736484</v>
      </c>
    </row>
    <row r="640" spans="1:5" x14ac:dyDescent="0.25">
      <c r="A640">
        <f>'89'!AQ7</f>
        <v>2089</v>
      </c>
      <c r="B640">
        <f>'89'!AR7</f>
        <v>27.2</v>
      </c>
      <c r="C640">
        <f>'89'!AS7</f>
        <v>7.8670752168486207</v>
      </c>
      <c r="D640">
        <f>'89'!AT7</f>
        <v>8.3849711578562913E-2</v>
      </c>
      <c r="E640">
        <f>'89'!AU7</f>
        <v>0.2906409003597677</v>
      </c>
    </row>
    <row r="641" spans="1:5" x14ac:dyDescent="0.25">
      <c r="A641">
        <f>'89'!AQ8</f>
        <v>2089</v>
      </c>
      <c r="B641">
        <f>'89'!AR8</f>
        <v>40.799999999999997</v>
      </c>
      <c r="C641">
        <f>'89'!AS8</f>
        <v>7.6611795900245969</v>
      </c>
      <c r="D641">
        <f>'89'!AT8</f>
        <v>8.8243412187667014E-2</v>
      </c>
      <c r="E641">
        <f>'89'!AU8</f>
        <v>0.40339115475100196</v>
      </c>
    </row>
    <row r="642" spans="1:5" x14ac:dyDescent="0.25">
      <c r="A642">
        <f>'89'!AQ9</f>
        <v>2089</v>
      </c>
      <c r="B642">
        <f>'89'!AR9</f>
        <v>54.4</v>
      </c>
      <c r="C642">
        <f>'89'!AS9</f>
        <v>7.3943668644096299</v>
      </c>
      <c r="D642">
        <f>'89'!AT9</f>
        <v>9.4173324019780874E-2</v>
      </c>
      <c r="E642">
        <f>'89'!AU9</f>
        <v>0.48455887016755328</v>
      </c>
    </row>
    <row r="643" spans="1:5" x14ac:dyDescent="0.25">
      <c r="A643">
        <f>'89'!AQ10</f>
        <v>2089</v>
      </c>
      <c r="B643">
        <f>'89'!AR10</f>
        <v>68</v>
      </c>
      <c r="C643">
        <f>'89'!AS10</f>
        <v>7.0185859446157108</v>
      </c>
      <c r="D643">
        <f>'89'!AT10</f>
        <v>0.10068291410173696</v>
      </c>
      <c r="E643">
        <f>'89'!AU10</f>
        <v>0.53623533945525292</v>
      </c>
    </row>
    <row r="644" spans="1:5" x14ac:dyDescent="0.25">
      <c r="A644">
        <f>'89'!AQ11</f>
        <v>2089</v>
      </c>
      <c r="B644">
        <f>'89'!AR11</f>
        <v>81.599999999999994</v>
      </c>
      <c r="C644">
        <f>'89'!AS11</f>
        <v>6.4704311290095058</v>
      </c>
      <c r="D644">
        <f>'89'!AT11</f>
        <v>0.10700092229890827</v>
      </c>
      <c r="E644">
        <f>'89'!AU11</f>
        <v>0.55916506222843998</v>
      </c>
    </row>
    <row r="645" spans="1:5" x14ac:dyDescent="0.25">
      <c r="A645">
        <f>'89'!AQ12</f>
        <v>2089</v>
      </c>
      <c r="B645">
        <f>'89'!AR12</f>
        <v>95.2</v>
      </c>
      <c r="C645">
        <f>'89'!AS12</f>
        <v>5.6782458645376321</v>
      </c>
      <c r="D645">
        <f>'89'!AT12</f>
        <v>0.11254088039067414</v>
      </c>
      <c r="E645">
        <f>'89'!AU12</f>
        <v>0.5466797498625211</v>
      </c>
    </row>
    <row r="646" spans="1:5" x14ac:dyDescent="0.25">
      <c r="A646">
        <f>'89'!AQ13</f>
        <v>2089</v>
      </c>
      <c r="B646">
        <f>'89'!AR13</f>
        <v>108.8</v>
      </c>
      <c r="C646">
        <f>'89'!AS13</f>
        <v>4.5310847841679811</v>
      </c>
      <c r="D646">
        <f>'89'!AT13</f>
        <v>0.11690158881315335</v>
      </c>
      <c r="E646">
        <f>'89'!AU13</f>
        <v>0.47975653967699877</v>
      </c>
    </row>
    <row r="647" spans="1:5" x14ac:dyDescent="0.25">
      <c r="A647">
        <f>'89'!AQ14</f>
        <v>2089</v>
      </c>
      <c r="B647">
        <f>'89'!AR14</f>
        <v>122.4</v>
      </c>
      <c r="C647">
        <f>'89'!AS14</f>
        <v>2.8095372797737994</v>
      </c>
      <c r="D647">
        <f>'89'!AT14</f>
        <v>0.11986687942511785</v>
      </c>
      <c r="E647">
        <f>'89'!AU14</f>
        <v>0.3232003224214014</v>
      </c>
    </row>
    <row r="648" spans="1:5" x14ac:dyDescent="0.25">
      <c r="A648">
        <f>'89'!AQ15</f>
        <v>2089</v>
      </c>
      <c r="B648">
        <f>'89'!AR15</f>
        <v>136</v>
      </c>
      <c r="C648">
        <f>'89'!AS15</f>
        <v>0</v>
      </c>
      <c r="D648">
        <f>'89'!AT15</f>
        <v>0.12140566304904311</v>
      </c>
      <c r="E648">
        <f>'89'!AU15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649FB-4E23-42D6-B4DA-61513B46AB30}">
  <sheetPr codeName="Лист3"/>
  <dimension ref="A1:W60"/>
  <sheetViews>
    <sheetView topLeftCell="A10" zoomScale="70" zoomScaleNormal="70" workbookViewId="0">
      <selection activeCell="P65" sqref="P65"/>
    </sheetView>
  </sheetViews>
  <sheetFormatPr defaultRowHeight="15" x14ac:dyDescent="0.25"/>
  <cols>
    <col min="1" max="2" width="12.28515625" customWidth="1"/>
    <col min="3" max="3" width="16.28515625" customWidth="1"/>
    <col min="4" max="4" width="17" customWidth="1"/>
    <col min="5" max="5" width="16" customWidth="1"/>
    <col min="6" max="6" width="12.28515625" customWidth="1"/>
    <col min="7" max="7" width="12" customWidth="1"/>
    <col min="8" max="9" width="12.28515625" customWidth="1"/>
    <col min="10" max="10" width="13.85546875" customWidth="1"/>
    <col min="11" max="14" width="12.28515625" customWidth="1"/>
    <col min="15" max="15" width="13.140625" customWidth="1"/>
    <col min="16" max="16" width="14.7109375" customWidth="1"/>
    <col min="17" max="22" width="12.28515625" customWidth="1"/>
    <col min="23" max="23" width="14" customWidth="1"/>
  </cols>
  <sheetData>
    <row r="1" spans="1:23" x14ac:dyDescent="0.25">
      <c r="A1" s="23" t="s">
        <v>58</v>
      </c>
      <c r="B1" s="23"/>
      <c r="C1" s="23"/>
      <c r="D1" s="23"/>
      <c r="E1" s="23"/>
      <c r="F1" s="23">
        <f>COUNTA(5:5)</f>
        <v>23</v>
      </c>
      <c r="G1" s="23"/>
      <c r="H1" s="23" t="s">
        <v>98</v>
      </c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23" ht="15.75" thickBot="1" x14ac:dyDescent="0.3">
      <c r="A2" s="23" t="s">
        <v>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23" ht="45.75" thickBot="1" x14ac:dyDescent="0.3">
      <c r="A3" s="24" t="s">
        <v>0</v>
      </c>
      <c r="B3" s="25" t="s">
        <v>87</v>
      </c>
      <c r="C3" s="25" t="s">
        <v>1</v>
      </c>
      <c r="D3" s="25" t="s">
        <v>2</v>
      </c>
      <c r="E3" s="25" t="s">
        <v>3</v>
      </c>
      <c r="F3" s="25" t="s">
        <v>4</v>
      </c>
      <c r="G3" s="25" t="s">
        <v>59</v>
      </c>
      <c r="H3" s="25" t="s">
        <v>60</v>
      </c>
      <c r="I3" s="25" t="s">
        <v>90</v>
      </c>
      <c r="J3" s="25" t="s">
        <v>61</v>
      </c>
      <c r="K3" s="25" t="s">
        <v>5</v>
      </c>
      <c r="L3" s="25" t="s">
        <v>62</v>
      </c>
      <c r="M3" s="25" t="s">
        <v>63</v>
      </c>
      <c r="N3" s="25" t="s">
        <v>53</v>
      </c>
      <c r="O3" s="25" t="s">
        <v>64</v>
      </c>
      <c r="P3" s="25" t="s">
        <v>65</v>
      </c>
      <c r="Q3" s="25" t="s">
        <v>66</v>
      </c>
      <c r="R3" s="25" t="s">
        <v>67</v>
      </c>
      <c r="S3" s="25" t="s">
        <v>68</v>
      </c>
      <c r="T3" s="25" t="s">
        <v>69</v>
      </c>
      <c r="U3" s="25" t="s">
        <v>70</v>
      </c>
      <c r="V3" s="26" t="s">
        <v>71</v>
      </c>
      <c r="W3" s="42" t="s">
        <v>100</v>
      </c>
    </row>
    <row r="4" spans="1:23" ht="15.75" thickBot="1" x14ac:dyDescent="0.3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6"/>
    </row>
    <row r="5" spans="1:23" s="41" customFormat="1" ht="51" customHeight="1" thickBot="1" x14ac:dyDescent="0.3">
      <c r="A5" s="38" t="s">
        <v>0</v>
      </c>
      <c r="B5" s="39" t="s">
        <v>88</v>
      </c>
      <c r="C5" s="39" t="s">
        <v>72</v>
      </c>
      <c r="D5" s="39" t="s">
        <v>73</v>
      </c>
      <c r="E5" s="39" t="s">
        <v>74</v>
      </c>
      <c r="F5" s="39" t="s">
        <v>75</v>
      </c>
      <c r="G5" s="39" t="s">
        <v>76</v>
      </c>
      <c r="H5" s="39" t="s">
        <v>77</v>
      </c>
      <c r="I5" s="39" t="s">
        <v>91</v>
      </c>
      <c r="J5" s="39" t="s">
        <v>78</v>
      </c>
      <c r="K5" s="39" t="s">
        <v>79</v>
      </c>
      <c r="L5" s="39" t="s">
        <v>80</v>
      </c>
      <c r="M5" s="39" t="s">
        <v>92</v>
      </c>
      <c r="N5" s="39" t="s">
        <v>95</v>
      </c>
      <c r="O5" s="39" t="s">
        <v>93</v>
      </c>
      <c r="P5" s="39" t="s">
        <v>94</v>
      </c>
      <c r="Q5" s="122" t="s">
        <v>81</v>
      </c>
      <c r="R5" s="122" t="s">
        <v>82</v>
      </c>
      <c r="S5" s="122" t="s">
        <v>83</v>
      </c>
      <c r="T5" s="122" t="s">
        <v>85</v>
      </c>
      <c r="U5" s="122" t="s">
        <v>86</v>
      </c>
      <c r="V5" s="40" t="s">
        <v>84</v>
      </c>
      <c r="W5" s="43" t="s">
        <v>99</v>
      </c>
    </row>
    <row r="6" spans="1:23" x14ac:dyDescent="0.25">
      <c r="A6" s="33">
        <v>736</v>
      </c>
      <c r="B6" s="34" t="s">
        <v>89</v>
      </c>
      <c r="C6" s="34" t="s">
        <v>10</v>
      </c>
      <c r="D6" s="34" t="s">
        <v>11</v>
      </c>
      <c r="E6" s="34">
        <v>582</v>
      </c>
      <c r="F6" s="34">
        <v>30</v>
      </c>
      <c r="G6" s="34">
        <v>20</v>
      </c>
      <c r="H6" s="34">
        <v>40</v>
      </c>
      <c r="I6" s="35">
        <f>_xlfn.MAXIFS(db_ESP_curves!$B$6:$B$516,db_ESP_curves!$A$6:$A$516,A6)</f>
        <v>66</v>
      </c>
      <c r="J6" s="34">
        <v>2820</v>
      </c>
      <c r="K6" s="34">
        <v>50</v>
      </c>
      <c r="L6" s="44">
        <v>0.4</v>
      </c>
      <c r="M6" s="34">
        <v>3.5000000000000003E-2</v>
      </c>
      <c r="N6" s="36">
        <v>4</v>
      </c>
      <c r="O6" s="28">
        <f>VLOOKUP(N6,series!$A$2:$H$14,4,0)</f>
        <v>86</v>
      </c>
      <c r="P6" s="28">
        <f>VLOOKUP(N6,series!$A$2:$H$14,6,0)</f>
        <v>112.5</v>
      </c>
      <c r="Q6" s="121">
        <f>VLOOKUP(N6,series!$A$2:$H$14,7,0)</f>
        <v>17</v>
      </c>
      <c r="R6" s="123">
        <f>3.14*Q6*Q6/4</f>
        <v>226.86500000000001</v>
      </c>
      <c r="S6" s="28">
        <f>VLOOKUP(N6,series!$A$2:$H$14,8,0)/2</f>
        <v>75</v>
      </c>
      <c r="T6" s="29">
        <f>VLOOKUP(N6,series!$A$2:$H$14,8,0)/1.5</f>
        <v>100</v>
      </c>
      <c r="U6" s="29">
        <f>VLOOKUP(N6,series!$A$2:$H$14,8,0)</f>
        <v>150</v>
      </c>
      <c r="V6" s="37">
        <v>390</v>
      </c>
      <c r="W6" s="16">
        <f>VLOOKUP(N6,series!$A$2:$H$14,5,0)</f>
        <v>96</v>
      </c>
    </row>
    <row r="7" spans="1:23" x14ac:dyDescent="0.25">
      <c r="A7" s="27">
        <v>737</v>
      </c>
      <c r="B7" s="28" t="s">
        <v>89</v>
      </c>
      <c r="C7" s="28" t="s">
        <v>10</v>
      </c>
      <c r="D7" s="28" t="s">
        <v>12</v>
      </c>
      <c r="E7" s="28">
        <v>517</v>
      </c>
      <c r="F7" s="28">
        <v>125</v>
      </c>
      <c r="G7" s="28">
        <v>80</v>
      </c>
      <c r="H7" s="28">
        <v>160</v>
      </c>
      <c r="I7" s="29">
        <f>_xlfn.MAXIFS(db_ESP_curves!$B$6:$B$516,db_ESP_curves!$A$6:$A$516,A7)</f>
        <v>230</v>
      </c>
      <c r="J7" s="28">
        <v>2910</v>
      </c>
      <c r="K7" s="28">
        <v>50</v>
      </c>
      <c r="L7" s="45">
        <v>0.55000000000000004</v>
      </c>
      <c r="M7" s="28">
        <v>3.9E-2</v>
      </c>
      <c r="N7" s="30">
        <v>5</v>
      </c>
      <c r="O7" s="28">
        <f>VLOOKUP(N7,series!$A$2:$H$14,4,0)</f>
        <v>92</v>
      </c>
      <c r="P7" s="28">
        <f>VLOOKUP(N7,series!$A$2:$H$14,6,0)</f>
        <v>121.7</v>
      </c>
      <c r="Q7" s="121">
        <f>VLOOKUP(N7,series!$A$2:$H$14,7,0)</f>
        <v>20</v>
      </c>
      <c r="R7" s="123">
        <f t="shared" ref="R7:R60" si="0">3.14*Q7*Q7/4</f>
        <v>314</v>
      </c>
      <c r="S7" s="28">
        <f>VLOOKUP(N7,series!$A$2:$H$14,8,0)/2</f>
        <v>125</v>
      </c>
      <c r="T7" s="29">
        <f>VLOOKUP(N7,series!$A$2:$H$14,8,0)/1.5</f>
        <v>166.66666666666666</v>
      </c>
      <c r="U7" s="29">
        <f>VLOOKUP(N7,series!$A$2:$H$14,8,0)</f>
        <v>250</v>
      </c>
      <c r="V7" s="31">
        <v>390</v>
      </c>
      <c r="W7" s="16">
        <f>VLOOKUP(N7,series!$A$2:$H$14,5,0)</f>
        <v>103</v>
      </c>
    </row>
    <row r="8" spans="1:23" x14ac:dyDescent="0.25">
      <c r="A8" s="27">
        <v>738</v>
      </c>
      <c r="B8" s="28" t="s">
        <v>89</v>
      </c>
      <c r="C8" s="28" t="s">
        <v>10</v>
      </c>
      <c r="D8" s="28" t="s">
        <v>13</v>
      </c>
      <c r="E8" s="28">
        <v>555</v>
      </c>
      <c r="F8" s="28">
        <v>15</v>
      </c>
      <c r="G8" s="28">
        <v>10</v>
      </c>
      <c r="H8" s="28">
        <v>20</v>
      </c>
      <c r="I8" s="29">
        <f>_xlfn.MAXIFS(db_ESP_curves!$B$6:$B$516,db_ESP_curves!$A$6:$A$516,A8)</f>
        <v>33</v>
      </c>
      <c r="J8" s="28">
        <v>2910</v>
      </c>
      <c r="K8" s="28">
        <v>50</v>
      </c>
      <c r="L8" s="45">
        <v>0.3</v>
      </c>
      <c r="M8" s="32"/>
      <c r="N8" s="30">
        <v>5</v>
      </c>
      <c r="O8" s="28">
        <f>VLOOKUP(N8,series!$A$2:$H$14,4,0)</f>
        <v>92</v>
      </c>
      <c r="P8" s="28">
        <f>VLOOKUP(N8,series!$A$2:$H$14,6,0)</f>
        <v>121.7</v>
      </c>
      <c r="Q8" s="121">
        <f>VLOOKUP(N8,series!$A$2:$H$14,7,0)</f>
        <v>20</v>
      </c>
      <c r="R8" s="123">
        <f t="shared" si="0"/>
        <v>314</v>
      </c>
      <c r="S8" s="28">
        <f>VLOOKUP(N8,series!$A$2:$H$14,8,0)/2</f>
        <v>125</v>
      </c>
      <c r="T8" s="29">
        <f>VLOOKUP(N8,series!$A$2:$H$14,8,0)/1.5</f>
        <v>166.66666666666666</v>
      </c>
      <c r="U8" s="29">
        <f>VLOOKUP(N8,series!$A$2:$H$14,8,0)</f>
        <v>250</v>
      </c>
      <c r="V8" s="31">
        <v>390</v>
      </c>
      <c r="W8" s="16">
        <f>VLOOKUP(N8,series!$A$2:$H$14,5,0)</f>
        <v>103</v>
      </c>
    </row>
    <row r="9" spans="1:23" ht="15" customHeight="1" x14ac:dyDescent="0.25">
      <c r="A9" s="27">
        <v>739</v>
      </c>
      <c r="B9" s="28" t="s">
        <v>89</v>
      </c>
      <c r="C9" s="28" t="s">
        <v>10</v>
      </c>
      <c r="D9" s="28" t="s">
        <v>14</v>
      </c>
      <c r="E9" s="28">
        <v>651</v>
      </c>
      <c r="F9" s="28">
        <v>25</v>
      </c>
      <c r="G9" s="28">
        <v>18</v>
      </c>
      <c r="H9" s="28">
        <v>35</v>
      </c>
      <c r="I9" s="29">
        <f>_xlfn.MAXIFS(db_ESP_curves!$B$6:$B$516,db_ESP_curves!$A$6:$A$516,A9)</f>
        <v>56.5</v>
      </c>
      <c r="J9" s="28">
        <v>2910</v>
      </c>
      <c r="K9" s="28">
        <v>50</v>
      </c>
      <c r="L9" s="45">
        <v>0.35</v>
      </c>
      <c r="M9" s="32"/>
      <c r="N9" s="30">
        <v>5</v>
      </c>
      <c r="O9" s="28">
        <f>VLOOKUP(N9,series!$A$2:$H$14,4,0)</f>
        <v>92</v>
      </c>
      <c r="P9" s="28">
        <f>VLOOKUP(N9,series!$A$2:$H$14,6,0)</f>
        <v>121.7</v>
      </c>
      <c r="Q9" s="121">
        <f>VLOOKUP(N9,series!$A$2:$H$14,7,0)</f>
        <v>20</v>
      </c>
      <c r="R9" s="123">
        <f t="shared" si="0"/>
        <v>314</v>
      </c>
      <c r="S9" s="28">
        <f>VLOOKUP(N9,series!$A$2:$H$14,8,0)/2</f>
        <v>125</v>
      </c>
      <c r="T9" s="29">
        <f>VLOOKUP(N9,series!$A$2:$H$14,8,0)/1.5</f>
        <v>166.66666666666666</v>
      </c>
      <c r="U9" s="29">
        <f>VLOOKUP(N9,series!$A$2:$H$14,8,0)</f>
        <v>250</v>
      </c>
      <c r="V9" s="31">
        <v>390</v>
      </c>
      <c r="W9" s="16">
        <f>VLOOKUP(N9,series!$A$2:$H$14,5,0)</f>
        <v>103</v>
      </c>
    </row>
    <row r="10" spans="1:23" x14ac:dyDescent="0.25">
      <c r="A10" s="27">
        <v>740</v>
      </c>
      <c r="B10" s="28" t="s">
        <v>89</v>
      </c>
      <c r="C10" s="28" t="s">
        <v>10</v>
      </c>
      <c r="D10" s="28" t="s">
        <v>15</v>
      </c>
      <c r="E10" s="28">
        <v>591</v>
      </c>
      <c r="F10" s="28">
        <v>30</v>
      </c>
      <c r="G10" s="28">
        <v>20</v>
      </c>
      <c r="H10" s="28">
        <v>45</v>
      </c>
      <c r="I10" s="29">
        <f>_xlfn.MAXIFS(db_ESP_curves!$B$6:$B$516,db_ESP_curves!$A$6:$A$516,A10)</f>
        <v>58</v>
      </c>
      <c r="J10" s="28">
        <v>2910</v>
      </c>
      <c r="K10" s="28">
        <v>50</v>
      </c>
      <c r="L10" s="45">
        <v>0.41</v>
      </c>
      <c r="M10" s="32"/>
      <c r="N10" s="30">
        <v>5</v>
      </c>
      <c r="O10" s="28">
        <f>VLOOKUP(N10,series!$A$2:$H$14,4,0)</f>
        <v>92</v>
      </c>
      <c r="P10" s="28">
        <f>VLOOKUP(N10,series!$A$2:$H$14,6,0)</f>
        <v>121.7</v>
      </c>
      <c r="Q10" s="121">
        <f>VLOOKUP(N10,series!$A$2:$H$14,7,0)</f>
        <v>20</v>
      </c>
      <c r="R10" s="123">
        <f t="shared" si="0"/>
        <v>314</v>
      </c>
      <c r="S10" s="28">
        <f>VLOOKUP(N10,series!$A$2:$H$14,8,0)/2</f>
        <v>125</v>
      </c>
      <c r="T10" s="29">
        <f>VLOOKUP(N10,series!$A$2:$H$14,8,0)/1.5</f>
        <v>166.66666666666666</v>
      </c>
      <c r="U10" s="29">
        <f>VLOOKUP(N10,series!$A$2:$H$14,8,0)</f>
        <v>250</v>
      </c>
      <c r="V10" s="31">
        <v>390</v>
      </c>
      <c r="W10" s="16">
        <f>VLOOKUP(N10,series!$A$2:$H$14,5,0)</f>
        <v>103</v>
      </c>
    </row>
    <row r="11" spans="1:23" x14ac:dyDescent="0.25">
      <c r="A11" s="27">
        <v>741</v>
      </c>
      <c r="B11" s="28" t="s">
        <v>89</v>
      </c>
      <c r="C11" s="28" t="s">
        <v>10</v>
      </c>
      <c r="D11" s="28" t="s">
        <v>16</v>
      </c>
      <c r="E11" s="28">
        <v>541</v>
      </c>
      <c r="F11" s="28">
        <v>44</v>
      </c>
      <c r="G11" s="28">
        <v>32</v>
      </c>
      <c r="H11" s="28">
        <v>60</v>
      </c>
      <c r="I11" s="29">
        <f>_xlfn.MAXIFS(db_ESP_curves!$B$6:$B$516,db_ESP_curves!$A$6:$A$516,A11)</f>
        <v>95</v>
      </c>
      <c r="J11" s="28">
        <v>2910</v>
      </c>
      <c r="K11" s="28">
        <v>50</v>
      </c>
      <c r="L11" s="45">
        <v>0.47</v>
      </c>
      <c r="M11" s="32"/>
      <c r="N11" s="30">
        <v>5</v>
      </c>
      <c r="O11" s="28">
        <f>VLOOKUP(N11,series!$A$2:$H$14,4,0)</f>
        <v>92</v>
      </c>
      <c r="P11" s="28">
        <f>VLOOKUP(N11,series!$A$2:$H$14,6,0)</f>
        <v>121.7</v>
      </c>
      <c r="Q11" s="121">
        <f>VLOOKUP(N11,series!$A$2:$H$14,7,0)</f>
        <v>20</v>
      </c>
      <c r="R11" s="123">
        <f t="shared" si="0"/>
        <v>314</v>
      </c>
      <c r="S11" s="28">
        <f>VLOOKUP(N11,series!$A$2:$H$14,8,0)/2</f>
        <v>125</v>
      </c>
      <c r="T11" s="29">
        <f>VLOOKUP(N11,series!$A$2:$H$14,8,0)/1.5</f>
        <v>166.66666666666666</v>
      </c>
      <c r="U11" s="29">
        <f>VLOOKUP(N11,series!$A$2:$H$14,8,0)</f>
        <v>250</v>
      </c>
      <c r="V11" s="31">
        <v>390</v>
      </c>
      <c r="W11" s="16">
        <f>VLOOKUP(N11,series!$A$2:$H$14,5,0)</f>
        <v>103</v>
      </c>
    </row>
    <row r="12" spans="1:23" x14ac:dyDescent="0.25">
      <c r="A12" s="27">
        <v>742</v>
      </c>
      <c r="B12" s="28" t="s">
        <v>89</v>
      </c>
      <c r="C12" s="28" t="s">
        <v>10</v>
      </c>
      <c r="D12" s="28" t="s">
        <v>17</v>
      </c>
      <c r="E12" s="28">
        <v>539</v>
      </c>
      <c r="F12" s="28">
        <v>500</v>
      </c>
      <c r="G12" s="28">
        <v>350</v>
      </c>
      <c r="H12" s="28">
        <v>600</v>
      </c>
      <c r="I12" s="29">
        <f>_xlfn.MAXIFS(db_ESP_curves!$B$6:$B$516,db_ESP_curves!$A$6:$A$516,A12)</f>
        <v>840</v>
      </c>
      <c r="J12" s="28">
        <v>2910</v>
      </c>
      <c r="K12" s="28">
        <v>50</v>
      </c>
      <c r="L12" s="45">
        <v>0.63</v>
      </c>
      <c r="M12" s="32"/>
      <c r="N12" s="30">
        <v>5</v>
      </c>
      <c r="O12" s="28">
        <f>VLOOKUP(N12,series!$A$2:$H$14,4,0)</f>
        <v>92</v>
      </c>
      <c r="P12" s="28">
        <f>VLOOKUP(N12,series!$A$2:$H$14,6,0)</f>
        <v>121.7</v>
      </c>
      <c r="Q12" s="121">
        <f>VLOOKUP(N12,series!$A$2:$H$14,7,0)</f>
        <v>20</v>
      </c>
      <c r="R12" s="123">
        <f t="shared" si="0"/>
        <v>314</v>
      </c>
      <c r="S12" s="28">
        <f>VLOOKUP(N12,series!$A$2:$H$14,8,0)/2</f>
        <v>125</v>
      </c>
      <c r="T12" s="29">
        <f>VLOOKUP(N12,series!$A$2:$H$14,8,0)/1.5</f>
        <v>166.66666666666666</v>
      </c>
      <c r="U12" s="29">
        <f>VLOOKUP(N12,series!$A$2:$H$14,8,0)</f>
        <v>250</v>
      </c>
      <c r="V12" s="31">
        <v>390</v>
      </c>
      <c r="W12" s="16">
        <f>VLOOKUP(N12,series!$A$2:$H$14,5,0)</f>
        <v>103</v>
      </c>
    </row>
    <row r="13" spans="1:23" x14ac:dyDescent="0.25">
      <c r="A13" s="27">
        <v>743</v>
      </c>
      <c r="B13" s="28" t="s">
        <v>89</v>
      </c>
      <c r="C13" s="28" t="s">
        <v>10</v>
      </c>
      <c r="D13" s="28" t="s">
        <v>18</v>
      </c>
      <c r="E13" s="28">
        <v>522</v>
      </c>
      <c r="F13" s="28">
        <v>59</v>
      </c>
      <c r="G13" s="28">
        <v>40</v>
      </c>
      <c r="H13" s="28">
        <v>72</v>
      </c>
      <c r="I13" s="29">
        <f>_xlfn.MAXIFS(db_ESP_curves!$B$6:$B$516,db_ESP_curves!$A$6:$A$516,A13)</f>
        <v>124</v>
      </c>
      <c r="J13" s="28">
        <v>2910</v>
      </c>
      <c r="K13" s="28">
        <v>50</v>
      </c>
      <c r="L13" s="45">
        <v>0.52</v>
      </c>
      <c r="M13" s="32"/>
      <c r="N13" s="30">
        <v>5</v>
      </c>
      <c r="O13" s="28">
        <f>VLOOKUP(N13,series!$A$2:$H$14,4,0)</f>
        <v>92</v>
      </c>
      <c r="P13" s="28">
        <f>VLOOKUP(N13,series!$A$2:$H$14,6,0)</f>
        <v>121.7</v>
      </c>
      <c r="Q13" s="121">
        <f>VLOOKUP(N13,series!$A$2:$H$14,7,0)</f>
        <v>20</v>
      </c>
      <c r="R13" s="123">
        <f t="shared" si="0"/>
        <v>314</v>
      </c>
      <c r="S13" s="28">
        <f>VLOOKUP(N13,series!$A$2:$H$14,8,0)/2</f>
        <v>125</v>
      </c>
      <c r="T13" s="29">
        <f>VLOOKUP(N13,series!$A$2:$H$14,8,0)/1.5</f>
        <v>166.66666666666666</v>
      </c>
      <c r="U13" s="29">
        <f>VLOOKUP(N13,series!$A$2:$H$14,8,0)</f>
        <v>250</v>
      </c>
      <c r="V13" s="31">
        <v>390</v>
      </c>
      <c r="W13" s="16">
        <f>VLOOKUP(N13,series!$A$2:$H$14,5,0)</f>
        <v>103</v>
      </c>
    </row>
    <row r="14" spans="1:23" x14ac:dyDescent="0.25">
      <c r="A14" s="27">
        <v>744</v>
      </c>
      <c r="B14" s="28" t="s">
        <v>89</v>
      </c>
      <c r="C14" s="28" t="s">
        <v>10</v>
      </c>
      <c r="D14" s="28" t="s">
        <v>19</v>
      </c>
      <c r="E14" s="28">
        <v>459</v>
      </c>
      <c r="F14" s="28">
        <v>79</v>
      </c>
      <c r="G14" s="28">
        <v>60</v>
      </c>
      <c r="H14" s="28">
        <v>105</v>
      </c>
      <c r="I14" s="29">
        <f>_xlfn.MAXIFS(db_ESP_curves!$B$6:$B$516,db_ESP_curves!$A$6:$A$516,A14)</f>
        <v>184</v>
      </c>
      <c r="J14" s="28">
        <v>2910</v>
      </c>
      <c r="K14" s="28">
        <v>50</v>
      </c>
      <c r="L14" s="45">
        <v>0.56000000000000005</v>
      </c>
      <c r="M14" s="32"/>
      <c r="N14" s="30">
        <v>5</v>
      </c>
      <c r="O14" s="28">
        <f>VLOOKUP(N14,series!$A$2:$H$14,4,0)</f>
        <v>92</v>
      </c>
      <c r="P14" s="28">
        <f>VLOOKUP(N14,series!$A$2:$H$14,6,0)</f>
        <v>121.7</v>
      </c>
      <c r="Q14" s="121">
        <f>VLOOKUP(N14,series!$A$2:$H$14,7,0)</f>
        <v>20</v>
      </c>
      <c r="R14" s="123">
        <f t="shared" si="0"/>
        <v>314</v>
      </c>
      <c r="S14" s="28">
        <f>VLOOKUP(N14,series!$A$2:$H$14,8,0)/2</f>
        <v>125</v>
      </c>
      <c r="T14" s="29">
        <f>VLOOKUP(N14,series!$A$2:$H$14,8,0)/1.5</f>
        <v>166.66666666666666</v>
      </c>
      <c r="U14" s="29">
        <f>VLOOKUP(N14,series!$A$2:$H$14,8,0)</f>
        <v>250</v>
      </c>
      <c r="V14" s="31">
        <v>390</v>
      </c>
      <c r="W14" s="16">
        <f>VLOOKUP(N14,series!$A$2:$H$14,5,0)</f>
        <v>103</v>
      </c>
    </row>
    <row r="15" spans="1:23" x14ac:dyDescent="0.25">
      <c r="A15" s="27">
        <v>745</v>
      </c>
      <c r="B15" s="28" t="s">
        <v>89</v>
      </c>
      <c r="C15" s="28" t="s">
        <v>10</v>
      </c>
      <c r="D15" s="28" t="s">
        <v>20</v>
      </c>
      <c r="E15" s="28">
        <v>380</v>
      </c>
      <c r="F15" s="28">
        <v>100</v>
      </c>
      <c r="G15" s="28">
        <v>70</v>
      </c>
      <c r="H15" s="28">
        <v>140</v>
      </c>
      <c r="I15" s="29">
        <f>_xlfn.MAXIFS(db_ESP_curves!$B$6:$B$516,db_ESP_curves!$A$6:$A$516,A15)</f>
        <v>185</v>
      </c>
      <c r="J15" s="28">
        <v>2910</v>
      </c>
      <c r="K15" s="28">
        <v>50</v>
      </c>
      <c r="L15" s="45">
        <v>0.6</v>
      </c>
      <c r="M15" s="32"/>
      <c r="N15" s="30" t="s">
        <v>54</v>
      </c>
      <c r="O15" s="28">
        <f>VLOOKUP(N15,series!$A$2:$H$14,4,0)</f>
        <v>103</v>
      </c>
      <c r="P15" s="28">
        <f>VLOOKUP(N15,series!$A$2:$H$14,6,0)</f>
        <v>130</v>
      </c>
      <c r="Q15" s="121">
        <f>VLOOKUP(N15,series!$A$2:$H$14,7,0)</f>
        <v>22</v>
      </c>
      <c r="R15" s="123">
        <f t="shared" si="0"/>
        <v>379.94</v>
      </c>
      <c r="S15" s="28">
        <f>VLOOKUP(N15,series!$A$2:$H$14,8,0)/2</f>
        <v>165</v>
      </c>
      <c r="T15" s="29">
        <f>VLOOKUP(N15,series!$A$2:$H$14,8,0)/1.5</f>
        <v>220</v>
      </c>
      <c r="U15" s="29">
        <f>VLOOKUP(N15,series!$A$2:$H$14,8,0)</f>
        <v>330</v>
      </c>
      <c r="V15" s="31">
        <v>390</v>
      </c>
      <c r="W15" s="16">
        <f>VLOOKUP(N15,series!$A$2:$H$14,5,0)</f>
        <v>117</v>
      </c>
    </row>
    <row r="16" spans="1:23" x14ac:dyDescent="0.25">
      <c r="A16" s="27">
        <v>746</v>
      </c>
      <c r="B16" s="28" t="s">
        <v>89</v>
      </c>
      <c r="C16" s="28" t="s">
        <v>10</v>
      </c>
      <c r="D16" s="28" t="s">
        <v>21</v>
      </c>
      <c r="E16" s="28">
        <v>354</v>
      </c>
      <c r="F16" s="28">
        <v>124</v>
      </c>
      <c r="G16" s="28">
        <v>95</v>
      </c>
      <c r="H16" s="28">
        <v>160</v>
      </c>
      <c r="I16" s="29">
        <f>_xlfn.MAXIFS(db_ESP_curves!$B$6:$B$516,db_ESP_curves!$A$6:$A$516,A16)</f>
        <v>261</v>
      </c>
      <c r="J16" s="28">
        <v>2910</v>
      </c>
      <c r="K16" s="28">
        <v>50</v>
      </c>
      <c r="L16" s="45">
        <v>0.61</v>
      </c>
      <c r="M16" s="32"/>
      <c r="N16" s="30" t="s">
        <v>54</v>
      </c>
      <c r="O16" s="28">
        <f>VLOOKUP(N16,series!$A$2:$H$14,4,0)</f>
        <v>103</v>
      </c>
      <c r="P16" s="28">
        <f>VLOOKUP(N16,series!$A$2:$H$14,6,0)</f>
        <v>130</v>
      </c>
      <c r="Q16" s="121">
        <f>VLOOKUP(N16,series!$A$2:$H$14,7,0)</f>
        <v>22</v>
      </c>
      <c r="R16" s="123">
        <f t="shared" si="0"/>
        <v>379.94</v>
      </c>
      <c r="S16" s="28">
        <f>VLOOKUP(N16,series!$A$2:$H$14,8,0)/2</f>
        <v>165</v>
      </c>
      <c r="T16" s="29">
        <f>VLOOKUP(N16,series!$A$2:$H$14,8,0)/1.5</f>
        <v>220</v>
      </c>
      <c r="U16" s="29">
        <f>VLOOKUP(N16,series!$A$2:$H$14,8,0)</f>
        <v>330</v>
      </c>
      <c r="V16" s="31">
        <v>390</v>
      </c>
      <c r="W16" s="16">
        <f>VLOOKUP(N16,series!$A$2:$H$14,5,0)</f>
        <v>117</v>
      </c>
    </row>
    <row r="17" spans="1:23" x14ac:dyDescent="0.25">
      <c r="A17" s="27">
        <v>747</v>
      </c>
      <c r="B17" s="28" t="s">
        <v>89</v>
      </c>
      <c r="C17" s="28" t="s">
        <v>10</v>
      </c>
      <c r="D17" s="28" t="s">
        <v>22</v>
      </c>
      <c r="E17" s="28">
        <v>372</v>
      </c>
      <c r="F17" s="28">
        <v>159</v>
      </c>
      <c r="G17" s="28">
        <v>130</v>
      </c>
      <c r="H17" s="28">
        <v>205</v>
      </c>
      <c r="I17" s="29">
        <f>_xlfn.MAXIFS(db_ESP_curves!$B$6:$B$516,db_ESP_curves!$A$6:$A$516,A17)</f>
        <v>355</v>
      </c>
      <c r="J17" s="28">
        <v>2910</v>
      </c>
      <c r="K17" s="28">
        <v>50</v>
      </c>
      <c r="L17" s="45">
        <v>0.56179999999999997</v>
      </c>
      <c r="M17" s="32"/>
      <c r="N17" s="30" t="s">
        <v>54</v>
      </c>
      <c r="O17" s="28">
        <f>VLOOKUP(N17,series!$A$2:$H$14,4,0)</f>
        <v>103</v>
      </c>
      <c r="P17" s="28">
        <f>VLOOKUP(N17,series!$A$2:$H$14,6,0)</f>
        <v>130</v>
      </c>
      <c r="Q17" s="121">
        <f>VLOOKUP(N17,series!$A$2:$H$14,7,0)</f>
        <v>22</v>
      </c>
      <c r="R17" s="123">
        <f t="shared" si="0"/>
        <v>379.94</v>
      </c>
      <c r="S17" s="28">
        <f>VLOOKUP(N17,series!$A$2:$H$14,8,0)/2</f>
        <v>165</v>
      </c>
      <c r="T17" s="29">
        <f>VLOOKUP(N17,series!$A$2:$H$14,8,0)/1.5</f>
        <v>220</v>
      </c>
      <c r="U17" s="29">
        <f>VLOOKUP(N17,series!$A$2:$H$14,8,0)</f>
        <v>330</v>
      </c>
      <c r="V17" s="31">
        <v>390</v>
      </c>
      <c r="W17" s="16">
        <f>VLOOKUP(N17,series!$A$2:$H$14,5,0)</f>
        <v>117</v>
      </c>
    </row>
    <row r="18" spans="1:23" x14ac:dyDescent="0.25">
      <c r="A18" s="27">
        <v>748</v>
      </c>
      <c r="B18" s="28" t="s">
        <v>89</v>
      </c>
      <c r="C18" s="28" t="s">
        <v>10</v>
      </c>
      <c r="D18" s="28" t="s">
        <v>23</v>
      </c>
      <c r="E18" s="28">
        <v>388</v>
      </c>
      <c r="F18" s="28">
        <v>199</v>
      </c>
      <c r="G18" s="28">
        <v>150</v>
      </c>
      <c r="H18" s="28">
        <v>255</v>
      </c>
      <c r="I18" s="29">
        <f>_xlfn.MAXIFS(db_ESP_curves!$B$6:$B$516,db_ESP_curves!$A$6:$A$516,A18)</f>
        <v>380</v>
      </c>
      <c r="J18" s="28">
        <v>2910</v>
      </c>
      <c r="K18" s="28">
        <v>50</v>
      </c>
      <c r="L18" s="45">
        <v>0.53</v>
      </c>
      <c r="M18" s="32"/>
      <c r="N18" s="30" t="s">
        <v>54</v>
      </c>
      <c r="O18" s="28">
        <f>VLOOKUP(N18,series!$A$2:$H$14,4,0)</f>
        <v>103</v>
      </c>
      <c r="P18" s="28">
        <f>VLOOKUP(N18,series!$A$2:$H$14,6,0)</f>
        <v>130</v>
      </c>
      <c r="Q18" s="121">
        <f>VLOOKUP(N18,series!$A$2:$H$14,7,0)</f>
        <v>22</v>
      </c>
      <c r="R18" s="123">
        <f t="shared" si="0"/>
        <v>379.94</v>
      </c>
      <c r="S18" s="28">
        <f>VLOOKUP(N18,series!$A$2:$H$14,8,0)/2</f>
        <v>165</v>
      </c>
      <c r="T18" s="29">
        <f>VLOOKUP(N18,series!$A$2:$H$14,8,0)/1.5</f>
        <v>220</v>
      </c>
      <c r="U18" s="29">
        <f>VLOOKUP(N18,series!$A$2:$H$14,8,0)</f>
        <v>330</v>
      </c>
      <c r="V18" s="31">
        <v>390</v>
      </c>
      <c r="W18" s="16">
        <f>VLOOKUP(N18,series!$A$2:$H$14,5,0)</f>
        <v>117</v>
      </c>
    </row>
    <row r="19" spans="1:23" x14ac:dyDescent="0.25">
      <c r="A19" s="27">
        <v>749</v>
      </c>
      <c r="B19" s="28" t="s">
        <v>89</v>
      </c>
      <c r="C19" s="28" t="s">
        <v>10</v>
      </c>
      <c r="D19" s="28" t="s">
        <v>24</v>
      </c>
      <c r="E19" s="28">
        <v>374</v>
      </c>
      <c r="F19" s="28">
        <v>240</v>
      </c>
      <c r="G19" s="28">
        <v>190</v>
      </c>
      <c r="H19" s="28">
        <v>280</v>
      </c>
      <c r="I19" s="29">
        <f>_xlfn.MAXIFS(db_ESP_curves!$B$6:$B$516,db_ESP_curves!$A$6:$A$516,A19)</f>
        <v>410</v>
      </c>
      <c r="J19" s="28">
        <v>2910</v>
      </c>
      <c r="K19" s="28">
        <v>50</v>
      </c>
      <c r="L19" s="45">
        <v>0.48</v>
      </c>
      <c r="M19" s="32"/>
      <c r="N19" s="30" t="s">
        <v>54</v>
      </c>
      <c r="O19" s="28">
        <f>VLOOKUP(N19,series!$A$2:$H$14,4,0)</f>
        <v>103</v>
      </c>
      <c r="P19" s="28">
        <f>VLOOKUP(N19,series!$A$2:$H$14,6,0)</f>
        <v>130</v>
      </c>
      <c r="Q19" s="121">
        <f>VLOOKUP(N19,series!$A$2:$H$14,7,0)</f>
        <v>22</v>
      </c>
      <c r="R19" s="123">
        <f t="shared" si="0"/>
        <v>379.94</v>
      </c>
      <c r="S19" s="28">
        <f>VLOOKUP(N19,series!$A$2:$H$14,8,0)/2</f>
        <v>165</v>
      </c>
      <c r="T19" s="29">
        <f>VLOOKUP(N19,series!$A$2:$H$14,8,0)/1.5</f>
        <v>220</v>
      </c>
      <c r="U19" s="29">
        <f>VLOOKUP(N19,series!$A$2:$H$14,8,0)</f>
        <v>330</v>
      </c>
      <c r="V19" s="31">
        <v>390</v>
      </c>
      <c r="W19" s="16">
        <f>VLOOKUP(N19,series!$A$2:$H$14,5,0)</f>
        <v>117</v>
      </c>
    </row>
    <row r="20" spans="1:23" x14ac:dyDescent="0.25">
      <c r="A20" s="27">
        <v>750</v>
      </c>
      <c r="B20" s="28" t="s">
        <v>89</v>
      </c>
      <c r="C20" s="28" t="s">
        <v>10</v>
      </c>
      <c r="D20" s="28" t="s">
        <v>25</v>
      </c>
      <c r="E20" s="28">
        <v>368</v>
      </c>
      <c r="F20" s="28">
        <v>280</v>
      </c>
      <c r="G20" s="28">
        <v>220</v>
      </c>
      <c r="H20" s="28">
        <v>350</v>
      </c>
      <c r="I20" s="29">
        <f>_xlfn.MAXIFS(db_ESP_curves!$B$6:$B$516,db_ESP_curves!$A$6:$A$516,A20)</f>
        <v>500</v>
      </c>
      <c r="J20" s="28">
        <v>2910</v>
      </c>
      <c r="K20" s="28">
        <v>50</v>
      </c>
      <c r="L20" s="45">
        <v>0.44</v>
      </c>
      <c r="M20" s="32"/>
      <c r="N20" s="30" t="s">
        <v>54</v>
      </c>
      <c r="O20" s="28">
        <f>VLOOKUP(N20,series!$A$2:$H$14,4,0)</f>
        <v>103</v>
      </c>
      <c r="P20" s="28">
        <f>VLOOKUP(N20,series!$A$2:$H$14,6,0)</f>
        <v>130</v>
      </c>
      <c r="Q20" s="121">
        <f>VLOOKUP(N20,series!$A$2:$H$14,7,0)</f>
        <v>22</v>
      </c>
      <c r="R20" s="123">
        <f t="shared" si="0"/>
        <v>379.94</v>
      </c>
      <c r="S20" s="28">
        <f>VLOOKUP(N20,series!$A$2:$H$14,8,0)/2</f>
        <v>165</v>
      </c>
      <c r="T20" s="29">
        <f>VLOOKUP(N20,series!$A$2:$H$14,8,0)/1.5</f>
        <v>220</v>
      </c>
      <c r="U20" s="29">
        <f>VLOOKUP(N20,series!$A$2:$H$14,8,0)</f>
        <v>330</v>
      </c>
      <c r="V20" s="31">
        <v>390</v>
      </c>
      <c r="W20" s="16">
        <f>VLOOKUP(N20,series!$A$2:$H$14,5,0)</f>
        <v>117</v>
      </c>
    </row>
    <row r="21" spans="1:23" x14ac:dyDescent="0.25">
      <c r="A21" s="27">
        <v>751</v>
      </c>
      <c r="B21" s="28" t="s">
        <v>89</v>
      </c>
      <c r="C21" s="28" t="s">
        <v>10</v>
      </c>
      <c r="D21" s="28" t="s">
        <v>26</v>
      </c>
      <c r="E21" s="28">
        <v>404</v>
      </c>
      <c r="F21" s="28">
        <v>35</v>
      </c>
      <c r="G21" s="28">
        <v>20</v>
      </c>
      <c r="H21" s="28">
        <v>60</v>
      </c>
      <c r="I21" s="29">
        <f>_xlfn.MAXIFS(db_ESP_curves!$B$6:$B$516,db_ESP_curves!$A$6:$A$516,A21)</f>
        <v>85</v>
      </c>
      <c r="J21" s="28">
        <v>2910</v>
      </c>
      <c r="K21" s="28">
        <v>50</v>
      </c>
      <c r="L21" s="45">
        <v>0.39</v>
      </c>
      <c r="M21" s="32"/>
      <c r="N21" s="30" t="s">
        <v>54</v>
      </c>
      <c r="O21" s="28">
        <f>VLOOKUP(N21,series!$A$2:$H$14,4,0)</f>
        <v>103</v>
      </c>
      <c r="P21" s="28">
        <f>VLOOKUP(N21,series!$A$2:$H$14,6,0)</f>
        <v>130</v>
      </c>
      <c r="Q21" s="121">
        <f>VLOOKUP(N21,series!$A$2:$H$14,7,0)</f>
        <v>22</v>
      </c>
      <c r="R21" s="123">
        <f t="shared" si="0"/>
        <v>379.94</v>
      </c>
      <c r="S21" s="28">
        <f>VLOOKUP(N21,series!$A$2:$H$14,8,0)/2</f>
        <v>165</v>
      </c>
      <c r="T21" s="29">
        <f>VLOOKUP(N21,series!$A$2:$H$14,8,0)/1.5</f>
        <v>220</v>
      </c>
      <c r="U21" s="29">
        <f>VLOOKUP(N21,series!$A$2:$H$14,8,0)</f>
        <v>330</v>
      </c>
      <c r="V21" s="31">
        <v>390</v>
      </c>
      <c r="W21" s="16">
        <f>VLOOKUP(N21,series!$A$2:$H$14,5,0)</f>
        <v>117</v>
      </c>
    </row>
    <row r="22" spans="1:23" x14ac:dyDescent="0.25">
      <c r="A22" s="27">
        <v>752</v>
      </c>
      <c r="B22" s="28" t="s">
        <v>89</v>
      </c>
      <c r="C22" s="28" t="s">
        <v>10</v>
      </c>
      <c r="D22" s="28" t="s">
        <v>27</v>
      </c>
      <c r="E22" s="28">
        <v>450</v>
      </c>
      <c r="F22" s="28">
        <v>50</v>
      </c>
      <c r="G22" s="28">
        <v>35</v>
      </c>
      <c r="H22" s="28">
        <v>70</v>
      </c>
      <c r="I22" s="29">
        <f>_xlfn.MAXIFS(db_ESP_curves!$B$6:$B$516,db_ESP_curves!$A$6:$A$516,A22)</f>
        <v>100</v>
      </c>
      <c r="J22" s="28">
        <v>2910</v>
      </c>
      <c r="K22" s="28">
        <v>50</v>
      </c>
      <c r="L22" s="45">
        <v>0.5</v>
      </c>
      <c r="M22" s="32"/>
      <c r="N22" s="30" t="s">
        <v>54</v>
      </c>
      <c r="O22" s="28">
        <f>VLOOKUP(N22,series!$A$2:$H$14,4,0)</f>
        <v>103</v>
      </c>
      <c r="P22" s="28">
        <f>VLOOKUP(N22,series!$A$2:$H$14,6,0)</f>
        <v>130</v>
      </c>
      <c r="Q22" s="121">
        <f>VLOOKUP(N22,series!$A$2:$H$14,7,0)</f>
        <v>22</v>
      </c>
      <c r="R22" s="123">
        <f t="shared" si="0"/>
        <v>379.94</v>
      </c>
      <c r="S22" s="28">
        <f>VLOOKUP(N22,series!$A$2:$H$14,8,0)/2</f>
        <v>165</v>
      </c>
      <c r="T22" s="29">
        <f>VLOOKUP(N22,series!$A$2:$H$14,8,0)/1.5</f>
        <v>220</v>
      </c>
      <c r="U22" s="29">
        <f>VLOOKUP(N22,series!$A$2:$H$14,8,0)</f>
        <v>330</v>
      </c>
      <c r="V22" s="31">
        <v>390</v>
      </c>
      <c r="W22" s="16">
        <f>VLOOKUP(N22,series!$A$2:$H$14,5,0)</f>
        <v>117</v>
      </c>
    </row>
    <row r="23" spans="1:23" x14ac:dyDescent="0.25">
      <c r="A23" s="27">
        <v>753</v>
      </c>
      <c r="B23" s="28" t="s">
        <v>89</v>
      </c>
      <c r="C23" s="28" t="s">
        <v>10</v>
      </c>
      <c r="D23" s="28" t="s">
        <v>28</v>
      </c>
      <c r="E23" s="28">
        <v>510</v>
      </c>
      <c r="F23" s="28">
        <v>500</v>
      </c>
      <c r="G23" s="28">
        <v>350</v>
      </c>
      <c r="H23" s="28">
        <v>600</v>
      </c>
      <c r="I23" s="29">
        <f>_xlfn.MAXIFS(db_ESP_curves!$B$6:$B$516,db_ESP_curves!$A$6:$A$516,A23)</f>
        <v>780</v>
      </c>
      <c r="J23" s="28">
        <v>2910</v>
      </c>
      <c r="K23" s="28">
        <v>50</v>
      </c>
      <c r="L23" s="45">
        <v>0.56999999999999995</v>
      </c>
      <c r="M23" s="32"/>
      <c r="N23" s="30" t="s">
        <v>54</v>
      </c>
      <c r="O23" s="28">
        <f>VLOOKUP(N23,series!$A$2:$H$14,4,0)</f>
        <v>103</v>
      </c>
      <c r="P23" s="28">
        <f>VLOOKUP(N23,series!$A$2:$H$14,6,0)</f>
        <v>130</v>
      </c>
      <c r="Q23" s="121">
        <f>VLOOKUP(N23,series!$A$2:$H$14,7,0)</f>
        <v>22</v>
      </c>
      <c r="R23" s="123">
        <f t="shared" si="0"/>
        <v>379.94</v>
      </c>
      <c r="S23" s="28">
        <f>VLOOKUP(N23,series!$A$2:$H$14,8,0)/2</f>
        <v>165</v>
      </c>
      <c r="T23" s="29">
        <f>VLOOKUP(N23,series!$A$2:$H$14,8,0)/1.5</f>
        <v>220</v>
      </c>
      <c r="U23" s="29">
        <f>VLOOKUP(N23,series!$A$2:$H$14,8,0)</f>
        <v>330</v>
      </c>
      <c r="V23" s="31">
        <v>390</v>
      </c>
      <c r="W23" s="16">
        <f>VLOOKUP(N23,series!$A$2:$H$14,5,0)</f>
        <v>117</v>
      </c>
    </row>
    <row r="24" spans="1:23" x14ac:dyDescent="0.25">
      <c r="A24" s="27">
        <v>754</v>
      </c>
      <c r="B24" s="28" t="s">
        <v>89</v>
      </c>
      <c r="C24" s="28" t="s">
        <v>10</v>
      </c>
      <c r="D24" s="28" t="s">
        <v>29</v>
      </c>
      <c r="E24" s="28">
        <v>552</v>
      </c>
      <c r="F24" s="28">
        <v>700</v>
      </c>
      <c r="G24" s="28">
        <v>550</v>
      </c>
      <c r="H24" s="28">
        <v>840</v>
      </c>
      <c r="I24" s="29">
        <f>_xlfn.MAXIFS(db_ESP_curves!$B$6:$B$516,db_ESP_curves!$A$6:$A$516,A24)</f>
        <v>1050</v>
      </c>
      <c r="J24" s="28">
        <v>2910</v>
      </c>
      <c r="K24" s="28">
        <v>50</v>
      </c>
      <c r="L24" s="45">
        <v>0.62</v>
      </c>
      <c r="M24" s="32"/>
      <c r="N24" s="30" t="s">
        <v>54</v>
      </c>
      <c r="O24" s="28">
        <f>VLOOKUP(N24,series!$A$2:$H$14,4,0)</f>
        <v>103</v>
      </c>
      <c r="P24" s="28">
        <f>VLOOKUP(N24,series!$A$2:$H$14,6,0)</f>
        <v>130</v>
      </c>
      <c r="Q24" s="121">
        <f>VLOOKUP(N24,series!$A$2:$H$14,7,0)</f>
        <v>22</v>
      </c>
      <c r="R24" s="123">
        <f t="shared" si="0"/>
        <v>379.94</v>
      </c>
      <c r="S24" s="28">
        <f>VLOOKUP(N24,series!$A$2:$H$14,8,0)/2</f>
        <v>165</v>
      </c>
      <c r="T24" s="29">
        <f>VLOOKUP(N24,series!$A$2:$H$14,8,0)/1.5</f>
        <v>220</v>
      </c>
      <c r="U24" s="29">
        <f>VLOOKUP(N24,series!$A$2:$H$14,8,0)</f>
        <v>330</v>
      </c>
      <c r="V24" s="31">
        <v>390</v>
      </c>
      <c r="W24" s="16">
        <f>VLOOKUP(N24,series!$A$2:$H$14,5,0)</f>
        <v>117</v>
      </c>
    </row>
    <row r="25" spans="1:23" x14ac:dyDescent="0.25">
      <c r="A25" s="27">
        <v>755</v>
      </c>
      <c r="B25" s="28" t="s">
        <v>89</v>
      </c>
      <c r="C25" s="28" t="s">
        <v>10</v>
      </c>
      <c r="D25" s="28" t="s">
        <v>30</v>
      </c>
      <c r="E25" s="28">
        <v>300</v>
      </c>
      <c r="F25" s="28">
        <v>1000</v>
      </c>
      <c r="G25" s="28">
        <v>700</v>
      </c>
      <c r="H25" s="28">
        <v>1300</v>
      </c>
      <c r="I25" s="29">
        <f>_xlfn.MAXIFS(db_ESP_curves!$B$6:$B$516,db_ESP_curves!$A$6:$A$516,A25)</f>
        <v>1600</v>
      </c>
      <c r="J25" s="28">
        <v>2910</v>
      </c>
      <c r="K25" s="28">
        <v>50</v>
      </c>
      <c r="L25" s="45">
        <v>0.65</v>
      </c>
      <c r="M25" s="32"/>
      <c r="N25" s="30">
        <v>6</v>
      </c>
      <c r="O25" s="28">
        <f>VLOOKUP(N25,series!$A$2:$H$14,4,0)</f>
        <v>114</v>
      </c>
      <c r="P25" s="28">
        <f>VLOOKUP(N25,series!$A$2:$H$14,6,0)</f>
        <v>148</v>
      </c>
      <c r="Q25" s="121">
        <f>VLOOKUP(N25,series!$A$2:$H$14,7,0)</f>
        <v>25</v>
      </c>
      <c r="R25" s="123">
        <f t="shared" si="0"/>
        <v>490.625</v>
      </c>
      <c r="S25" s="28">
        <f>VLOOKUP(N25,series!$A$2:$H$14,8,0)/2</f>
        <v>202.5</v>
      </c>
      <c r="T25" s="29">
        <f>VLOOKUP(N25,series!$A$2:$H$14,8,0)/1.5</f>
        <v>270</v>
      </c>
      <c r="U25" s="29">
        <f>VLOOKUP(N25,series!$A$2:$H$14,8,0)</f>
        <v>405</v>
      </c>
      <c r="V25" s="31">
        <v>390</v>
      </c>
      <c r="W25" s="16">
        <f>VLOOKUP(N25,series!$A$2:$H$14,5,0)</f>
        <v>130</v>
      </c>
    </row>
    <row r="26" spans="1:23" x14ac:dyDescent="0.25">
      <c r="A26" s="27">
        <v>756</v>
      </c>
      <c r="B26" s="28" t="s">
        <v>89</v>
      </c>
      <c r="C26" s="28" t="s">
        <v>10</v>
      </c>
      <c r="D26" s="28" t="s">
        <v>31</v>
      </c>
      <c r="E26" s="28">
        <v>264</v>
      </c>
      <c r="F26" s="28">
        <v>130</v>
      </c>
      <c r="G26" s="28">
        <v>100</v>
      </c>
      <c r="H26" s="28">
        <v>180</v>
      </c>
      <c r="I26" s="29">
        <f>_xlfn.MAXIFS(db_ESP_curves!$B$6:$B$516,db_ESP_curves!$A$6:$A$516,A26)</f>
        <v>292</v>
      </c>
      <c r="J26" s="28">
        <v>2960</v>
      </c>
      <c r="K26" s="28">
        <v>50</v>
      </c>
      <c r="L26" s="45">
        <v>0.53</v>
      </c>
      <c r="M26" s="32"/>
      <c r="N26" s="30" t="s">
        <v>96</v>
      </c>
      <c r="O26" s="28">
        <f>VLOOKUP(N26,series!$A$2:$H$14,4,0)</f>
        <v>123</v>
      </c>
      <c r="P26" s="28">
        <f>VLOOKUP(N26,series!$A$2:$H$14,6,0)</f>
        <v>148</v>
      </c>
      <c r="Q26" s="121">
        <f>VLOOKUP(N26,series!$A$2:$H$14,7,0)</f>
        <v>25</v>
      </c>
      <c r="R26" s="123">
        <f t="shared" si="0"/>
        <v>490.625</v>
      </c>
      <c r="S26" s="28">
        <f>VLOOKUP(N26,series!$A$2:$H$14,8,0)/2</f>
        <v>202.5</v>
      </c>
      <c r="T26" s="29">
        <f>VLOOKUP(N26,series!$A$2:$H$14,8,0)/1.5</f>
        <v>270</v>
      </c>
      <c r="U26" s="29">
        <f>VLOOKUP(N26,series!$A$2:$H$14,8,0)</f>
        <v>405</v>
      </c>
      <c r="V26" s="31">
        <v>390</v>
      </c>
      <c r="W26" s="16">
        <f>VLOOKUP(N26,series!$A$2:$H$14,5,0)</f>
        <v>130</v>
      </c>
    </row>
    <row r="27" spans="1:23" x14ac:dyDescent="0.25">
      <c r="A27" s="27">
        <v>757</v>
      </c>
      <c r="B27" s="28" t="s">
        <v>89</v>
      </c>
      <c r="C27" s="28" t="s">
        <v>10</v>
      </c>
      <c r="D27" s="28" t="s">
        <v>32</v>
      </c>
      <c r="E27" s="28">
        <v>297</v>
      </c>
      <c r="F27" s="28">
        <v>250</v>
      </c>
      <c r="G27" s="28">
        <v>180</v>
      </c>
      <c r="H27" s="28">
        <v>310</v>
      </c>
      <c r="I27" s="29">
        <f>_xlfn.MAXIFS(db_ESP_curves!$B$6:$B$516,db_ESP_curves!$A$6:$A$516,A27)</f>
        <v>450</v>
      </c>
      <c r="J27" s="28">
        <v>2960</v>
      </c>
      <c r="K27" s="28">
        <v>50</v>
      </c>
      <c r="L27" s="45">
        <v>0.6</v>
      </c>
      <c r="M27" s="32"/>
      <c r="N27" s="30" t="s">
        <v>96</v>
      </c>
      <c r="O27" s="28">
        <f>VLOOKUP(N27,series!$A$2:$H$14,4,0)</f>
        <v>123</v>
      </c>
      <c r="P27" s="28">
        <f>VLOOKUP(N27,series!$A$2:$H$14,6,0)</f>
        <v>148</v>
      </c>
      <c r="Q27" s="121">
        <f>VLOOKUP(N27,series!$A$2:$H$14,7,0)</f>
        <v>25</v>
      </c>
      <c r="R27" s="123">
        <f t="shared" si="0"/>
        <v>490.625</v>
      </c>
      <c r="S27" s="28">
        <f>VLOOKUP(N27,series!$A$2:$H$14,8,0)/2</f>
        <v>202.5</v>
      </c>
      <c r="T27" s="29">
        <f>VLOOKUP(N27,series!$A$2:$H$14,8,0)/1.5</f>
        <v>270</v>
      </c>
      <c r="U27" s="29">
        <f>VLOOKUP(N27,series!$A$2:$H$14,8,0)</f>
        <v>405</v>
      </c>
      <c r="V27" s="31">
        <v>390</v>
      </c>
      <c r="W27" s="16">
        <f>VLOOKUP(N27,series!$A$2:$H$14,5,0)</f>
        <v>130</v>
      </c>
    </row>
    <row r="28" spans="1:23" x14ac:dyDescent="0.25">
      <c r="A28" s="27">
        <v>758</v>
      </c>
      <c r="B28" s="28" t="s">
        <v>89</v>
      </c>
      <c r="C28" s="28" t="s">
        <v>10</v>
      </c>
      <c r="D28" s="28" t="s">
        <v>33</v>
      </c>
      <c r="E28" s="28">
        <v>208</v>
      </c>
      <c r="F28" s="28">
        <v>2000</v>
      </c>
      <c r="G28" s="28">
        <v>1400</v>
      </c>
      <c r="H28" s="28">
        <v>2600</v>
      </c>
      <c r="I28" s="29">
        <f>_xlfn.MAXIFS(db_ESP_curves!$B$6:$B$516,db_ESP_curves!$A$6:$A$516,A28)</f>
        <v>3000</v>
      </c>
      <c r="J28" s="28">
        <v>2960</v>
      </c>
      <c r="K28" s="28">
        <v>50</v>
      </c>
      <c r="L28" s="45">
        <v>0.7</v>
      </c>
      <c r="M28" s="32"/>
      <c r="N28" s="30">
        <v>7</v>
      </c>
      <c r="O28" s="28">
        <f>VLOOKUP(N28,series!$A$2:$H$14,4,0)</f>
        <v>136</v>
      </c>
      <c r="P28" s="28">
        <f>VLOOKUP(N28,series!$A$2:$H$14,6,0)</f>
        <v>168</v>
      </c>
      <c r="Q28" s="121">
        <f>VLOOKUP(N28,series!$A$2:$H$14,7,0)</f>
        <v>30</v>
      </c>
      <c r="R28" s="123">
        <f t="shared" si="0"/>
        <v>706.5</v>
      </c>
      <c r="S28" s="28">
        <f>VLOOKUP(N28,series!$A$2:$H$14,8,0)/2</f>
        <v>500</v>
      </c>
      <c r="T28" s="29">
        <f>VLOOKUP(N28,series!$A$2:$H$14,8,0)/1.5</f>
        <v>666.66666666666663</v>
      </c>
      <c r="U28" s="29">
        <f>VLOOKUP(N28,series!$A$2:$H$14,8,0)</f>
        <v>1000</v>
      </c>
      <c r="V28" s="31">
        <v>390</v>
      </c>
      <c r="W28" s="16">
        <f>VLOOKUP(N28,series!$A$2:$H$14,5,0)</f>
        <v>138</v>
      </c>
    </row>
    <row r="29" spans="1:23" x14ac:dyDescent="0.25">
      <c r="A29" s="27">
        <v>759</v>
      </c>
      <c r="B29" s="28" t="s">
        <v>89</v>
      </c>
      <c r="C29" s="28" t="s">
        <v>10</v>
      </c>
      <c r="D29" s="28" t="s">
        <v>34</v>
      </c>
      <c r="E29" s="28">
        <v>135</v>
      </c>
      <c r="F29" s="28">
        <v>1000</v>
      </c>
      <c r="G29" s="28">
        <v>700</v>
      </c>
      <c r="H29" s="28">
        <v>1300</v>
      </c>
      <c r="I29" s="29">
        <f>_xlfn.MAXIFS(db_ESP_curves!$B$6:$B$516,db_ESP_curves!$A$6:$A$516,A29)</f>
        <v>1900</v>
      </c>
      <c r="J29" s="28">
        <v>2910</v>
      </c>
      <c r="K29" s="28">
        <v>50</v>
      </c>
      <c r="L29" s="45">
        <v>0.66</v>
      </c>
      <c r="M29" s="32"/>
      <c r="N29" s="30">
        <v>8</v>
      </c>
      <c r="O29" s="28">
        <f>VLOOKUP(N29,series!$A$2:$H$14,4,0)</f>
        <v>172</v>
      </c>
      <c r="P29" s="28">
        <f>VLOOKUP(N29,series!$A$2:$H$14,6,0)</f>
        <v>205</v>
      </c>
      <c r="Q29" s="121">
        <f>VLOOKUP(N29,series!$A$2:$H$14,7,0)</f>
        <v>38</v>
      </c>
      <c r="R29" s="123">
        <f t="shared" si="0"/>
        <v>1133.54</v>
      </c>
      <c r="S29" s="28">
        <f>VLOOKUP(N29,series!$A$2:$H$14,8,0)/2</f>
        <v>800</v>
      </c>
      <c r="T29" s="29">
        <f>VLOOKUP(N29,series!$A$2:$H$14,8,0)/1.5</f>
        <v>1066.6666666666667</v>
      </c>
      <c r="U29" s="29">
        <f>VLOOKUP(N29,series!$A$2:$H$14,8,0)</f>
        <v>1600</v>
      </c>
      <c r="V29" s="31">
        <v>390</v>
      </c>
      <c r="W29" s="16">
        <f>VLOOKUP(N29,series!$A$2:$H$14,5,0)</f>
        <v>180</v>
      </c>
    </row>
    <row r="30" spans="1:23" x14ac:dyDescent="0.25">
      <c r="A30" s="27">
        <v>760</v>
      </c>
      <c r="B30" s="28" t="s">
        <v>89</v>
      </c>
      <c r="C30" s="28" t="s">
        <v>10</v>
      </c>
      <c r="D30" s="28" t="s">
        <v>35</v>
      </c>
      <c r="E30" s="28">
        <v>90</v>
      </c>
      <c r="F30" s="28">
        <v>2000</v>
      </c>
      <c r="G30" s="28">
        <v>1400</v>
      </c>
      <c r="H30" s="28">
        <v>2600</v>
      </c>
      <c r="I30" s="29">
        <f>_xlfn.MAXIFS(db_ESP_curves!$B$6:$B$516,db_ESP_curves!$A$6:$A$516,A30)</f>
        <v>3200</v>
      </c>
      <c r="J30" s="28">
        <v>2910</v>
      </c>
      <c r="K30" s="28">
        <v>50</v>
      </c>
      <c r="L30" s="45">
        <v>0.65</v>
      </c>
      <c r="M30" s="32"/>
      <c r="N30" s="30">
        <v>8</v>
      </c>
      <c r="O30" s="28">
        <f>VLOOKUP(N30,series!$A$2:$H$14,4,0)</f>
        <v>172</v>
      </c>
      <c r="P30" s="28">
        <f>VLOOKUP(N30,series!$A$2:$H$14,6,0)</f>
        <v>205</v>
      </c>
      <c r="Q30" s="121">
        <f>VLOOKUP(N30,series!$A$2:$H$14,7,0)</f>
        <v>38</v>
      </c>
      <c r="R30" s="123">
        <f t="shared" si="0"/>
        <v>1133.54</v>
      </c>
      <c r="S30" s="28">
        <f>VLOOKUP(N30,series!$A$2:$H$14,8,0)/2</f>
        <v>800</v>
      </c>
      <c r="T30" s="29">
        <f>VLOOKUP(N30,series!$A$2:$H$14,8,0)/1.5</f>
        <v>1066.6666666666667</v>
      </c>
      <c r="U30" s="29">
        <f>VLOOKUP(N30,series!$A$2:$H$14,8,0)</f>
        <v>1600</v>
      </c>
      <c r="V30" s="31">
        <v>390</v>
      </c>
      <c r="W30" s="16">
        <f>VLOOKUP(N30,series!$A$2:$H$14,5,0)</f>
        <v>180</v>
      </c>
    </row>
    <row r="31" spans="1:23" x14ac:dyDescent="0.25">
      <c r="A31" s="27">
        <v>761</v>
      </c>
      <c r="B31" s="28" t="s">
        <v>89</v>
      </c>
      <c r="C31" s="28" t="s">
        <v>10</v>
      </c>
      <c r="D31" s="28" t="s">
        <v>36</v>
      </c>
      <c r="E31" s="28">
        <v>93</v>
      </c>
      <c r="F31" s="28">
        <v>2500</v>
      </c>
      <c r="G31" s="28">
        <v>1700</v>
      </c>
      <c r="H31" s="28">
        <v>3600</v>
      </c>
      <c r="I31" s="29">
        <f>_xlfn.MAXIFS(db_ESP_curves!$B$6:$B$516,db_ESP_curves!$A$6:$A$516,A31)</f>
        <v>4200</v>
      </c>
      <c r="J31" s="28">
        <v>2910</v>
      </c>
      <c r="K31" s="28">
        <v>50</v>
      </c>
      <c r="L31" s="45">
        <v>0.67</v>
      </c>
      <c r="M31" s="32"/>
      <c r="N31" s="30">
        <v>8</v>
      </c>
      <c r="O31" s="28">
        <f>VLOOKUP(N31,series!$A$2:$H$14,4,0)</f>
        <v>172</v>
      </c>
      <c r="P31" s="28">
        <f>VLOOKUP(N31,series!$A$2:$H$14,6,0)</f>
        <v>205</v>
      </c>
      <c r="Q31" s="121">
        <f>VLOOKUP(N31,series!$A$2:$H$14,7,0)</f>
        <v>38</v>
      </c>
      <c r="R31" s="123">
        <f t="shared" si="0"/>
        <v>1133.54</v>
      </c>
      <c r="S31" s="28">
        <f>VLOOKUP(N31,series!$A$2:$H$14,8,0)/2</f>
        <v>800</v>
      </c>
      <c r="T31" s="29">
        <f>VLOOKUP(N31,series!$A$2:$H$14,8,0)/1.5</f>
        <v>1066.6666666666667</v>
      </c>
      <c r="U31" s="29">
        <f>VLOOKUP(N31,series!$A$2:$H$14,8,0)</f>
        <v>1600</v>
      </c>
      <c r="V31" s="31">
        <v>390</v>
      </c>
      <c r="W31" s="16">
        <f>VLOOKUP(N31,series!$A$2:$H$14,5,0)</f>
        <v>180</v>
      </c>
    </row>
    <row r="32" spans="1:23" x14ac:dyDescent="0.25">
      <c r="A32" s="27">
        <v>767</v>
      </c>
      <c r="B32" s="28" t="s">
        <v>89</v>
      </c>
      <c r="C32" s="28" t="s">
        <v>10</v>
      </c>
      <c r="D32" s="28" t="s">
        <v>37</v>
      </c>
      <c r="E32" s="28">
        <v>420</v>
      </c>
      <c r="F32" s="28">
        <v>1250</v>
      </c>
      <c r="G32" s="28">
        <v>1000</v>
      </c>
      <c r="H32" s="28">
        <v>1500</v>
      </c>
      <c r="I32" s="29">
        <f>_xlfn.MAXIFS(db_ESP_curves!$B$6:$B$516,db_ESP_curves!$A$6:$A$516,A32)</f>
        <v>2000</v>
      </c>
      <c r="J32" s="28">
        <v>2910</v>
      </c>
      <c r="K32" s="28">
        <v>50</v>
      </c>
      <c r="L32" s="45">
        <v>0.64</v>
      </c>
      <c r="M32" s="32"/>
      <c r="N32" s="30">
        <v>6</v>
      </c>
      <c r="O32" s="28">
        <f>VLOOKUP(N32,series!$A$2:$H$14,4,0)</f>
        <v>114</v>
      </c>
      <c r="P32" s="28">
        <f>VLOOKUP(N32,series!$A$2:$H$14,6,0)</f>
        <v>148</v>
      </c>
      <c r="Q32" s="121">
        <f>VLOOKUP(N32,series!$A$2:$H$14,7,0)</f>
        <v>25</v>
      </c>
      <c r="R32" s="123">
        <f t="shared" si="0"/>
        <v>490.625</v>
      </c>
      <c r="S32" s="28">
        <f>VLOOKUP(N32,series!$A$2:$H$14,8,0)/2</f>
        <v>202.5</v>
      </c>
      <c r="T32" s="29">
        <f>VLOOKUP(N32,series!$A$2:$H$14,8,0)/1.5</f>
        <v>270</v>
      </c>
      <c r="U32" s="29">
        <f>VLOOKUP(N32,series!$A$2:$H$14,8,0)</f>
        <v>405</v>
      </c>
      <c r="V32" s="31">
        <v>390</v>
      </c>
      <c r="W32" s="16">
        <f>VLOOKUP(N32,series!$A$2:$H$14,5,0)</f>
        <v>130</v>
      </c>
    </row>
    <row r="33" spans="1:23" x14ac:dyDescent="0.25">
      <c r="A33" s="27">
        <v>799</v>
      </c>
      <c r="B33" s="28" t="s">
        <v>89</v>
      </c>
      <c r="C33" s="28" t="s">
        <v>10</v>
      </c>
      <c r="D33" s="28" t="s">
        <v>12</v>
      </c>
      <c r="E33" s="28">
        <v>358</v>
      </c>
      <c r="F33" s="28">
        <v>150</v>
      </c>
      <c r="G33" s="28">
        <v>96</v>
      </c>
      <c r="H33" s="28">
        <v>192</v>
      </c>
      <c r="I33" s="29">
        <f>_xlfn.MAXIFS(db_ESP_curves!$B$6:$B$516,db_ESP_curves!$A$6:$A$516,A33)</f>
        <v>266.79998430000001</v>
      </c>
      <c r="J33" s="28">
        <v>3500</v>
      </c>
      <c r="K33" s="28">
        <v>60</v>
      </c>
      <c r="L33" s="45">
        <v>0.377</v>
      </c>
      <c r="M33" s="32"/>
      <c r="N33" s="30">
        <v>5</v>
      </c>
      <c r="O33" s="28">
        <f>VLOOKUP(N33,series!$A$2:$H$14,4,0)</f>
        <v>92</v>
      </c>
      <c r="P33" s="28">
        <f>VLOOKUP(N33,series!$A$2:$H$14,6,0)</f>
        <v>121.7</v>
      </c>
      <c r="Q33" s="121">
        <f>VLOOKUP(N33,series!$A$2:$H$14,7,0)</f>
        <v>20</v>
      </c>
      <c r="R33" s="123">
        <f t="shared" si="0"/>
        <v>314</v>
      </c>
      <c r="S33" s="28">
        <f>VLOOKUP(N33,series!$A$2:$H$14,8,0)/2</f>
        <v>125</v>
      </c>
      <c r="T33" s="29">
        <f>VLOOKUP(N33,series!$A$2:$H$14,8,0)/1.5</f>
        <v>166.66666666666666</v>
      </c>
      <c r="U33" s="29">
        <f>VLOOKUP(N33,series!$A$2:$H$14,8,0)</f>
        <v>250</v>
      </c>
      <c r="V33" s="31">
        <v>390</v>
      </c>
      <c r="W33" s="16">
        <f>VLOOKUP(N33,series!$A$2:$H$14,5,0)</f>
        <v>103</v>
      </c>
    </row>
    <row r="34" spans="1:23" x14ac:dyDescent="0.25">
      <c r="A34" s="27">
        <v>871</v>
      </c>
      <c r="B34" s="28" t="s">
        <v>89</v>
      </c>
      <c r="C34" s="28" t="s">
        <v>10</v>
      </c>
      <c r="D34" s="28" t="s">
        <v>38</v>
      </c>
      <c r="E34" s="28">
        <v>250</v>
      </c>
      <c r="F34" s="28">
        <v>90</v>
      </c>
      <c r="G34" s="28">
        <v>67</v>
      </c>
      <c r="H34" s="28">
        <v>121</v>
      </c>
      <c r="I34" s="29">
        <f>_xlfn.MAXIFS(db_ESP_curves!$B$6:$B$516,db_ESP_curves!$A$6:$A$516,A34)</f>
        <v>171</v>
      </c>
      <c r="J34" s="28">
        <v>6450</v>
      </c>
      <c r="K34" s="28">
        <v>108</v>
      </c>
      <c r="L34" s="45">
        <v>0.53</v>
      </c>
      <c r="M34" s="32"/>
      <c r="N34" s="30">
        <v>3</v>
      </c>
      <c r="O34" s="28">
        <f>VLOOKUP(N34,series!$A$2:$H$14,4,0)</f>
        <v>81</v>
      </c>
      <c r="P34" s="28">
        <f>VLOOKUP(N34,series!$A$2:$H$14,6,0)</f>
        <v>91</v>
      </c>
      <c r="Q34" s="121">
        <f>VLOOKUP(N34,series!$A$2:$H$14,7,0)</f>
        <v>14</v>
      </c>
      <c r="R34" s="123">
        <f t="shared" si="0"/>
        <v>153.86000000000001</v>
      </c>
      <c r="S34" s="28">
        <f>VLOOKUP(N34,series!$A$2:$H$14,8,0)/2</f>
        <v>75.5</v>
      </c>
      <c r="T34" s="29">
        <f>VLOOKUP(N34,series!$A$2:$H$14,8,0)/1.5</f>
        <v>100.66666666666667</v>
      </c>
      <c r="U34" s="29">
        <f>VLOOKUP(N34,series!$A$2:$H$14,8,0)</f>
        <v>151</v>
      </c>
      <c r="V34" s="31">
        <v>390</v>
      </c>
      <c r="W34" s="16">
        <f>VLOOKUP(N34,series!$A$2:$H$14,5,0)</f>
        <v>81</v>
      </c>
    </row>
    <row r="35" spans="1:23" x14ac:dyDescent="0.25">
      <c r="A35" s="27">
        <v>877</v>
      </c>
      <c r="B35" s="28" t="s">
        <v>89</v>
      </c>
      <c r="C35" s="28" t="s">
        <v>10</v>
      </c>
      <c r="D35" s="28" t="s">
        <v>39</v>
      </c>
      <c r="E35" s="28">
        <v>152</v>
      </c>
      <c r="F35" s="28">
        <v>500</v>
      </c>
      <c r="G35" s="28">
        <v>400</v>
      </c>
      <c r="H35" s="28">
        <v>650</v>
      </c>
      <c r="I35" s="29">
        <f>_xlfn.MAXIFS(db_ESP_curves!$B$6:$B$516,db_ESP_curves!$A$6:$A$516,A35)</f>
        <v>950</v>
      </c>
      <c r="J35" s="28">
        <v>2910</v>
      </c>
      <c r="K35" s="28">
        <v>50</v>
      </c>
      <c r="L35" s="45">
        <v>0.59</v>
      </c>
      <c r="M35" s="32"/>
      <c r="N35" s="30">
        <v>8</v>
      </c>
      <c r="O35" s="28">
        <f>VLOOKUP(N35,series!$A$2:$H$14,4,0)</f>
        <v>172</v>
      </c>
      <c r="P35" s="28">
        <f>VLOOKUP(N35,series!$A$2:$H$14,6,0)</f>
        <v>205</v>
      </c>
      <c r="Q35" s="121">
        <f>VLOOKUP(N35,series!$A$2:$H$14,7,0)</f>
        <v>38</v>
      </c>
      <c r="R35" s="123">
        <f t="shared" si="0"/>
        <v>1133.54</v>
      </c>
      <c r="S35" s="28">
        <f>VLOOKUP(N35,series!$A$2:$H$14,8,0)/2</f>
        <v>800</v>
      </c>
      <c r="T35" s="29">
        <f>VLOOKUP(N35,series!$A$2:$H$14,8,0)/1.5</f>
        <v>1066.6666666666667</v>
      </c>
      <c r="U35" s="29">
        <f>VLOOKUP(N35,series!$A$2:$H$14,8,0)</f>
        <v>1600</v>
      </c>
      <c r="V35" s="31">
        <v>390</v>
      </c>
      <c r="W35" s="16">
        <f>VLOOKUP(N35,series!$A$2:$H$14,5,0)</f>
        <v>180</v>
      </c>
    </row>
    <row r="36" spans="1:23" x14ac:dyDescent="0.25">
      <c r="A36" s="27">
        <v>878</v>
      </c>
      <c r="B36" s="28" t="s">
        <v>89</v>
      </c>
      <c r="C36" s="28" t="s">
        <v>10</v>
      </c>
      <c r="D36" s="28" t="s">
        <v>40</v>
      </c>
      <c r="E36" s="28">
        <v>726</v>
      </c>
      <c r="F36" s="28">
        <v>200</v>
      </c>
      <c r="G36" s="28">
        <v>150</v>
      </c>
      <c r="H36" s="28">
        <v>250</v>
      </c>
      <c r="I36" s="29">
        <f>_xlfn.MAXIFS(db_ESP_curves!$B$6:$B$516,db_ESP_curves!$A$6:$A$516,A36)</f>
        <v>350</v>
      </c>
      <c r="J36" s="28">
        <v>2820</v>
      </c>
      <c r="K36" s="28">
        <v>50</v>
      </c>
      <c r="L36" s="45">
        <v>0.54</v>
      </c>
      <c r="M36" s="32"/>
      <c r="N36" s="30">
        <v>4</v>
      </c>
      <c r="O36" s="28">
        <f>VLOOKUP(N36,series!$A$2:$H$14,4,0)</f>
        <v>86</v>
      </c>
      <c r="P36" s="28">
        <f>VLOOKUP(N36,series!$A$2:$H$14,6,0)</f>
        <v>112.5</v>
      </c>
      <c r="Q36" s="121">
        <f>VLOOKUP(N36,series!$A$2:$H$14,7,0)</f>
        <v>17</v>
      </c>
      <c r="R36" s="123">
        <f t="shared" si="0"/>
        <v>226.86500000000001</v>
      </c>
      <c r="S36" s="28">
        <f>VLOOKUP(N36,series!$A$2:$H$14,8,0)/2</f>
        <v>75</v>
      </c>
      <c r="T36" s="29">
        <f>VLOOKUP(N36,series!$A$2:$H$14,8,0)/1.5</f>
        <v>100</v>
      </c>
      <c r="U36" s="29">
        <f>VLOOKUP(N36,series!$A$2:$H$14,8,0)</f>
        <v>150</v>
      </c>
      <c r="V36" s="31">
        <v>390</v>
      </c>
      <c r="W36" s="16">
        <f>VLOOKUP(N36,series!$A$2:$H$14,5,0)</f>
        <v>96</v>
      </c>
    </row>
    <row r="37" spans="1:23" x14ac:dyDescent="0.25">
      <c r="A37" s="27">
        <v>879</v>
      </c>
      <c r="B37" s="28" t="s">
        <v>89</v>
      </c>
      <c r="C37" s="28" t="s">
        <v>10</v>
      </c>
      <c r="D37" s="28" t="s">
        <v>41</v>
      </c>
      <c r="E37" s="28">
        <v>31</v>
      </c>
      <c r="F37" s="28">
        <v>3000</v>
      </c>
      <c r="G37" s="28">
        <v>2400</v>
      </c>
      <c r="H37" s="28">
        <v>3600</v>
      </c>
      <c r="I37" s="29">
        <f>_xlfn.MAXIFS(db_ESP_curves!$B$6:$B$516,db_ESP_curves!$A$6:$A$516,A37)</f>
        <v>4000</v>
      </c>
      <c r="J37" s="28">
        <v>2910</v>
      </c>
      <c r="K37" s="28">
        <v>50</v>
      </c>
      <c r="L37" s="45">
        <v>0.68</v>
      </c>
      <c r="M37" s="32"/>
      <c r="N37" s="30">
        <v>8</v>
      </c>
      <c r="O37" s="28">
        <f>VLOOKUP(N37,series!$A$2:$H$14,4,0)</f>
        <v>172</v>
      </c>
      <c r="P37" s="28">
        <f>VLOOKUP(N37,series!$A$2:$H$14,6,0)</f>
        <v>205</v>
      </c>
      <c r="Q37" s="121">
        <f>VLOOKUP(N37,series!$A$2:$H$14,7,0)</f>
        <v>38</v>
      </c>
      <c r="R37" s="123">
        <f t="shared" si="0"/>
        <v>1133.54</v>
      </c>
      <c r="S37" s="28">
        <f>VLOOKUP(N37,series!$A$2:$H$14,8,0)/2</f>
        <v>800</v>
      </c>
      <c r="T37" s="29">
        <f>VLOOKUP(N37,series!$A$2:$H$14,8,0)/1.5</f>
        <v>1066.6666666666667</v>
      </c>
      <c r="U37" s="29">
        <f>VLOOKUP(N37,series!$A$2:$H$14,8,0)</f>
        <v>1600</v>
      </c>
      <c r="V37" s="31">
        <v>390</v>
      </c>
      <c r="W37" s="16">
        <f>VLOOKUP(N37,series!$A$2:$H$14,5,0)</f>
        <v>180</v>
      </c>
    </row>
    <row r="38" spans="1:23" x14ac:dyDescent="0.25">
      <c r="A38" s="27">
        <v>1002</v>
      </c>
      <c r="B38" s="28" t="s">
        <v>89</v>
      </c>
      <c r="C38" s="28" t="s">
        <v>10</v>
      </c>
      <c r="D38" s="28" t="s">
        <v>42</v>
      </c>
      <c r="E38" s="28">
        <v>663</v>
      </c>
      <c r="F38" s="28">
        <v>20</v>
      </c>
      <c r="G38" s="28">
        <v>15</v>
      </c>
      <c r="H38" s="28">
        <v>30</v>
      </c>
      <c r="I38" s="29">
        <f>_xlfn.MAXIFS(db_ESP_curves!$B$6:$B$516,db_ESP_curves!$A$6:$A$516,A38)</f>
        <v>65</v>
      </c>
      <c r="J38" s="28">
        <v>2820</v>
      </c>
      <c r="K38" s="28">
        <v>50</v>
      </c>
      <c r="L38" s="45">
        <v>0.35</v>
      </c>
      <c r="M38" s="32"/>
      <c r="N38" s="30">
        <v>4</v>
      </c>
      <c r="O38" s="28">
        <f>VLOOKUP(N38,series!$A$2:$H$14,4,0)</f>
        <v>86</v>
      </c>
      <c r="P38" s="28">
        <f>VLOOKUP(N38,series!$A$2:$H$14,6,0)</f>
        <v>112.5</v>
      </c>
      <c r="Q38" s="121">
        <f>VLOOKUP(N38,series!$A$2:$H$14,7,0)</f>
        <v>17</v>
      </c>
      <c r="R38" s="123">
        <f t="shared" si="0"/>
        <v>226.86500000000001</v>
      </c>
      <c r="S38" s="28">
        <f>VLOOKUP(N38,series!$A$2:$H$14,8,0)/2</f>
        <v>75</v>
      </c>
      <c r="T38" s="29">
        <f>VLOOKUP(N38,series!$A$2:$H$14,8,0)/1.5</f>
        <v>100</v>
      </c>
      <c r="U38" s="29">
        <f>VLOOKUP(N38,series!$A$2:$H$14,8,0)</f>
        <v>150</v>
      </c>
      <c r="V38" s="31">
        <v>390</v>
      </c>
      <c r="W38" s="16">
        <f>VLOOKUP(N38,series!$A$2:$H$14,5,0)</f>
        <v>96</v>
      </c>
    </row>
    <row r="39" spans="1:23" x14ac:dyDescent="0.25">
      <c r="A39" s="27">
        <v>1003</v>
      </c>
      <c r="B39" s="28" t="s">
        <v>89</v>
      </c>
      <c r="C39" s="28" t="s">
        <v>10</v>
      </c>
      <c r="D39" s="28" t="s">
        <v>43</v>
      </c>
      <c r="E39" s="28">
        <v>600</v>
      </c>
      <c r="F39" s="28">
        <v>20</v>
      </c>
      <c r="G39" s="28">
        <v>15</v>
      </c>
      <c r="H39" s="28">
        <v>25</v>
      </c>
      <c r="I39" s="29">
        <f>_xlfn.MAXIFS(db_ESP_curves!$B$6:$B$516,db_ESP_curves!$A$6:$A$516,A39)</f>
        <v>38</v>
      </c>
      <c r="J39" s="28">
        <v>2910</v>
      </c>
      <c r="K39" s="28">
        <v>50</v>
      </c>
      <c r="L39" s="45">
        <v>0.33</v>
      </c>
      <c r="M39" s="32"/>
      <c r="N39" s="30">
        <v>5</v>
      </c>
      <c r="O39" s="28">
        <f>VLOOKUP(N39,series!$A$2:$H$14,4,0)</f>
        <v>92</v>
      </c>
      <c r="P39" s="28">
        <f>VLOOKUP(N39,series!$A$2:$H$14,6,0)</f>
        <v>121.7</v>
      </c>
      <c r="Q39" s="121">
        <f>VLOOKUP(N39,series!$A$2:$H$14,7,0)</f>
        <v>20</v>
      </c>
      <c r="R39" s="123">
        <f t="shared" si="0"/>
        <v>314</v>
      </c>
      <c r="S39" s="28">
        <f>VLOOKUP(N39,series!$A$2:$H$14,8,0)/2</f>
        <v>125</v>
      </c>
      <c r="T39" s="29">
        <f>VLOOKUP(N39,series!$A$2:$H$14,8,0)/1.5</f>
        <v>166.66666666666666</v>
      </c>
      <c r="U39" s="29">
        <f>VLOOKUP(N39,series!$A$2:$H$14,8,0)</f>
        <v>250</v>
      </c>
      <c r="V39" s="31">
        <v>390</v>
      </c>
      <c r="W39" s="16">
        <f>VLOOKUP(N39,series!$A$2:$H$14,5,0)</f>
        <v>103</v>
      </c>
    </row>
    <row r="40" spans="1:23" x14ac:dyDescent="0.25">
      <c r="A40" s="27">
        <v>1004</v>
      </c>
      <c r="B40" s="28" t="s">
        <v>89</v>
      </c>
      <c r="C40" s="28" t="s">
        <v>10</v>
      </c>
      <c r="D40" s="28" t="s">
        <v>44</v>
      </c>
      <c r="E40" s="28">
        <v>591</v>
      </c>
      <c r="F40" s="28">
        <v>35</v>
      </c>
      <c r="G40" s="28">
        <v>22</v>
      </c>
      <c r="H40" s="28">
        <v>50</v>
      </c>
      <c r="I40" s="29">
        <f>_xlfn.MAXIFS(db_ESP_curves!$B$6:$B$516,db_ESP_curves!$A$6:$A$516,A40)</f>
        <v>66</v>
      </c>
      <c r="J40" s="28">
        <v>2910</v>
      </c>
      <c r="K40" s="28">
        <v>50</v>
      </c>
      <c r="L40" s="45">
        <v>0.43</v>
      </c>
      <c r="M40" s="32"/>
      <c r="N40" s="30">
        <v>5</v>
      </c>
      <c r="O40" s="28">
        <f>VLOOKUP(N40,series!$A$2:$H$14,4,0)</f>
        <v>92</v>
      </c>
      <c r="P40" s="28">
        <f>VLOOKUP(N40,series!$A$2:$H$14,6,0)</f>
        <v>121.7</v>
      </c>
      <c r="Q40" s="121">
        <f>VLOOKUP(N40,series!$A$2:$H$14,7,0)</f>
        <v>20</v>
      </c>
      <c r="R40" s="123">
        <f t="shared" si="0"/>
        <v>314</v>
      </c>
      <c r="S40" s="28">
        <f>VLOOKUP(N40,series!$A$2:$H$14,8,0)/2</f>
        <v>125</v>
      </c>
      <c r="T40" s="29">
        <f>VLOOKUP(N40,series!$A$2:$H$14,8,0)/1.5</f>
        <v>166.66666666666666</v>
      </c>
      <c r="U40" s="29">
        <f>VLOOKUP(N40,series!$A$2:$H$14,8,0)</f>
        <v>250</v>
      </c>
      <c r="V40" s="31">
        <v>390</v>
      </c>
      <c r="W40" s="16">
        <f>VLOOKUP(N40,series!$A$2:$H$14,5,0)</f>
        <v>103</v>
      </c>
    </row>
    <row r="41" spans="1:23" x14ac:dyDescent="0.25">
      <c r="A41" s="27">
        <v>1005</v>
      </c>
      <c r="B41" s="28" t="s">
        <v>89</v>
      </c>
      <c r="C41" s="28" t="s">
        <v>10</v>
      </c>
      <c r="D41" s="28" t="s">
        <v>45</v>
      </c>
      <c r="E41" s="28">
        <v>582</v>
      </c>
      <c r="F41" s="28">
        <v>50</v>
      </c>
      <c r="G41" s="28">
        <v>35</v>
      </c>
      <c r="H41" s="28">
        <v>65</v>
      </c>
      <c r="I41" s="29">
        <f>_xlfn.MAXIFS(db_ESP_curves!$B$6:$B$516,db_ESP_curves!$A$6:$A$516,A41)</f>
        <v>95</v>
      </c>
      <c r="J41" s="28">
        <v>2910</v>
      </c>
      <c r="K41" s="28">
        <v>50</v>
      </c>
      <c r="L41" s="45">
        <v>0.48</v>
      </c>
      <c r="M41" s="32"/>
      <c r="N41" s="30">
        <v>5</v>
      </c>
      <c r="O41" s="28">
        <f>VLOOKUP(N41,series!$A$2:$H$14,4,0)</f>
        <v>92</v>
      </c>
      <c r="P41" s="28">
        <f>VLOOKUP(N41,series!$A$2:$H$14,6,0)</f>
        <v>121.7</v>
      </c>
      <c r="Q41" s="121">
        <f>VLOOKUP(N41,series!$A$2:$H$14,7,0)</f>
        <v>20</v>
      </c>
      <c r="R41" s="123">
        <f t="shared" si="0"/>
        <v>314</v>
      </c>
      <c r="S41" s="28">
        <f>VLOOKUP(N41,series!$A$2:$H$14,8,0)/2</f>
        <v>125</v>
      </c>
      <c r="T41" s="29">
        <f>VLOOKUP(N41,series!$A$2:$H$14,8,0)/1.5</f>
        <v>166.66666666666666</v>
      </c>
      <c r="U41" s="29">
        <f>VLOOKUP(N41,series!$A$2:$H$14,8,0)</f>
        <v>250</v>
      </c>
      <c r="V41" s="31">
        <v>390</v>
      </c>
      <c r="W41" s="16">
        <f>VLOOKUP(N41,series!$A$2:$H$14,5,0)</f>
        <v>103</v>
      </c>
    </row>
    <row r="42" spans="1:23" x14ac:dyDescent="0.25">
      <c r="A42" s="27">
        <v>1006</v>
      </c>
      <c r="B42" s="28" t="s">
        <v>89</v>
      </c>
      <c r="C42" s="28" t="s">
        <v>10</v>
      </c>
      <c r="D42" s="28" t="s">
        <v>46</v>
      </c>
      <c r="E42" s="28">
        <v>489</v>
      </c>
      <c r="F42" s="28">
        <v>80</v>
      </c>
      <c r="G42" s="28">
        <v>60</v>
      </c>
      <c r="H42" s="28">
        <v>105</v>
      </c>
      <c r="I42" s="29">
        <f>_xlfn.MAXIFS(db_ESP_curves!$B$6:$B$516,db_ESP_curves!$A$6:$A$516,A42)</f>
        <v>175</v>
      </c>
      <c r="J42" s="28">
        <v>2910</v>
      </c>
      <c r="K42" s="28">
        <v>50</v>
      </c>
      <c r="L42" s="45">
        <v>0.55000000000000004</v>
      </c>
      <c r="M42" s="32"/>
      <c r="N42" s="30">
        <v>5</v>
      </c>
      <c r="O42" s="28">
        <f>VLOOKUP(N42,series!$A$2:$H$14,4,0)</f>
        <v>92</v>
      </c>
      <c r="P42" s="28">
        <f>VLOOKUP(N42,series!$A$2:$H$14,6,0)</f>
        <v>121.7</v>
      </c>
      <c r="Q42" s="121">
        <f>VLOOKUP(N42,series!$A$2:$H$14,7,0)</f>
        <v>20</v>
      </c>
      <c r="R42" s="123">
        <f t="shared" si="0"/>
        <v>314</v>
      </c>
      <c r="S42" s="28">
        <f>VLOOKUP(N42,series!$A$2:$H$14,8,0)/2</f>
        <v>125</v>
      </c>
      <c r="T42" s="29">
        <f>VLOOKUP(N42,series!$A$2:$H$14,8,0)/1.5</f>
        <v>166.66666666666666</v>
      </c>
      <c r="U42" s="29">
        <f>VLOOKUP(N42,series!$A$2:$H$14,8,0)</f>
        <v>250</v>
      </c>
      <c r="V42" s="31">
        <v>390</v>
      </c>
      <c r="W42" s="16">
        <f>VLOOKUP(N42,series!$A$2:$H$14,5,0)</f>
        <v>103</v>
      </c>
    </row>
    <row r="43" spans="1:23" x14ac:dyDescent="0.25">
      <c r="A43" s="27">
        <v>1007</v>
      </c>
      <c r="B43" s="28" t="s">
        <v>89</v>
      </c>
      <c r="C43" s="28" t="s">
        <v>10</v>
      </c>
      <c r="D43" s="28" t="s">
        <v>47</v>
      </c>
      <c r="E43" s="28">
        <v>514</v>
      </c>
      <c r="F43" s="28">
        <v>100</v>
      </c>
      <c r="G43" s="28">
        <v>80</v>
      </c>
      <c r="H43" s="28">
        <v>120</v>
      </c>
      <c r="I43" s="29">
        <f>_xlfn.MAXIFS(db_ESP_curves!$B$6:$B$516,db_ESP_curves!$A$6:$A$516,A43)</f>
        <v>183</v>
      </c>
      <c r="J43" s="28">
        <v>2910</v>
      </c>
      <c r="K43" s="28">
        <v>50</v>
      </c>
      <c r="L43" s="45">
        <v>0.57999999999999996</v>
      </c>
      <c r="M43" s="32"/>
      <c r="N43" s="30">
        <v>5</v>
      </c>
      <c r="O43" s="28">
        <f>VLOOKUP(N43,series!$A$2:$H$14,4,0)</f>
        <v>92</v>
      </c>
      <c r="P43" s="28">
        <f>VLOOKUP(N43,series!$A$2:$H$14,6,0)</f>
        <v>121.7</v>
      </c>
      <c r="Q43" s="121">
        <f>VLOOKUP(N43,series!$A$2:$H$14,7,0)</f>
        <v>20</v>
      </c>
      <c r="R43" s="123">
        <f t="shared" si="0"/>
        <v>314</v>
      </c>
      <c r="S43" s="28">
        <f>VLOOKUP(N43,series!$A$2:$H$14,8,0)/2</f>
        <v>125</v>
      </c>
      <c r="T43" s="29">
        <f>VLOOKUP(N43,series!$A$2:$H$14,8,0)/1.5</f>
        <v>166.66666666666666</v>
      </c>
      <c r="U43" s="29">
        <f>VLOOKUP(N43,series!$A$2:$H$14,8,0)</f>
        <v>250</v>
      </c>
      <c r="V43" s="31">
        <v>390</v>
      </c>
      <c r="W43" s="16">
        <f>VLOOKUP(N43,series!$A$2:$H$14,5,0)</f>
        <v>103</v>
      </c>
    </row>
    <row r="44" spans="1:23" x14ac:dyDescent="0.25">
      <c r="A44" s="27">
        <v>1008</v>
      </c>
      <c r="B44" s="28" t="s">
        <v>89</v>
      </c>
      <c r="C44" s="28" t="s">
        <v>10</v>
      </c>
      <c r="D44" s="28" t="s">
        <v>48</v>
      </c>
      <c r="E44" s="28">
        <v>364</v>
      </c>
      <c r="F44" s="28">
        <v>25</v>
      </c>
      <c r="G44" s="28">
        <v>18</v>
      </c>
      <c r="H44" s="28">
        <v>35</v>
      </c>
      <c r="I44" s="29">
        <f>_xlfn.MAXIFS(db_ESP_curves!$B$6:$B$516,db_ESP_curves!$A$6:$A$516,A44)</f>
        <v>58</v>
      </c>
      <c r="J44" s="28">
        <v>2910</v>
      </c>
      <c r="K44" s="28">
        <v>50</v>
      </c>
      <c r="L44" s="45">
        <v>0.33</v>
      </c>
      <c r="M44" s="32"/>
      <c r="N44" s="30" t="s">
        <v>54</v>
      </c>
      <c r="O44" s="28">
        <f>VLOOKUP(N44,series!$A$2:$H$14,4,0)</f>
        <v>103</v>
      </c>
      <c r="P44" s="28">
        <f>VLOOKUP(N44,series!$A$2:$H$14,6,0)</f>
        <v>130</v>
      </c>
      <c r="Q44" s="121">
        <f>VLOOKUP(N44,series!$A$2:$H$14,7,0)</f>
        <v>22</v>
      </c>
      <c r="R44" s="123">
        <f t="shared" si="0"/>
        <v>379.94</v>
      </c>
      <c r="S44" s="28">
        <f>VLOOKUP(N44,series!$A$2:$H$14,8,0)/2</f>
        <v>165</v>
      </c>
      <c r="T44" s="29">
        <f>VLOOKUP(N44,series!$A$2:$H$14,8,0)/1.5</f>
        <v>220</v>
      </c>
      <c r="U44" s="29">
        <f>VLOOKUP(N44,series!$A$2:$H$14,8,0)</f>
        <v>330</v>
      </c>
      <c r="V44" s="31">
        <v>390</v>
      </c>
      <c r="W44" s="16">
        <f>VLOOKUP(N44,series!$A$2:$H$14,5,0)</f>
        <v>117</v>
      </c>
    </row>
    <row r="45" spans="1:23" x14ac:dyDescent="0.25">
      <c r="A45" s="27">
        <v>1009</v>
      </c>
      <c r="B45" s="28" t="s">
        <v>89</v>
      </c>
      <c r="C45" s="28" t="s">
        <v>10</v>
      </c>
      <c r="D45" s="28" t="s">
        <v>49</v>
      </c>
      <c r="E45" s="28">
        <v>426</v>
      </c>
      <c r="F45" s="28">
        <v>34</v>
      </c>
      <c r="G45" s="28">
        <v>20</v>
      </c>
      <c r="H45" s="28">
        <v>45</v>
      </c>
      <c r="I45" s="29">
        <f>_xlfn.MAXIFS(db_ESP_curves!$B$6:$B$516,db_ESP_curves!$A$6:$A$516,A45)</f>
        <v>60</v>
      </c>
      <c r="J45" s="28">
        <v>2910</v>
      </c>
      <c r="K45" s="28">
        <v>50</v>
      </c>
      <c r="L45" s="45">
        <v>0.39</v>
      </c>
      <c r="M45" s="32"/>
      <c r="N45" s="30" t="s">
        <v>54</v>
      </c>
      <c r="O45" s="28">
        <f>VLOOKUP(N45,series!$A$2:$H$14,4,0)</f>
        <v>103</v>
      </c>
      <c r="P45" s="28">
        <f>VLOOKUP(N45,series!$A$2:$H$14,6,0)</f>
        <v>130</v>
      </c>
      <c r="Q45" s="121">
        <f>VLOOKUP(N45,series!$A$2:$H$14,7,0)</f>
        <v>22</v>
      </c>
      <c r="R45" s="123">
        <f t="shared" si="0"/>
        <v>379.94</v>
      </c>
      <c r="S45" s="28">
        <f>VLOOKUP(N45,series!$A$2:$H$14,8,0)/2</f>
        <v>165</v>
      </c>
      <c r="T45" s="29">
        <f>VLOOKUP(N45,series!$A$2:$H$14,8,0)/1.5</f>
        <v>220</v>
      </c>
      <c r="U45" s="29">
        <f>VLOOKUP(N45,series!$A$2:$H$14,8,0)</f>
        <v>330</v>
      </c>
      <c r="V45" s="31">
        <v>390</v>
      </c>
      <c r="W45" s="16">
        <f>VLOOKUP(N45,series!$A$2:$H$14,5,0)</f>
        <v>117</v>
      </c>
    </row>
    <row r="46" spans="1:23" x14ac:dyDescent="0.25">
      <c r="A46" s="27">
        <v>1012</v>
      </c>
      <c r="B46" s="28" t="s">
        <v>89</v>
      </c>
      <c r="C46" s="28" t="s">
        <v>10</v>
      </c>
      <c r="D46" s="28" t="s">
        <v>50</v>
      </c>
      <c r="E46" s="28">
        <v>150</v>
      </c>
      <c r="F46" s="28">
        <v>30</v>
      </c>
      <c r="G46" s="28">
        <v>20</v>
      </c>
      <c r="H46" s="28">
        <v>40</v>
      </c>
      <c r="I46" s="29">
        <f>_xlfn.MAXIFS(db_ESP_curves!$B$6:$B$516,db_ESP_curves!$A$6:$A$516,A46)</f>
        <v>55</v>
      </c>
      <c r="J46" s="28">
        <v>2910</v>
      </c>
      <c r="K46" s="28">
        <v>50</v>
      </c>
      <c r="L46" s="45">
        <v>0.48</v>
      </c>
      <c r="M46" s="32"/>
      <c r="N46" s="30" t="s">
        <v>97</v>
      </c>
      <c r="O46" s="28">
        <f>VLOOKUP(N46,series!$A$2:$H$14,4,0)</f>
        <v>68</v>
      </c>
      <c r="P46" s="28">
        <f>VLOOKUP(N46,series!$A$2:$H$14,6,0)</f>
        <v>78</v>
      </c>
      <c r="Q46" s="121">
        <f>VLOOKUP(N46,series!$A$2:$H$14,7,0)</f>
        <v>12.8</v>
      </c>
      <c r="R46" s="123">
        <f t="shared" si="0"/>
        <v>128.61440000000002</v>
      </c>
      <c r="S46" s="28">
        <f>VLOOKUP(N46,series!$A$2:$H$14,8,0)/2</f>
        <v>44</v>
      </c>
      <c r="T46" s="29">
        <f>VLOOKUP(N46,series!$A$2:$H$14,8,0)/1.5</f>
        <v>58.666666666666664</v>
      </c>
      <c r="U46" s="29">
        <f>VLOOKUP(N46,series!$A$2:$H$14,8,0)</f>
        <v>88</v>
      </c>
      <c r="V46" s="31">
        <v>390</v>
      </c>
      <c r="W46" s="16">
        <f>VLOOKUP(N46,series!$A$2:$H$14,5,0)</f>
        <v>68</v>
      </c>
    </row>
    <row r="47" spans="1:23" x14ac:dyDescent="0.25">
      <c r="A47" s="27">
        <v>1016</v>
      </c>
      <c r="B47" s="28" t="s">
        <v>89</v>
      </c>
      <c r="C47" s="28" t="s">
        <v>10</v>
      </c>
      <c r="D47" s="28" t="s">
        <v>51</v>
      </c>
      <c r="E47" s="28">
        <v>115</v>
      </c>
      <c r="F47" s="28">
        <v>50</v>
      </c>
      <c r="G47" s="28">
        <v>35</v>
      </c>
      <c r="H47" s="28">
        <v>65</v>
      </c>
      <c r="I47" s="29">
        <f>_xlfn.MAXIFS(db_ESP_curves!$B$6:$B$516,db_ESP_curves!$A$6:$A$516,A47)</f>
        <v>85</v>
      </c>
      <c r="J47" s="28">
        <v>2910</v>
      </c>
      <c r="K47" s="28">
        <v>50</v>
      </c>
      <c r="L47" s="45">
        <v>0.61</v>
      </c>
      <c r="M47" s="32"/>
      <c r="N47" s="30" t="s">
        <v>97</v>
      </c>
      <c r="O47" s="28">
        <f>VLOOKUP(N47,series!$A$2:$H$14,4,0)</f>
        <v>68</v>
      </c>
      <c r="P47" s="28">
        <f>VLOOKUP(N47,series!$A$2:$H$14,6,0)</f>
        <v>78</v>
      </c>
      <c r="Q47" s="121">
        <f>VLOOKUP(N47,series!$A$2:$H$14,7,0)</f>
        <v>12.8</v>
      </c>
      <c r="R47" s="123">
        <f t="shared" si="0"/>
        <v>128.61440000000002</v>
      </c>
      <c r="S47" s="28">
        <f>VLOOKUP(N47,series!$A$2:$H$14,8,0)/2</f>
        <v>44</v>
      </c>
      <c r="T47" s="29">
        <f>VLOOKUP(N47,series!$A$2:$H$14,8,0)/1.5</f>
        <v>58.666666666666664</v>
      </c>
      <c r="U47" s="29">
        <f>VLOOKUP(N47,series!$A$2:$H$14,8,0)</f>
        <v>88</v>
      </c>
      <c r="V47" s="31">
        <v>390</v>
      </c>
      <c r="W47" s="16">
        <f>VLOOKUP(N47,series!$A$2:$H$14,5,0)</f>
        <v>68</v>
      </c>
    </row>
    <row r="48" spans="1:23" x14ac:dyDescent="0.25">
      <c r="A48" s="27">
        <v>1025</v>
      </c>
      <c r="B48" s="28" t="s">
        <v>89</v>
      </c>
      <c r="C48" s="28" t="s">
        <v>10</v>
      </c>
      <c r="D48" s="28" t="s">
        <v>52</v>
      </c>
      <c r="E48" s="28">
        <v>660</v>
      </c>
      <c r="F48" s="28">
        <v>100</v>
      </c>
      <c r="G48" s="28">
        <v>70</v>
      </c>
      <c r="H48" s="28">
        <v>140</v>
      </c>
      <c r="I48" s="29">
        <f>_xlfn.MAXIFS(db_ESP_curves!$B$6:$B$516,db_ESP_curves!$A$6:$A$516,A48)</f>
        <v>200</v>
      </c>
      <c r="J48" s="28">
        <v>2910</v>
      </c>
      <c r="K48" s="28">
        <v>50</v>
      </c>
      <c r="L48" s="45">
        <v>0.65</v>
      </c>
      <c r="M48" s="32"/>
      <c r="N48" s="30" t="s">
        <v>54</v>
      </c>
      <c r="O48" s="28">
        <f>VLOOKUP(N48,series!$A$2:$H$14,4,0)</f>
        <v>103</v>
      </c>
      <c r="P48" s="28">
        <f>VLOOKUP(N48,series!$A$2:$H$14,6,0)</f>
        <v>130</v>
      </c>
      <c r="Q48" s="121">
        <f>VLOOKUP(N48,series!$A$2:$H$14,7,0)</f>
        <v>22</v>
      </c>
      <c r="R48" s="123">
        <f t="shared" si="0"/>
        <v>379.94</v>
      </c>
      <c r="S48" s="28">
        <f>VLOOKUP(N48,series!$A$2:$H$14,8,0)/2</f>
        <v>165</v>
      </c>
      <c r="T48" s="29">
        <f>VLOOKUP(N48,series!$A$2:$H$14,8,0)/1.5</f>
        <v>220</v>
      </c>
      <c r="U48" s="29">
        <f>VLOOKUP(N48,series!$A$2:$H$14,8,0)</f>
        <v>330</v>
      </c>
      <c r="V48" s="31">
        <v>390</v>
      </c>
      <c r="W48" s="16">
        <f>VLOOKUP(N48,series!$A$2:$H$14,5,0)</f>
        <v>117</v>
      </c>
    </row>
    <row r="49" spans="1:23" x14ac:dyDescent="0.25">
      <c r="A49" s="120">
        <f>'68'!R5</f>
        <v>2068</v>
      </c>
      <c r="B49" s="120" t="str">
        <f>'68'!S5</f>
        <v>tnav</v>
      </c>
      <c r="C49" s="120" t="str">
        <f>'68'!T5</f>
        <v>novomet</v>
      </c>
      <c r="D49" s="120" t="str">
        <f>'68'!U5</f>
        <v>ЭЦН5А-100@50Гц</v>
      </c>
      <c r="E49" s="120">
        <f>'68'!V5</f>
        <v>1000</v>
      </c>
      <c r="F49" s="120">
        <f>'68'!W5</f>
        <v>100</v>
      </c>
      <c r="G49" s="120">
        <f>'68'!X5</f>
        <v>70</v>
      </c>
      <c r="H49" s="120">
        <f>'68'!Y5</f>
        <v>140</v>
      </c>
      <c r="I49" s="120">
        <f>'68'!Z5</f>
        <v>185</v>
      </c>
      <c r="J49" s="120">
        <f>'68'!AA5</f>
        <v>2910</v>
      </c>
      <c r="K49" s="120">
        <f>'68'!AB5</f>
        <v>50</v>
      </c>
      <c r="L49" s="128">
        <f>'68'!AC5</f>
        <v>0.58402572501805405</v>
      </c>
      <c r="M49" s="120">
        <f>'68'!AD5</f>
        <v>0</v>
      </c>
      <c r="N49" s="129" t="str">
        <f>'68'!AE5</f>
        <v>5А</v>
      </c>
      <c r="O49" s="120">
        <f>VLOOKUP(N49,series!$A$2:$H$14,4,0)</f>
        <v>103</v>
      </c>
      <c r="P49" s="120">
        <f>VLOOKUP(N49,series!$A$2:$H$14,6,0)</f>
        <v>130</v>
      </c>
      <c r="Q49" s="120">
        <f>VLOOKUP(N49,series!$A$2:$H$14,7,0)</f>
        <v>22</v>
      </c>
      <c r="R49" s="130">
        <f t="shared" si="0"/>
        <v>379.94</v>
      </c>
      <c r="S49" s="120">
        <f>VLOOKUP(N49,series!$A$2:$H$14,8,0)/2</f>
        <v>165</v>
      </c>
      <c r="T49" s="130">
        <f>VLOOKUP(N49,series!$A$2:$H$14,8,0)/1.5</f>
        <v>220</v>
      </c>
      <c r="U49" s="130">
        <f>VLOOKUP(N49,series!$A$2:$H$14,8,0)</f>
        <v>330</v>
      </c>
      <c r="V49" s="120">
        <v>390</v>
      </c>
      <c r="W49" s="120">
        <f>VLOOKUP(N49,series!$A$2:$H$14,5,0)</f>
        <v>117</v>
      </c>
    </row>
    <row r="50" spans="1:23" x14ac:dyDescent="0.25">
      <c r="A50" s="120">
        <f>'80'!R5</f>
        <v>2080</v>
      </c>
      <c r="B50" s="120" t="s">
        <v>478</v>
      </c>
      <c r="C50" s="120" t="s">
        <v>479</v>
      </c>
      <c r="D50" s="120" t="s">
        <v>482</v>
      </c>
      <c r="E50" s="120">
        <v>1000</v>
      </c>
      <c r="F50" s="120">
        <v>240</v>
      </c>
      <c r="G50" s="120">
        <v>190</v>
      </c>
      <c r="H50" s="120">
        <v>280</v>
      </c>
      <c r="I50" s="120">
        <v>405</v>
      </c>
      <c r="J50" s="120">
        <v>2910</v>
      </c>
      <c r="K50" s="120">
        <v>50</v>
      </c>
      <c r="L50" s="128">
        <v>0.46295460257469101</v>
      </c>
      <c r="M50" s="120"/>
      <c r="N50" s="129" t="s">
        <v>228</v>
      </c>
      <c r="O50" s="120">
        <f>VLOOKUP(N50,series!$A$2:$H$14,4,0)</f>
        <v>103</v>
      </c>
      <c r="P50" s="120">
        <f>VLOOKUP(N50,series!$A$2:$H$14,6,0)</f>
        <v>130</v>
      </c>
      <c r="Q50" s="120">
        <f>VLOOKUP(N50,series!$A$2:$H$14,7,0)</f>
        <v>22</v>
      </c>
      <c r="R50" s="130">
        <f t="shared" si="0"/>
        <v>379.94</v>
      </c>
      <c r="S50" s="120">
        <f>VLOOKUP(N50,series!$A$2:$H$14,8,0)/2</f>
        <v>165</v>
      </c>
      <c r="T50" s="130">
        <f>VLOOKUP(N50,series!$A$2:$H$14,8,0)/1.5</f>
        <v>220</v>
      </c>
      <c r="U50" s="130">
        <f>VLOOKUP(N50,series!$A$2:$H$14,8,0)</f>
        <v>330</v>
      </c>
      <c r="V50" s="120">
        <v>390</v>
      </c>
      <c r="W50" s="120">
        <f>VLOOKUP(N50,series!$A$2:$H$14,5,0)</f>
        <v>117</v>
      </c>
    </row>
    <row r="51" spans="1:23" x14ac:dyDescent="0.25">
      <c r="A51" s="120">
        <f>'84'!R5</f>
        <v>2084</v>
      </c>
      <c r="B51" s="120" t="str">
        <f>'84'!S5</f>
        <v>tnav</v>
      </c>
      <c r="C51" s="120" t="str">
        <f>'84'!T5</f>
        <v>novomet</v>
      </c>
      <c r="D51" s="120" t="str">
        <f>'84'!U5</f>
        <v>ЭЦН5А-400@50Гц</v>
      </c>
      <c r="E51" s="120">
        <f>'84'!V5</f>
        <v>1000</v>
      </c>
      <c r="F51" s="120">
        <f>'84'!W5</f>
        <v>400</v>
      </c>
      <c r="G51" s="120">
        <f>'84'!X5</f>
        <v>300</v>
      </c>
      <c r="H51" s="120">
        <f>'84'!Y5</f>
        <v>500</v>
      </c>
      <c r="I51" s="120">
        <f>'84'!Z5</f>
        <v>634</v>
      </c>
      <c r="J51" s="120">
        <f>'84'!AA5</f>
        <v>2910</v>
      </c>
      <c r="K51" s="120">
        <f>'84'!AB5</f>
        <v>50</v>
      </c>
      <c r="L51" s="128">
        <f>'84'!AC5</f>
        <v>0.64274557505337204</v>
      </c>
      <c r="M51" s="120">
        <f>'84'!AD5</f>
        <v>0</v>
      </c>
      <c r="N51" s="129" t="str">
        <f>'84'!AE5</f>
        <v>5А</v>
      </c>
      <c r="O51" s="120">
        <f>VLOOKUP(N51,series!$A$2:$H$14,4,0)</f>
        <v>103</v>
      </c>
      <c r="P51" s="120">
        <f>VLOOKUP(N51,series!$A$2:$H$14,6,0)</f>
        <v>130</v>
      </c>
      <c r="Q51" s="120">
        <f>VLOOKUP(N51,series!$A$2:$H$14,7,0)</f>
        <v>22</v>
      </c>
      <c r="R51" s="130">
        <f t="shared" si="0"/>
        <v>379.94</v>
      </c>
      <c r="S51" s="120">
        <f>VLOOKUP(N51,series!$A$2:$H$14,8,0)/2</f>
        <v>165</v>
      </c>
      <c r="T51" s="130">
        <f>VLOOKUP(N51,series!$A$2:$H$14,8,0)/1.5</f>
        <v>220</v>
      </c>
      <c r="U51" s="130">
        <f>VLOOKUP(N51,series!$A$2:$H$14,8,0)</f>
        <v>330</v>
      </c>
      <c r="V51" s="120">
        <v>390</v>
      </c>
      <c r="W51" s="120">
        <f>VLOOKUP(N51,series!$A$2:$H$14,5,0)</f>
        <v>117</v>
      </c>
    </row>
    <row r="52" spans="1:23" x14ac:dyDescent="0.25">
      <c r="A52" s="120">
        <f>'86'!R5</f>
        <v>2086</v>
      </c>
      <c r="B52" s="120" t="str">
        <f>'86'!S5</f>
        <v>tnav</v>
      </c>
      <c r="C52" s="120" t="str">
        <f>'86'!T5</f>
        <v>novomet</v>
      </c>
      <c r="D52" s="120" t="str">
        <f>'86'!U5</f>
        <v>ЭЦН5А-500@50Гц</v>
      </c>
      <c r="E52" s="120">
        <f>'86'!V5</f>
        <v>1000</v>
      </c>
      <c r="F52" s="120">
        <f>'86'!W5</f>
        <v>500</v>
      </c>
      <c r="G52" s="120">
        <f>'86'!X5</f>
        <v>350</v>
      </c>
      <c r="H52" s="120">
        <f>'86'!Y5</f>
        <v>600</v>
      </c>
      <c r="I52" s="120">
        <f>'86'!Z5</f>
        <v>780</v>
      </c>
      <c r="J52" s="120">
        <f>'86'!AA5</f>
        <v>2910</v>
      </c>
      <c r="K52" s="120">
        <f>'86'!AB5</f>
        <v>50</v>
      </c>
      <c r="L52" s="128">
        <f>'86'!AC5</f>
        <v>0.61372443202045102</v>
      </c>
      <c r="M52" s="120">
        <f>'86'!AD5</f>
        <v>0</v>
      </c>
      <c r="N52" s="129" t="str">
        <f>'86'!AE5</f>
        <v>5А</v>
      </c>
      <c r="O52" s="120">
        <f>VLOOKUP(N52,series!$A$2:$H$14,4,0)</f>
        <v>103</v>
      </c>
      <c r="P52" s="120">
        <f>VLOOKUP(N52,series!$A$2:$H$14,6,0)</f>
        <v>130</v>
      </c>
      <c r="Q52" s="120">
        <f>VLOOKUP(N52,series!$A$2:$H$14,7,0)</f>
        <v>22</v>
      </c>
      <c r="R52" s="130">
        <f t="shared" si="0"/>
        <v>379.94</v>
      </c>
      <c r="S52" s="120">
        <f>VLOOKUP(N52,series!$A$2:$H$14,8,0)/2</f>
        <v>165</v>
      </c>
      <c r="T52" s="130">
        <f>VLOOKUP(N52,series!$A$2:$H$14,8,0)/1.5</f>
        <v>220</v>
      </c>
      <c r="U52" s="130">
        <f>VLOOKUP(N52,series!$A$2:$H$14,8,0)</f>
        <v>330</v>
      </c>
      <c r="V52" s="120">
        <v>390</v>
      </c>
      <c r="W52" s="120">
        <f>VLOOKUP(N52,series!$A$2:$H$14,5,0)</f>
        <v>117</v>
      </c>
    </row>
    <row r="53" spans="1:23" x14ac:dyDescent="0.25">
      <c r="A53" s="120">
        <f>'88'!R5</f>
        <v>2088</v>
      </c>
      <c r="B53" s="120" t="str">
        <f>'88'!S5</f>
        <v>tnav</v>
      </c>
      <c r="C53" s="120" t="str">
        <f>'88'!T5</f>
        <v>novomet</v>
      </c>
      <c r="D53" s="120" t="str">
        <f>'88'!U5</f>
        <v>ЭЦН5А-700@50Гц</v>
      </c>
      <c r="E53" s="120">
        <f>'88'!V5</f>
        <v>1000</v>
      </c>
      <c r="F53" s="120">
        <f>'88'!W5</f>
        <v>700</v>
      </c>
      <c r="G53" s="120">
        <f>'88'!X5</f>
        <v>500</v>
      </c>
      <c r="H53" s="120">
        <f>'88'!Y5</f>
        <v>900</v>
      </c>
      <c r="I53" s="120">
        <f>'88'!Z5</f>
        <v>1050</v>
      </c>
      <c r="J53" s="120">
        <f>'88'!AA5</f>
        <v>2910</v>
      </c>
      <c r="K53" s="120">
        <f>'88'!AB5</f>
        <v>50</v>
      </c>
      <c r="L53" s="128">
        <f>'88'!AC5</f>
        <v>0.61942919137039898</v>
      </c>
      <c r="M53" s="120">
        <f>'88'!AD5</f>
        <v>0</v>
      </c>
      <c r="N53" s="129" t="str">
        <f>'88'!AE5</f>
        <v>5А</v>
      </c>
      <c r="O53" s="120">
        <f>VLOOKUP(N53,series!$A$2:$H$14,4,0)</f>
        <v>103</v>
      </c>
      <c r="P53" s="120">
        <f>VLOOKUP(N53,series!$A$2:$H$14,6,0)</f>
        <v>130</v>
      </c>
      <c r="Q53" s="120">
        <f>VLOOKUP(N53,series!$A$2:$H$14,7,0)</f>
        <v>22</v>
      </c>
      <c r="R53" s="130">
        <f t="shared" si="0"/>
        <v>379.94</v>
      </c>
      <c r="S53" s="120">
        <f>VLOOKUP(N53,series!$A$2:$H$14,8,0)/2</f>
        <v>165</v>
      </c>
      <c r="T53" s="130">
        <f>VLOOKUP(N53,series!$A$2:$H$14,8,0)/1.5</f>
        <v>220</v>
      </c>
      <c r="U53" s="130">
        <f>VLOOKUP(N53,series!$A$2:$H$14,8,0)</f>
        <v>330</v>
      </c>
      <c r="V53" s="120">
        <v>390</v>
      </c>
      <c r="W53" s="120">
        <f>VLOOKUP(N53,series!$A$2:$H$14,5,0)</f>
        <v>117</v>
      </c>
    </row>
    <row r="54" spans="1:23" x14ac:dyDescent="0.25">
      <c r="A54" s="120">
        <f>'158'!R5</f>
        <v>2158</v>
      </c>
      <c r="B54" s="120" t="str">
        <f>'158'!S5</f>
        <v>tnav</v>
      </c>
      <c r="C54" s="120" t="str">
        <f>'158'!T5</f>
        <v>novomet</v>
      </c>
      <c r="D54" s="120" t="str">
        <f>'158'!U5</f>
        <v>ЭЦН5-140@50Гц</v>
      </c>
      <c r="E54" s="120">
        <f>'158'!V5</f>
        <v>1000</v>
      </c>
      <c r="F54" s="120">
        <f>'158'!W5</f>
        <v>140</v>
      </c>
      <c r="G54" s="120">
        <f>'158'!X5</f>
        <v>80</v>
      </c>
      <c r="H54" s="120">
        <f>'158'!Y5</f>
        <v>180</v>
      </c>
      <c r="I54" s="120">
        <f>'158'!Z5</f>
        <v>230</v>
      </c>
      <c r="J54" s="120">
        <f>'158'!AA5</f>
        <v>2910</v>
      </c>
      <c r="K54" s="120">
        <f>'158'!AB5</f>
        <v>50</v>
      </c>
      <c r="L54" s="128">
        <f>'158'!AC5</f>
        <v>0.65262903768067004</v>
      </c>
      <c r="M54" s="120">
        <f>'158'!AD5</f>
        <v>0</v>
      </c>
      <c r="N54" s="120">
        <f>'158'!AE5</f>
        <v>5</v>
      </c>
      <c r="O54" s="120">
        <f>VLOOKUP(N54,series!$A$2:$H$14,4,0)</f>
        <v>92</v>
      </c>
      <c r="P54" s="120">
        <f>VLOOKUP(N54,series!$A$2:$H$14,6,0)</f>
        <v>121.7</v>
      </c>
      <c r="Q54" s="120">
        <f>VLOOKUP(N54,series!$A$2:$H$14,7,0)</f>
        <v>20</v>
      </c>
      <c r="R54" s="130">
        <f t="shared" si="0"/>
        <v>314</v>
      </c>
      <c r="S54" s="120">
        <f>VLOOKUP(N54,series!$A$2:$H$14,8,0)/2</f>
        <v>125</v>
      </c>
      <c r="T54" s="130">
        <f>VLOOKUP(N54,series!$A$2:$H$14,8,0)/1.5</f>
        <v>166.66666666666666</v>
      </c>
      <c r="U54" s="130">
        <f>VLOOKUP(N54,series!$A$2:$H$14,8,0)</f>
        <v>250</v>
      </c>
      <c r="V54" s="120">
        <v>390</v>
      </c>
      <c r="W54" s="120">
        <f>VLOOKUP(N54,series!$A$2:$H$14,5,0)</f>
        <v>103</v>
      </c>
    </row>
    <row r="55" spans="1:23" x14ac:dyDescent="0.25">
      <c r="A55" s="120">
        <f>'161'!R5</f>
        <v>2161</v>
      </c>
      <c r="B55" s="120" t="str">
        <f>'161'!S5</f>
        <v>tnav</v>
      </c>
      <c r="C55" s="120" t="str">
        <f>'161'!T5</f>
        <v>novomet</v>
      </c>
      <c r="D55" s="120" t="str">
        <f>'161'!U5</f>
        <v>ЭЦН5-200@50Гц</v>
      </c>
      <c r="E55" s="120">
        <f>'161'!V5</f>
        <v>1000</v>
      </c>
      <c r="F55" s="120">
        <f>'161'!W5</f>
        <v>200</v>
      </c>
      <c r="G55" s="120">
        <f>'161'!X5</f>
        <v>140</v>
      </c>
      <c r="H55" s="120">
        <f>'161'!Y5</f>
        <v>250</v>
      </c>
      <c r="I55" s="120">
        <f>'161'!Z5</f>
        <v>300</v>
      </c>
      <c r="J55" s="120">
        <f>'161'!AA5</f>
        <v>2910</v>
      </c>
      <c r="K55" s="120">
        <f>'161'!AB5</f>
        <v>50</v>
      </c>
      <c r="L55" s="128">
        <f>'161'!AC5</f>
        <v>0.52561566014959404</v>
      </c>
      <c r="M55" s="120">
        <f>'161'!AD5</f>
        <v>0</v>
      </c>
      <c r="N55" s="120">
        <f>'161'!AE5</f>
        <v>5</v>
      </c>
      <c r="O55" s="120">
        <f>VLOOKUP(N55,series!$A$2:$H$14,4,0)</f>
        <v>92</v>
      </c>
      <c r="P55" s="120">
        <f>VLOOKUP(N55,series!$A$2:$H$14,6,0)</f>
        <v>121.7</v>
      </c>
      <c r="Q55" s="120">
        <f>VLOOKUP(N55,series!$A$2:$H$14,7,0)</f>
        <v>20</v>
      </c>
      <c r="R55" s="130">
        <f t="shared" si="0"/>
        <v>314</v>
      </c>
      <c r="S55" s="120">
        <f>VLOOKUP(N55,series!$A$2:$H$14,8,0)/2</f>
        <v>125</v>
      </c>
      <c r="T55" s="130">
        <f>VLOOKUP(N55,series!$A$2:$H$14,8,0)/1.5</f>
        <v>166.66666666666666</v>
      </c>
      <c r="U55" s="130">
        <f>VLOOKUP(N55,series!$A$2:$H$14,8,0)</f>
        <v>250</v>
      </c>
      <c r="V55" s="120">
        <v>390</v>
      </c>
      <c r="W55" s="120">
        <f>VLOOKUP(N55,series!$A$2:$H$14,5,0)</f>
        <v>103</v>
      </c>
    </row>
    <row r="56" spans="1:23" x14ac:dyDescent="0.25">
      <c r="A56" s="120">
        <f>'166'!R5</f>
        <v>2166</v>
      </c>
      <c r="B56" s="120" t="str">
        <f>'166'!S5</f>
        <v>tnav</v>
      </c>
      <c r="C56" s="120" t="str">
        <f>'166'!T5</f>
        <v>novomet</v>
      </c>
      <c r="D56" s="120" t="str">
        <f>'166'!U5</f>
        <v>ЭЦН5-320@50Гц</v>
      </c>
      <c r="E56" s="120">
        <f>'166'!V5</f>
        <v>1000</v>
      </c>
      <c r="F56" s="120">
        <f>'166'!W5</f>
        <v>320</v>
      </c>
      <c r="G56" s="120">
        <f>'166'!X5</f>
        <v>240</v>
      </c>
      <c r="H56" s="120">
        <f>'166'!Y5</f>
        <v>400</v>
      </c>
      <c r="I56" s="120">
        <f>'166'!Z5</f>
        <v>500</v>
      </c>
      <c r="J56" s="120">
        <f>'166'!AA5</f>
        <v>2910</v>
      </c>
      <c r="K56" s="120">
        <f>'166'!AB5</f>
        <v>50</v>
      </c>
      <c r="L56" s="128">
        <f>'166'!AC5</f>
        <v>0.66692914126930103</v>
      </c>
      <c r="M56" s="120">
        <f>'166'!AD5</f>
        <v>0</v>
      </c>
      <c r="N56" s="120">
        <f>'166'!AE5</f>
        <v>5</v>
      </c>
      <c r="O56" s="120">
        <f>VLOOKUP(N56,series!$A$2:$H$14,4,0)</f>
        <v>92</v>
      </c>
      <c r="P56" s="120">
        <f>VLOOKUP(N56,series!$A$2:$H$14,6,0)</f>
        <v>121.7</v>
      </c>
      <c r="Q56" s="120">
        <f>VLOOKUP(N56,series!$A$2:$H$14,7,0)</f>
        <v>20</v>
      </c>
      <c r="R56" s="130">
        <f t="shared" si="0"/>
        <v>314</v>
      </c>
      <c r="S56" s="120">
        <f>VLOOKUP(N56,series!$A$2:$H$14,8,0)/2</f>
        <v>125</v>
      </c>
      <c r="T56" s="130">
        <f>VLOOKUP(N56,series!$A$2:$H$14,8,0)/1.5</f>
        <v>166.66666666666666</v>
      </c>
      <c r="U56" s="130">
        <f>VLOOKUP(N56,series!$A$2:$H$14,8,0)</f>
        <v>250</v>
      </c>
      <c r="V56" s="120">
        <v>390</v>
      </c>
      <c r="W56" s="120">
        <f>VLOOKUP(N56,series!$A$2:$H$14,5,0)</f>
        <v>103</v>
      </c>
    </row>
    <row r="57" spans="1:23" x14ac:dyDescent="0.25">
      <c r="A57" s="120">
        <f>'168'!R5</f>
        <v>2168</v>
      </c>
      <c r="B57" s="120" t="str">
        <f>'168'!S5</f>
        <v>tnav</v>
      </c>
      <c r="C57" s="120" t="str">
        <f>'168'!T5</f>
        <v>novomet</v>
      </c>
      <c r="D57" s="120" t="str">
        <f>'168'!U5</f>
        <v>ЭЦН5-400@50Гц</v>
      </c>
      <c r="E57" s="120">
        <f>'168'!V5</f>
        <v>1000</v>
      </c>
      <c r="F57" s="120">
        <f>'168'!W5</f>
        <v>400</v>
      </c>
      <c r="G57" s="120">
        <f>'168'!X5</f>
        <v>320</v>
      </c>
      <c r="H57" s="120">
        <f>'168'!Y5</f>
        <v>480</v>
      </c>
      <c r="I57" s="120">
        <f>'168'!Z5</f>
        <v>700</v>
      </c>
      <c r="J57" s="120">
        <f>'168'!AA5</f>
        <v>2910</v>
      </c>
      <c r="K57" s="120">
        <f>'168'!AB5</f>
        <v>50</v>
      </c>
      <c r="L57" s="128">
        <f>'168'!AC5</f>
        <v>0.65838367111004004</v>
      </c>
      <c r="M57" s="120">
        <f>'168'!AD5</f>
        <v>0</v>
      </c>
      <c r="N57" s="120">
        <f>'168'!AE5</f>
        <v>5</v>
      </c>
      <c r="O57" s="120">
        <f>VLOOKUP(N57,series!$A$2:$H$14,4,0)</f>
        <v>92</v>
      </c>
      <c r="P57" s="120">
        <f>VLOOKUP(N57,series!$A$2:$H$14,6,0)</f>
        <v>121.7</v>
      </c>
      <c r="Q57" s="120">
        <f>VLOOKUP(N57,series!$A$2:$H$14,7,0)</f>
        <v>20</v>
      </c>
      <c r="R57" s="130">
        <f t="shared" si="0"/>
        <v>314</v>
      </c>
      <c r="S57" s="120">
        <f>VLOOKUP(N57,series!$A$2:$H$14,8,0)/2</f>
        <v>125</v>
      </c>
      <c r="T57" s="130">
        <f>VLOOKUP(N57,series!$A$2:$H$14,8,0)/1.5</f>
        <v>166.66666666666666</v>
      </c>
      <c r="U57" s="130">
        <f>VLOOKUP(N57,series!$A$2:$H$14,8,0)</f>
        <v>250</v>
      </c>
      <c r="V57" s="120">
        <v>390</v>
      </c>
      <c r="W57" s="120">
        <f>VLOOKUP(N57,series!$A$2:$H$14,5,0)</f>
        <v>103</v>
      </c>
    </row>
    <row r="58" spans="1:23" x14ac:dyDescent="0.25">
      <c r="A58" s="120">
        <f>'191'!R5</f>
        <v>2191</v>
      </c>
      <c r="B58" s="120" t="str">
        <f>'191'!S5</f>
        <v>tnav</v>
      </c>
      <c r="C58" s="120" t="str">
        <f>'191'!T5</f>
        <v>novomet</v>
      </c>
      <c r="D58" s="120" t="str">
        <f>'191'!U5</f>
        <v>ЭЦН5А-320@50Гц</v>
      </c>
      <c r="E58" s="120">
        <f>'191'!V5</f>
        <v>1000</v>
      </c>
      <c r="F58" s="120">
        <f>'191'!W5</f>
        <v>320</v>
      </c>
      <c r="G58" s="120">
        <f>'191'!X5</f>
        <v>240</v>
      </c>
      <c r="H58" s="120">
        <f>'191'!Y5</f>
        <v>400</v>
      </c>
      <c r="I58" s="120">
        <f>'191'!Z5</f>
        <v>540</v>
      </c>
      <c r="J58" s="120">
        <f>'191'!AA5</f>
        <v>2910</v>
      </c>
      <c r="K58" s="120">
        <f>'191'!AB5</f>
        <v>50</v>
      </c>
      <c r="L58" s="128">
        <f>'191'!AC5</f>
        <v>0.70055468130292098</v>
      </c>
      <c r="M58" s="120">
        <f>'191'!AD5</f>
        <v>0</v>
      </c>
      <c r="N58" s="120" t="str">
        <f>'191'!AE5</f>
        <v>5А</v>
      </c>
      <c r="O58" s="120">
        <f>VLOOKUP(N58,series!$A$2:$H$14,4,0)</f>
        <v>103</v>
      </c>
      <c r="P58" s="120">
        <f>VLOOKUP(N58,series!$A$2:$H$14,6,0)</f>
        <v>130</v>
      </c>
      <c r="Q58" s="120">
        <f>VLOOKUP(N58,series!$A$2:$H$14,7,0)</f>
        <v>22</v>
      </c>
      <c r="R58" s="130">
        <f t="shared" si="0"/>
        <v>379.94</v>
      </c>
      <c r="S58" s="120">
        <f>VLOOKUP(N58,series!$A$2:$H$14,8,0)/2</f>
        <v>165</v>
      </c>
      <c r="T58" s="130">
        <f>VLOOKUP(N58,series!$A$2:$H$14,8,0)/1.5</f>
        <v>220</v>
      </c>
      <c r="U58" s="130">
        <f>VLOOKUP(N58,series!$A$2:$H$14,8,0)</f>
        <v>330</v>
      </c>
      <c r="V58" s="120">
        <v>390</v>
      </c>
      <c r="W58" s="120">
        <f>VLOOKUP(N58,series!$A$2:$H$14,5,0)</f>
        <v>117</v>
      </c>
    </row>
    <row r="59" spans="1:23" x14ac:dyDescent="0.25">
      <c r="A59" s="120">
        <f>'193'!R5</f>
        <v>2193</v>
      </c>
      <c r="B59" s="120" t="str">
        <f>'193'!S5</f>
        <v>tnav</v>
      </c>
      <c r="C59" s="120" t="str">
        <f>'193'!T5</f>
        <v>novomet</v>
      </c>
      <c r="D59" s="120" t="str">
        <f>'193'!U5</f>
        <v>ЭЦН5А-400@50Гц</v>
      </c>
      <c r="E59" s="120">
        <f>'193'!V5</f>
        <v>1000</v>
      </c>
      <c r="F59" s="120">
        <f>'193'!W5</f>
        <v>400</v>
      </c>
      <c r="G59" s="120">
        <f>'193'!X5</f>
        <v>320</v>
      </c>
      <c r="H59" s="120">
        <f>'193'!Y5</f>
        <v>480</v>
      </c>
      <c r="I59" s="120">
        <f>'193'!Z5</f>
        <v>677</v>
      </c>
      <c r="J59" s="120">
        <f>'193'!AA5</f>
        <v>2910</v>
      </c>
      <c r="K59" s="120">
        <f>'193'!AB5</f>
        <v>50</v>
      </c>
      <c r="L59" s="128">
        <f>'193'!AC5</f>
        <v>0.60468908644322295</v>
      </c>
      <c r="M59" s="120">
        <f>'193'!AD5</f>
        <v>0</v>
      </c>
      <c r="N59" s="120" t="str">
        <f>'193'!AE5</f>
        <v>5А</v>
      </c>
      <c r="O59" s="120">
        <f>VLOOKUP(N59,series!$A$2:$H$14,4,0)</f>
        <v>103</v>
      </c>
      <c r="P59" s="120">
        <f>VLOOKUP(N59,series!$A$2:$H$14,6,0)</f>
        <v>130</v>
      </c>
      <c r="Q59" s="120">
        <f>VLOOKUP(N59,series!$A$2:$H$14,7,0)</f>
        <v>22</v>
      </c>
      <c r="R59" s="130">
        <f t="shared" si="0"/>
        <v>379.94</v>
      </c>
      <c r="S59" s="120">
        <f>VLOOKUP(N59,series!$A$2:$H$14,8,0)/2</f>
        <v>165</v>
      </c>
      <c r="T59" s="130">
        <f>VLOOKUP(N59,series!$A$2:$H$14,8,0)/1.5</f>
        <v>220</v>
      </c>
      <c r="U59" s="130">
        <f>VLOOKUP(N59,series!$A$2:$H$14,8,0)</f>
        <v>330</v>
      </c>
      <c r="V59" s="120">
        <v>390</v>
      </c>
      <c r="W59" s="120">
        <f>VLOOKUP(N59,series!$A$2:$H$14,5,0)</f>
        <v>117</v>
      </c>
    </row>
    <row r="60" spans="1:23" x14ac:dyDescent="0.25">
      <c r="A60" s="120">
        <f>'89'!R5</f>
        <v>2089</v>
      </c>
      <c r="B60" s="120" t="str">
        <f>'89'!S5</f>
        <v>tnav</v>
      </c>
      <c r="C60" s="120" t="str">
        <f>'89'!T5</f>
        <v>novomet</v>
      </c>
      <c r="D60" s="120" t="str">
        <f>'89'!U5</f>
        <v>ЭЦН5А-80@50Гц</v>
      </c>
      <c r="E60" s="120">
        <f>'89'!V5</f>
        <v>1000</v>
      </c>
      <c r="F60" s="120">
        <f>'89'!W5</f>
        <v>80</v>
      </c>
      <c r="G60" s="120">
        <f>'89'!X5</f>
        <v>60</v>
      </c>
      <c r="H60" s="120">
        <f>'89'!Y5</f>
        <v>100</v>
      </c>
      <c r="I60" s="120">
        <f>'89'!Z5</f>
        <v>136</v>
      </c>
      <c r="J60" s="120">
        <f>'89'!AA5</f>
        <v>2910</v>
      </c>
      <c r="K60" s="120">
        <f>'89'!AB5</f>
        <v>50</v>
      </c>
      <c r="L60" s="120">
        <f>'89'!AC5</f>
        <v>0.55978618276000702</v>
      </c>
      <c r="M60" s="120">
        <f>'89'!AD5</f>
        <v>0</v>
      </c>
      <c r="N60" s="120" t="str">
        <f>'89'!AE5</f>
        <v>5А</v>
      </c>
      <c r="O60" s="120">
        <f>VLOOKUP(N60,series!$A$2:$H$14,4,0)</f>
        <v>103</v>
      </c>
      <c r="P60" s="120">
        <f>VLOOKUP(N60,series!$A$2:$H$14,6,0)</f>
        <v>130</v>
      </c>
      <c r="Q60" s="120">
        <f>VLOOKUP(N60,series!$A$2:$H$14,7,0)</f>
        <v>22</v>
      </c>
      <c r="R60" s="130">
        <f t="shared" si="0"/>
        <v>379.94</v>
      </c>
      <c r="S60" s="120">
        <f>VLOOKUP(N60,series!$A$2:$H$14,8,0)/2</f>
        <v>165</v>
      </c>
      <c r="T60" s="130">
        <f>VLOOKUP(N60,series!$A$2:$H$14,8,0)/1.5</f>
        <v>220</v>
      </c>
      <c r="U60" s="130">
        <f>VLOOKUP(N60,series!$A$2:$H$14,8,0)</f>
        <v>330</v>
      </c>
      <c r="V60" s="120">
        <v>390</v>
      </c>
      <c r="W60" s="120">
        <f>VLOOKUP(N60,series!$A$2:$H$14,5,0)</f>
        <v>117</v>
      </c>
    </row>
  </sheetData>
  <sortState xmlns:xlrd2="http://schemas.microsoft.com/office/spreadsheetml/2017/richdata2" ref="AH11:AK21">
    <sortCondition ref="AH11:AH21"/>
  </sortState>
  <conditionalFormatting sqref="K6:K4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{D9958A25-838C-4FF9-B156-DC6FB7413D4A}</x14:id>
        </ext>
      </extLst>
    </cfRule>
  </conditionalFormatting>
  <conditionalFormatting sqref="L6:L4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I4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{4B3DAAD7-2525-4E7E-8A84-7645E1C09649}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958A25-838C-4FF9-B156-DC6FB7413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K6:K48</xm:sqref>
        </x14:conditionalFormatting>
        <x14:conditionalFormatting xmlns:xm="http://schemas.microsoft.com/office/excel/2006/main">
          <x14:cfRule type="dataBar" id="{4B3DAAD7-2525-4E7E-8A84-7645E1C09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F6:I48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3B50-365F-4BDD-BBF6-FA2D73BF7857}">
  <sheetPr codeName="Лист18"/>
  <dimension ref="A1:H14"/>
  <sheetViews>
    <sheetView workbookViewId="0">
      <selection activeCell="I1" sqref="I1:I1048576"/>
    </sheetView>
  </sheetViews>
  <sheetFormatPr defaultRowHeight="15" x14ac:dyDescent="0.25"/>
  <cols>
    <col min="1" max="7" width="19.140625" customWidth="1"/>
    <col min="8" max="8" width="21" customWidth="1"/>
  </cols>
  <sheetData>
    <row r="1" spans="1:8" ht="45.75" thickBot="1" x14ac:dyDescent="0.3">
      <c r="A1" s="124" t="s">
        <v>496</v>
      </c>
      <c r="B1" s="124" t="s">
        <v>502</v>
      </c>
      <c r="C1" s="124" t="s">
        <v>503</v>
      </c>
      <c r="D1" s="124" t="s">
        <v>497</v>
      </c>
      <c r="E1" s="124" t="s">
        <v>498</v>
      </c>
      <c r="F1" s="124" t="s">
        <v>499</v>
      </c>
      <c r="G1" s="124" t="s">
        <v>500</v>
      </c>
      <c r="H1" s="124" t="s">
        <v>501</v>
      </c>
    </row>
    <row r="2" spans="1:8" ht="72" thickBot="1" x14ac:dyDescent="0.3">
      <c r="A2" s="126">
        <v>2</v>
      </c>
      <c r="B2" s="127">
        <v>2.17</v>
      </c>
      <c r="C2" s="125" t="s">
        <v>504</v>
      </c>
      <c r="D2" s="125">
        <v>55</v>
      </c>
      <c r="E2" s="125">
        <v>55</v>
      </c>
      <c r="F2" s="125">
        <v>62</v>
      </c>
      <c r="G2" s="127">
        <v>12.8</v>
      </c>
      <c r="H2" s="125">
        <v>88</v>
      </c>
    </row>
    <row r="3" spans="1:8" ht="15.75" thickBot="1" x14ac:dyDescent="0.3">
      <c r="A3" s="126">
        <v>3</v>
      </c>
      <c r="B3" s="127">
        <v>3.19</v>
      </c>
      <c r="C3" s="125" t="s">
        <v>506</v>
      </c>
      <c r="D3" s="125">
        <v>81</v>
      </c>
      <c r="E3" s="125">
        <v>81</v>
      </c>
      <c r="F3" s="125">
        <v>91</v>
      </c>
      <c r="G3" s="125">
        <v>14</v>
      </c>
      <c r="H3" s="125">
        <v>151</v>
      </c>
    </row>
    <row r="4" spans="1:8" ht="15.75" thickBot="1" x14ac:dyDescent="0.3">
      <c r="A4" s="126">
        <v>4</v>
      </c>
      <c r="B4" s="127">
        <v>3.38</v>
      </c>
      <c r="C4" s="125" t="s">
        <v>507</v>
      </c>
      <c r="D4" s="125">
        <v>86</v>
      </c>
      <c r="E4" s="125">
        <v>96</v>
      </c>
      <c r="F4" s="125">
        <v>112.5</v>
      </c>
      <c r="G4" s="125">
        <v>17</v>
      </c>
      <c r="H4" s="125">
        <v>150</v>
      </c>
    </row>
    <row r="5" spans="1:8" ht="15.75" thickBot="1" x14ac:dyDescent="0.3">
      <c r="A5" s="126">
        <v>5</v>
      </c>
      <c r="B5" s="127">
        <v>3.62</v>
      </c>
      <c r="C5" s="125" t="s">
        <v>508</v>
      </c>
      <c r="D5" s="125">
        <v>92</v>
      </c>
      <c r="E5" s="125">
        <v>103</v>
      </c>
      <c r="F5" s="125">
        <v>121.7</v>
      </c>
      <c r="G5" s="125">
        <v>20</v>
      </c>
      <c r="H5" s="125">
        <v>250</v>
      </c>
    </row>
    <row r="6" spans="1:8" ht="15.75" thickBot="1" x14ac:dyDescent="0.3">
      <c r="A6" s="126">
        <v>6</v>
      </c>
      <c r="B6" s="127">
        <v>4.49</v>
      </c>
      <c r="C6" s="125" t="s">
        <v>510</v>
      </c>
      <c r="D6" s="125">
        <v>114</v>
      </c>
      <c r="E6" s="125">
        <v>130</v>
      </c>
      <c r="F6" s="125">
        <v>148</v>
      </c>
      <c r="G6" s="125">
        <v>25</v>
      </c>
      <c r="H6" s="125">
        <v>405</v>
      </c>
    </row>
    <row r="7" spans="1:8" ht="15.75" thickBot="1" x14ac:dyDescent="0.3">
      <c r="A7" s="126">
        <v>7</v>
      </c>
      <c r="B7" s="127">
        <v>5.38</v>
      </c>
      <c r="C7" s="125" t="s">
        <v>515</v>
      </c>
      <c r="D7" s="125">
        <v>136</v>
      </c>
      <c r="E7" s="125">
        <v>138</v>
      </c>
      <c r="F7" s="125">
        <v>168</v>
      </c>
      <c r="G7" s="125">
        <v>30</v>
      </c>
      <c r="H7" s="125">
        <v>1000</v>
      </c>
    </row>
    <row r="8" spans="1:8" ht="15.75" thickBot="1" x14ac:dyDescent="0.3">
      <c r="A8" s="126">
        <v>8</v>
      </c>
      <c r="B8" s="127">
        <v>6.75</v>
      </c>
      <c r="C8" s="125" t="s">
        <v>512</v>
      </c>
      <c r="D8" s="125">
        <v>172</v>
      </c>
      <c r="E8" s="125">
        <v>180</v>
      </c>
      <c r="F8" s="125">
        <v>205</v>
      </c>
      <c r="G8" s="125">
        <v>38</v>
      </c>
      <c r="H8" s="125">
        <v>1600</v>
      </c>
    </row>
    <row r="9" spans="1:8" ht="15.75" thickBot="1" x14ac:dyDescent="0.3">
      <c r="A9" s="126" t="s">
        <v>514</v>
      </c>
      <c r="B9" s="127">
        <v>2.72</v>
      </c>
      <c r="C9" s="125" t="s">
        <v>505</v>
      </c>
      <c r="D9" s="125">
        <v>68</v>
      </c>
      <c r="E9" s="125">
        <v>68</v>
      </c>
      <c r="F9" s="125">
        <v>78</v>
      </c>
      <c r="G9" s="127">
        <v>12.8</v>
      </c>
      <c r="H9" s="125">
        <v>88</v>
      </c>
    </row>
    <row r="10" spans="1:8" ht="15.75" thickBot="1" x14ac:dyDescent="0.3">
      <c r="A10" s="126" t="s">
        <v>97</v>
      </c>
      <c r="B10" s="127">
        <v>2.72</v>
      </c>
      <c r="C10" s="125" t="s">
        <v>505</v>
      </c>
      <c r="D10" s="125">
        <v>68</v>
      </c>
      <c r="E10" s="125">
        <v>68</v>
      </c>
      <c r="F10" s="125">
        <v>78</v>
      </c>
      <c r="G10" s="127">
        <v>12.8</v>
      </c>
      <c r="H10" s="125">
        <v>88</v>
      </c>
    </row>
    <row r="11" spans="1:8" ht="15.75" thickBot="1" x14ac:dyDescent="0.3">
      <c r="A11" s="126" t="s">
        <v>54</v>
      </c>
      <c r="B11" s="127">
        <v>4.0599999999999996</v>
      </c>
      <c r="C11" s="125" t="s">
        <v>509</v>
      </c>
      <c r="D11" s="125">
        <v>103</v>
      </c>
      <c r="E11" s="125">
        <v>117</v>
      </c>
      <c r="F11" s="125">
        <v>130</v>
      </c>
      <c r="G11" s="125">
        <v>22</v>
      </c>
      <c r="H11" s="125">
        <v>330</v>
      </c>
    </row>
    <row r="12" spans="1:8" ht="15.75" thickBot="1" x14ac:dyDescent="0.3">
      <c r="A12" s="126" t="s">
        <v>228</v>
      </c>
      <c r="B12" s="127">
        <v>4.0599999999999996</v>
      </c>
      <c r="C12" s="125" t="s">
        <v>509</v>
      </c>
      <c r="D12" s="125">
        <v>103</v>
      </c>
      <c r="E12" s="125">
        <v>117</v>
      </c>
      <c r="F12" s="125">
        <v>130</v>
      </c>
      <c r="G12" s="125">
        <v>22</v>
      </c>
      <c r="H12" s="125">
        <v>330</v>
      </c>
    </row>
    <row r="13" spans="1:8" ht="15.75" thickBot="1" x14ac:dyDescent="0.3">
      <c r="A13" s="126" t="s">
        <v>513</v>
      </c>
      <c r="B13" s="127">
        <v>4.84</v>
      </c>
      <c r="C13" s="125" t="s">
        <v>511</v>
      </c>
      <c r="D13" s="125">
        <v>123</v>
      </c>
      <c r="E13" s="125">
        <v>130</v>
      </c>
      <c r="F13" s="125">
        <v>148</v>
      </c>
      <c r="G13" s="125">
        <v>25</v>
      </c>
      <c r="H13" s="125">
        <v>405</v>
      </c>
    </row>
    <row r="14" spans="1:8" ht="15.75" thickBot="1" x14ac:dyDescent="0.3">
      <c r="A14" s="126" t="s">
        <v>96</v>
      </c>
      <c r="B14" s="127">
        <v>4.84</v>
      </c>
      <c r="C14" s="125" t="s">
        <v>511</v>
      </c>
      <c r="D14" s="125">
        <v>123</v>
      </c>
      <c r="E14" s="125">
        <v>130</v>
      </c>
      <c r="F14" s="125">
        <v>148</v>
      </c>
      <c r="G14" s="125">
        <v>25</v>
      </c>
      <c r="H14" s="125">
        <v>405</v>
      </c>
    </row>
  </sheetData>
  <sortState xmlns:xlrd2="http://schemas.microsoft.com/office/spreadsheetml/2017/richdata2" ref="A2:H14">
    <sortCondition ref="A2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7B472-F5AB-41A1-8358-38D63C892ABE}">
  <sheetPr codeName="Лист2"/>
  <dimension ref="A2:I61"/>
  <sheetViews>
    <sheetView tabSelected="1" topLeftCell="A30" workbookViewId="0">
      <selection activeCell="G9" sqref="G9"/>
    </sheetView>
  </sheetViews>
  <sheetFormatPr defaultRowHeight="15" x14ac:dyDescent="0.25"/>
  <sheetData>
    <row r="2" spans="1:9" x14ac:dyDescent="0.25">
      <c r="A2" t="s">
        <v>56</v>
      </c>
    </row>
    <row r="3" spans="1:9" ht="15.75" thickBot="1" x14ac:dyDescent="0.3"/>
    <row r="4" spans="1:9" x14ac:dyDescent="0.25">
      <c r="A4" s="5" t="s">
        <v>0</v>
      </c>
      <c r="B4" s="6" t="s">
        <v>6</v>
      </c>
      <c r="C4" s="6" t="s">
        <v>7</v>
      </c>
      <c r="D4" s="6" t="s">
        <v>8</v>
      </c>
      <c r="E4" s="7" t="s">
        <v>9</v>
      </c>
      <c r="I4" t="s">
        <v>516</v>
      </c>
    </row>
    <row r="5" spans="1:9" ht="15.75" thickBot="1" x14ac:dyDescent="0.3">
      <c r="A5" s="8">
        <v>2089</v>
      </c>
      <c r="B5" s="9"/>
      <c r="C5" s="9"/>
      <c r="D5" s="9"/>
      <c r="E5" s="10"/>
      <c r="I5" t="s">
        <v>101</v>
      </c>
    </row>
    <row r="6" spans="1:9" x14ac:dyDescent="0.25">
      <c r="I6" t="s">
        <v>102</v>
      </c>
    </row>
    <row r="7" spans="1:9" x14ac:dyDescent="0.25">
      <c r="I7" t="s">
        <v>103</v>
      </c>
    </row>
    <row r="8" spans="1:9" ht="15.75" thickBot="1" x14ac:dyDescent="0.3">
      <c r="I8" t="s">
        <v>104</v>
      </c>
    </row>
    <row r="9" spans="1:9" x14ac:dyDescent="0.25">
      <c r="A9" s="5" t="s">
        <v>0</v>
      </c>
      <c r="B9" s="6" t="s">
        <v>6</v>
      </c>
      <c r="C9" s="6" t="s">
        <v>7</v>
      </c>
      <c r="D9" s="6" t="s">
        <v>8</v>
      </c>
      <c r="E9" s="7" t="s">
        <v>9</v>
      </c>
      <c r="I9" t="s">
        <v>105</v>
      </c>
    </row>
    <row r="10" spans="1:9" x14ac:dyDescent="0.25">
      <c r="A10">
        <v>2089</v>
      </c>
      <c r="B10">
        <v>0</v>
      </c>
      <c r="C10">
        <v>7.9019829719999999</v>
      </c>
      <c r="D10">
        <v>8.4422268910000001E-2</v>
      </c>
      <c r="E10">
        <v>0</v>
      </c>
      <c r="I10" t="s">
        <v>106</v>
      </c>
    </row>
    <row r="11" spans="1:9" x14ac:dyDescent="0.25">
      <c r="A11">
        <v>2089</v>
      </c>
      <c r="B11">
        <v>13.6</v>
      </c>
      <c r="C11">
        <v>7.9995138700822945</v>
      </c>
      <c r="D11">
        <v>8.2133783574619659E-2</v>
      </c>
      <c r="E11">
        <v>0.15006007633736484</v>
      </c>
      <c r="I11" t="s">
        <v>107</v>
      </c>
    </row>
    <row r="12" spans="1:9" x14ac:dyDescent="0.25">
      <c r="A12">
        <v>2089</v>
      </c>
      <c r="B12">
        <v>27.2</v>
      </c>
      <c r="C12">
        <v>7.8670752168486207</v>
      </c>
      <c r="D12">
        <v>8.3849711578562913E-2</v>
      </c>
      <c r="E12">
        <v>0.2906409003597677</v>
      </c>
      <c r="I12" t="s">
        <v>108</v>
      </c>
    </row>
    <row r="13" spans="1:9" x14ac:dyDescent="0.25">
      <c r="A13">
        <v>2089</v>
      </c>
      <c r="B13">
        <v>40.799999999999997</v>
      </c>
      <c r="C13">
        <v>7.6611795900245969</v>
      </c>
      <c r="D13">
        <v>8.8243412187667014E-2</v>
      </c>
      <c r="E13">
        <v>0.40339115475100196</v>
      </c>
      <c r="I13" t="s">
        <v>109</v>
      </c>
    </row>
    <row r="14" spans="1:9" x14ac:dyDescent="0.25">
      <c r="A14">
        <v>2089</v>
      </c>
      <c r="B14">
        <v>54.4</v>
      </c>
      <c r="C14">
        <v>7.3943668644096299</v>
      </c>
      <c r="D14">
        <v>9.4173324019780874E-2</v>
      </c>
      <c r="E14">
        <v>0.48455887016755328</v>
      </c>
      <c r="I14" t="s">
        <v>110</v>
      </c>
    </row>
    <row r="15" spans="1:9" x14ac:dyDescent="0.25">
      <c r="A15">
        <v>2089</v>
      </c>
      <c r="B15">
        <v>68</v>
      </c>
      <c r="C15">
        <v>7.0185859446157108</v>
      </c>
      <c r="D15">
        <v>0.10068291410173696</v>
      </c>
      <c r="E15">
        <v>0.53623533945525292</v>
      </c>
      <c r="I15" t="s">
        <v>111</v>
      </c>
    </row>
    <row r="16" spans="1:9" x14ac:dyDescent="0.25">
      <c r="A16">
        <v>2089</v>
      </c>
      <c r="B16">
        <v>81.599999999999994</v>
      </c>
      <c r="C16">
        <v>6.4704311290095058</v>
      </c>
      <c r="D16">
        <v>0.10700092229890827</v>
      </c>
      <c r="E16">
        <v>0.55916506222843998</v>
      </c>
      <c r="I16" t="s">
        <v>112</v>
      </c>
    </row>
    <row r="17" spans="1:9" x14ac:dyDescent="0.25">
      <c r="A17">
        <v>2089</v>
      </c>
      <c r="B17">
        <v>95.2</v>
      </c>
      <c r="C17">
        <v>5.6782458645376321</v>
      </c>
      <c r="D17">
        <v>0.11254088039067414</v>
      </c>
      <c r="E17">
        <v>0.5466797498625211</v>
      </c>
      <c r="I17" t="s">
        <v>113</v>
      </c>
    </row>
    <row r="18" spans="1:9" x14ac:dyDescent="0.25">
      <c r="A18">
        <v>2089</v>
      </c>
      <c r="B18">
        <v>108.8</v>
      </c>
      <c r="C18">
        <v>4.5310847841679811</v>
      </c>
      <c r="D18">
        <v>0.11690158881315335</v>
      </c>
      <c r="E18">
        <v>0.47975653967699877</v>
      </c>
      <c r="I18" t="s">
        <v>114</v>
      </c>
    </row>
    <row r="19" spans="1:9" x14ac:dyDescent="0.25">
      <c r="A19">
        <v>2089</v>
      </c>
      <c r="B19">
        <v>122.4</v>
      </c>
      <c r="C19">
        <v>2.8095372797737994</v>
      </c>
      <c r="D19">
        <v>0.11986687942511785</v>
      </c>
      <c r="E19">
        <v>0.3232003224214014</v>
      </c>
      <c r="I19" t="s">
        <v>115</v>
      </c>
    </row>
    <row r="20" spans="1:9" x14ac:dyDescent="0.25">
      <c r="A20">
        <v>2089</v>
      </c>
      <c r="B20">
        <v>136</v>
      </c>
      <c r="C20">
        <v>0</v>
      </c>
      <c r="D20">
        <v>0.12140566304904311</v>
      </c>
      <c r="E20">
        <v>0</v>
      </c>
      <c r="I20" t="s">
        <v>116</v>
      </c>
    </row>
    <row r="21" spans="1:9" x14ac:dyDescent="0.25">
      <c r="A21" s="14"/>
      <c r="B21" s="15"/>
      <c r="C21" s="15"/>
      <c r="D21" s="15"/>
      <c r="E21" s="16"/>
      <c r="I21" t="s">
        <v>117</v>
      </c>
    </row>
    <row r="22" spans="1:9" x14ac:dyDescent="0.25">
      <c r="A22" s="14"/>
      <c r="B22" s="15"/>
      <c r="C22" s="15"/>
      <c r="D22" s="15"/>
      <c r="E22" s="16"/>
      <c r="I22" t="s">
        <v>118</v>
      </c>
    </row>
    <row r="23" spans="1:9" x14ac:dyDescent="0.25">
      <c r="A23" s="14"/>
      <c r="B23" s="15"/>
      <c r="C23" s="15"/>
      <c r="D23" s="15"/>
      <c r="E23" s="16"/>
      <c r="I23" t="s">
        <v>119</v>
      </c>
    </row>
    <row r="24" spans="1:9" x14ac:dyDescent="0.25">
      <c r="A24" s="14"/>
      <c r="B24" s="15"/>
      <c r="C24" s="15"/>
      <c r="D24" s="15"/>
      <c r="E24" s="16"/>
      <c r="I24" t="s">
        <v>120</v>
      </c>
    </row>
    <row r="25" spans="1:9" x14ac:dyDescent="0.25">
      <c r="A25" s="14"/>
      <c r="B25" s="15"/>
      <c r="C25" s="15"/>
      <c r="D25" s="15"/>
      <c r="E25" s="16"/>
      <c r="I25" t="s">
        <v>121</v>
      </c>
    </row>
    <row r="26" spans="1:9" x14ac:dyDescent="0.25">
      <c r="A26" s="14"/>
      <c r="B26" s="15"/>
      <c r="C26" s="15"/>
      <c r="D26" s="15"/>
      <c r="E26" s="16"/>
      <c r="I26" t="s">
        <v>122</v>
      </c>
    </row>
    <row r="27" spans="1:9" x14ac:dyDescent="0.25">
      <c r="A27" s="14"/>
      <c r="B27" s="15"/>
      <c r="C27" s="15"/>
      <c r="D27" s="15"/>
      <c r="E27" s="16"/>
      <c r="I27" t="s">
        <v>123</v>
      </c>
    </row>
    <row r="28" spans="1:9" x14ac:dyDescent="0.25">
      <c r="A28" s="14"/>
      <c r="B28" s="15"/>
      <c r="C28" s="15"/>
      <c r="D28" s="15"/>
      <c r="E28" s="16"/>
      <c r="I28" t="s">
        <v>124</v>
      </c>
    </row>
    <row r="29" spans="1:9" x14ac:dyDescent="0.25">
      <c r="A29" s="14"/>
      <c r="B29" s="15"/>
      <c r="C29" s="15"/>
      <c r="D29" s="15"/>
      <c r="E29" s="16"/>
      <c r="I29" t="s">
        <v>125</v>
      </c>
    </row>
    <row r="30" spans="1:9" x14ac:dyDescent="0.25">
      <c r="A30" s="14"/>
      <c r="B30" s="15"/>
      <c r="C30" s="15"/>
      <c r="D30" s="15"/>
      <c r="E30" s="16"/>
      <c r="I30" t="s">
        <v>126</v>
      </c>
    </row>
    <row r="31" spans="1:9" x14ac:dyDescent="0.25">
      <c r="A31" s="14"/>
      <c r="B31" s="15"/>
      <c r="C31" s="15"/>
      <c r="D31" s="15"/>
      <c r="E31" s="16"/>
      <c r="I31" t="s">
        <v>127</v>
      </c>
    </row>
    <row r="32" spans="1:9" x14ac:dyDescent="0.25">
      <c r="A32" s="14"/>
      <c r="B32" s="15"/>
      <c r="C32" s="15"/>
      <c r="D32" s="15"/>
      <c r="E32" s="16"/>
      <c r="I32" t="s">
        <v>128</v>
      </c>
    </row>
    <row r="33" spans="1:9" x14ac:dyDescent="0.25">
      <c r="A33" s="14"/>
      <c r="B33" s="15"/>
      <c r="C33" s="15"/>
      <c r="D33" s="15"/>
      <c r="E33" s="16"/>
      <c r="I33" t="s">
        <v>129</v>
      </c>
    </row>
    <row r="34" spans="1:9" x14ac:dyDescent="0.25">
      <c r="A34" s="14"/>
      <c r="B34" s="15"/>
      <c r="C34" s="15"/>
      <c r="D34" s="15"/>
      <c r="E34" s="16"/>
      <c r="I34" t="s">
        <v>130</v>
      </c>
    </row>
    <row r="35" spans="1:9" x14ac:dyDescent="0.25">
      <c r="A35" s="14"/>
      <c r="B35" s="15"/>
      <c r="C35" s="15"/>
      <c r="D35" s="15"/>
      <c r="E35" s="16"/>
      <c r="I35" t="s">
        <v>131</v>
      </c>
    </row>
    <row r="36" spans="1:9" x14ac:dyDescent="0.25">
      <c r="A36" s="14"/>
      <c r="B36" s="15"/>
      <c r="C36" s="15"/>
      <c r="D36" s="15"/>
      <c r="E36" s="16"/>
      <c r="I36" t="s">
        <v>132</v>
      </c>
    </row>
    <row r="37" spans="1:9" x14ac:dyDescent="0.25">
      <c r="A37" s="14"/>
      <c r="B37" s="15"/>
      <c r="C37" s="15"/>
      <c r="D37" s="15"/>
      <c r="E37" s="16"/>
      <c r="I37" t="s">
        <v>133</v>
      </c>
    </row>
    <row r="38" spans="1:9" x14ac:dyDescent="0.25">
      <c r="A38" s="14"/>
      <c r="B38" s="15"/>
      <c r="C38" s="15"/>
      <c r="D38" s="15"/>
      <c r="E38" s="16"/>
      <c r="I38" t="s">
        <v>134</v>
      </c>
    </row>
    <row r="39" spans="1:9" x14ac:dyDescent="0.25">
      <c r="A39" s="14"/>
      <c r="B39" s="15"/>
      <c r="C39" s="15"/>
      <c r="D39" s="15"/>
      <c r="E39" s="16"/>
      <c r="I39" t="s">
        <v>135</v>
      </c>
    </row>
    <row r="40" spans="1:9" x14ac:dyDescent="0.25">
      <c r="I40" t="s">
        <v>136</v>
      </c>
    </row>
    <row r="41" spans="1:9" x14ac:dyDescent="0.25">
      <c r="I41" t="s">
        <v>137</v>
      </c>
    </row>
    <row r="42" spans="1:9" x14ac:dyDescent="0.25">
      <c r="I42" t="s">
        <v>138</v>
      </c>
    </row>
    <row r="43" spans="1:9" x14ac:dyDescent="0.25">
      <c r="I43" t="s">
        <v>139</v>
      </c>
    </row>
    <row r="44" spans="1:9" x14ac:dyDescent="0.25">
      <c r="I44" t="s">
        <v>140</v>
      </c>
    </row>
    <row r="45" spans="1:9" x14ac:dyDescent="0.25">
      <c r="I45" t="s">
        <v>141</v>
      </c>
    </row>
    <row r="46" spans="1:9" x14ac:dyDescent="0.25">
      <c r="I46" t="s">
        <v>142</v>
      </c>
    </row>
    <row r="47" spans="1:9" x14ac:dyDescent="0.25">
      <c r="I47" t="s">
        <v>143</v>
      </c>
    </row>
    <row r="48" spans="1:9" x14ac:dyDescent="0.25">
      <c r="I48" t="s">
        <v>483</v>
      </c>
    </row>
    <row r="49" spans="9:9" x14ac:dyDescent="0.25">
      <c r="I49" t="s">
        <v>484</v>
      </c>
    </row>
    <row r="50" spans="9:9" x14ac:dyDescent="0.25">
      <c r="I50" t="s">
        <v>485</v>
      </c>
    </row>
    <row r="51" spans="9:9" x14ac:dyDescent="0.25">
      <c r="I51" t="s">
        <v>486</v>
      </c>
    </row>
    <row r="52" spans="9:9" x14ac:dyDescent="0.25">
      <c r="I52" t="s">
        <v>487</v>
      </c>
    </row>
    <row r="53" spans="9:9" x14ac:dyDescent="0.25">
      <c r="I53" t="s">
        <v>490</v>
      </c>
    </row>
    <row r="54" spans="9:9" x14ac:dyDescent="0.25">
      <c r="I54" t="s">
        <v>491</v>
      </c>
    </row>
    <row r="55" spans="9:9" x14ac:dyDescent="0.25">
      <c r="I55" t="s">
        <v>492</v>
      </c>
    </row>
    <row r="56" spans="9:9" x14ac:dyDescent="0.25">
      <c r="I56" t="s">
        <v>493</v>
      </c>
    </row>
    <row r="57" spans="9:9" x14ac:dyDescent="0.25">
      <c r="I57" t="s">
        <v>494</v>
      </c>
    </row>
    <row r="58" spans="9:9" x14ac:dyDescent="0.25">
      <c r="I58" t="s">
        <v>495</v>
      </c>
    </row>
    <row r="59" spans="9:9" x14ac:dyDescent="0.25">
      <c r="I59" t="s">
        <v>517</v>
      </c>
    </row>
    <row r="60" spans="9:9" x14ac:dyDescent="0.25">
      <c r="I60" t="s">
        <v>518</v>
      </c>
    </row>
    <row r="61" spans="9:9" x14ac:dyDescent="0.25">
      <c r="I61" t="s">
        <v>488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to_json">
                <anchor moveWithCells="1" sizeWithCells="1">
                  <from>
                    <xdr:col>8</xdr:col>
                    <xdr:colOff>95250</xdr:colOff>
                    <xdr:row>0</xdr:row>
                    <xdr:rowOff>104775</xdr:rowOff>
                  </from>
                  <to>
                    <xdr:col>14</xdr:col>
                    <xdr:colOff>219075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ter_crv">
                <anchor moveWithCells="1" sizeWithCells="1">
                  <from>
                    <xdr:col>1</xdr:col>
                    <xdr:colOff>95250</xdr:colOff>
                    <xdr:row>5</xdr:row>
                    <xdr:rowOff>104775</xdr:rowOff>
                  </from>
                  <to>
                    <xdr:col>3</xdr:col>
                    <xdr:colOff>400050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9ED2-5988-4713-A0F0-810F8583C46C}">
  <sheetPr codeName="Лист4" filterMode="1"/>
  <dimension ref="A1:Q263"/>
  <sheetViews>
    <sheetView zoomScale="85" zoomScaleNormal="85" workbookViewId="0">
      <selection activeCell="G90" sqref="G90"/>
    </sheetView>
  </sheetViews>
  <sheetFormatPr defaultRowHeight="12.75" x14ac:dyDescent="0.2"/>
  <cols>
    <col min="1" max="1" width="10.5703125" style="47" customWidth="1"/>
    <col min="2" max="2" width="44.7109375" style="47" customWidth="1"/>
    <col min="3" max="4" width="13" style="47" customWidth="1"/>
    <col min="5" max="6" width="10.5703125" style="47" customWidth="1"/>
    <col min="7" max="8" width="17.85546875" style="47" customWidth="1"/>
    <col min="9" max="11" width="16.28515625" style="47" customWidth="1"/>
    <col min="12" max="256" width="9.140625" style="47"/>
    <col min="257" max="257" width="10.5703125" style="47" customWidth="1"/>
    <col min="258" max="258" width="44.7109375" style="47" customWidth="1"/>
    <col min="259" max="260" width="13" style="47" customWidth="1"/>
    <col min="261" max="262" width="10.5703125" style="47" customWidth="1"/>
    <col min="263" max="264" width="17.85546875" style="47" customWidth="1"/>
    <col min="265" max="267" width="16.28515625" style="47" customWidth="1"/>
    <col min="268" max="512" width="9.140625" style="47"/>
    <col min="513" max="513" width="10.5703125" style="47" customWidth="1"/>
    <col min="514" max="514" width="44.7109375" style="47" customWidth="1"/>
    <col min="515" max="516" width="13" style="47" customWidth="1"/>
    <col min="517" max="518" width="10.5703125" style="47" customWidth="1"/>
    <col min="519" max="520" width="17.85546875" style="47" customWidth="1"/>
    <col min="521" max="523" width="16.28515625" style="47" customWidth="1"/>
    <col min="524" max="768" width="9.140625" style="47"/>
    <col min="769" max="769" width="10.5703125" style="47" customWidth="1"/>
    <col min="770" max="770" width="44.7109375" style="47" customWidth="1"/>
    <col min="771" max="772" width="13" style="47" customWidth="1"/>
    <col min="773" max="774" width="10.5703125" style="47" customWidth="1"/>
    <col min="775" max="776" width="17.85546875" style="47" customWidth="1"/>
    <col min="777" max="779" width="16.28515625" style="47" customWidth="1"/>
    <col min="780" max="1024" width="9.140625" style="47"/>
    <col min="1025" max="1025" width="10.5703125" style="47" customWidth="1"/>
    <col min="1026" max="1026" width="44.7109375" style="47" customWidth="1"/>
    <col min="1027" max="1028" width="13" style="47" customWidth="1"/>
    <col min="1029" max="1030" width="10.5703125" style="47" customWidth="1"/>
    <col min="1031" max="1032" width="17.85546875" style="47" customWidth="1"/>
    <col min="1033" max="1035" width="16.28515625" style="47" customWidth="1"/>
    <col min="1036" max="1280" width="9.140625" style="47"/>
    <col min="1281" max="1281" width="10.5703125" style="47" customWidth="1"/>
    <col min="1282" max="1282" width="44.7109375" style="47" customWidth="1"/>
    <col min="1283" max="1284" width="13" style="47" customWidth="1"/>
    <col min="1285" max="1286" width="10.5703125" style="47" customWidth="1"/>
    <col min="1287" max="1288" width="17.85546875" style="47" customWidth="1"/>
    <col min="1289" max="1291" width="16.28515625" style="47" customWidth="1"/>
    <col min="1292" max="1536" width="9.140625" style="47"/>
    <col min="1537" max="1537" width="10.5703125" style="47" customWidth="1"/>
    <col min="1538" max="1538" width="44.7109375" style="47" customWidth="1"/>
    <col min="1539" max="1540" width="13" style="47" customWidth="1"/>
    <col min="1541" max="1542" width="10.5703125" style="47" customWidth="1"/>
    <col min="1543" max="1544" width="17.85546875" style="47" customWidth="1"/>
    <col min="1545" max="1547" width="16.28515625" style="47" customWidth="1"/>
    <col min="1548" max="1792" width="9.140625" style="47"/>
    <col min="1793" max="1793" width="10.5703125" style="47" customWidth="1"/>
    <col min="1794" max="1794" width="44.7109375" style="47" customWidth="1"/>
    <col min="1795" max="1796" width="13" style="47" customWidth="1"/>
    <col min="1797" max="1798" width="10.5703125" style="47" customWidth="1"/>
    <col min="1799" max="1800" width="17.85546875" style="47" customWidth="1"/>
    <col min="1801" max="1803" width="16.28515625" style="47" customWidth="1"/>
    <col min="1804" max="2048" width="9.140625" style="47"/>
    <col min="2049" max="2049" width="10.5703125" style="47" customWidth="1"/>
    <col min="2050" max="2050" width="44.7109375" style="47" customWidth="1"/>
    <col min="2051" max="2052" width="13" style="47" customWidth="1"/>
    <col min="2053" max="2054" width="10.5703125" style="47" customWidth="1"/>
    <col min="2055" max="2056" width="17.85546875" style="47" customWidth="1"/>
    <col min="2057" max="2059" width="16.28515625" style="47" customWidth="1"/>
    <col min="2060" max="2304" width="9.140625" style="47"/>
    <col min="2305" max="2305" width="10.5703125" style="47" customWidth="1"/>
    <col min="2306" max="2306" width="44.7109375" style="47" customWidth="1"/>
    <col min="2307" max="2308" width="13" style="47" customWidth="1"/>
    <col min="2309" max="2310" width="10.5703125" style="47" customWidth="1"/>
    <col min="2311" max="2312" width="17.85546875" style="47" customWidth="1"/>
    <col min="2313" max="2315" width="16.28515625" style="47" customWidth="1"/>
    <col min="2316" max="2560" width="9.140625" style="47"/>
    <col min="2561" max="2561" width="10.5703125" style="47" customWidth="1"/>
    <col min="2562" max="2562" width="44.7109375" style="47" customWidth="1"/>
    <col min="2563" max="2564" width="13" style="47" customWidth="1"/>
    <col min="2565" max="2566" width="10.5703125" style="47" customWidth="1"/>
    <col min="2567" max="2568" width="17.85546875" style="47" customWidth="1"/>
    <col min="2569" max="2571" width="16.28515625" style="47" customWidth="1"/>
    <col min="2572" max="2816" width="9.140625" style="47"/>
    <col min="2817" max="2817" width="10.5703125" style="47" customWidth="1"/>
    <col min="2818" max="2818" width="44.7109375" style="47" customWidth="1"/>
    <col min="2819" max="2820" width="13" style="47" customWidth="1"/>
    <col min="2821" max="2822" width="10.5703125" style="47" customWidth="1"/>
    <col min="2823" max="2824" width="17.85546875" style="47" customWidth="1"/>
    <col min="2825" max="2827" width="16.28515625" style="47" customWidth="1"/>
    <col min="2828" max="3072" width="9.140625" style="47"/>
    <col min="3073" max="3073" width="10.5703125" style="47" customWidth="1"/>
    <col min="3074" max="3074" width="44.7109375" style="47" customWidth="1"/>
    <col min="3075" max="3076" width="13" style="47" customWidth="1"/>
    <col min="3077" max="3078" width="10.5703125" style="47" customWidth="1"/>
    <col min="3079" max="3080" width="17.85546875" style="47" customWidth="1"/>
    <col min="3081" max="3083" width="16.28515625" style="47" customWidth="1"/>
    <col min="3084" max="3328" width="9.140625" style="47"/>
    <col min="3329" max="3329" width="10.5703125" style="47" customWidth="1"/>
    <col min="3330" max="3330" width="44.7109375" style="47" customWidth="1"/>
    <col min="3331" max="3332" width="13" style="47" customWidth="1"/>
    <col min="3333" max="3334" width="10.5703125" style="47" customWidth="1"/>
    <col min="3335" max="3336" width="17.85546875" style="47" customWidth="1"/>
    <col min="3337" max="3339" width="16.28515625" style="47" customWidth="1"/>
    <col min="3340" max="3584" width="9.140625" style="47"/>
    <col min="3585" max="3585" width="10.5703125" style="47" customWidth="1"/>
    <col min="3586" max="3586" width="44.7109375" style="47" customWidth="1"/>
    <col min="3587" max="3588" width="13" style="47" customWidth="1"/>
    <col min="3589" max="3590" width="10.5703125" style="47" customWidth="1"/>
    <col min="3591" max="3592" width="17.85546875" style="47" customWidth="1"/>
    <col min="3593" max="3595" width="16.28515625" style="47" customWidth="1"/>
    <col min="3596" max="3840" width="9.140625" style="47"/>
    <col min="3841" max="3841" width="10.5703125" style="47" customWidth="1"/>
    <col min="3842" max="3842" width="44.7109375" style="47" customWidth="1"/>
    <col min="3843" max="3844" width="13" style="47" customWidth="1"/>
    <col min="3845" max="3846" width="10.5703125" style="47" customWidth="1"/>
    <col min="3847" max="3848" width="17.85546875" style="47" customWidth="1"/>
    <col min="3849" max="3851" width="16.28515625" style="47" customWidth="1"/>
    <col min="3852" max="4096" width="9.140625" style="47"/>
    <col min="4097" max="4097" width="10.5703125" style="47" customWidth="1"/>
    <col min="4098" max="4098" width="44.7109375" style="47" customWidth="1"/>
    <col min="4099" max="4100" width="13" style="47" customWidth="1"/>
    <col min="4101" max="4102" width="10.5703125" style="47" customWidth="1"/>
    <col min="4103" max="4104" width="17.85546875" style="47" customWidth="1"/>
    <col min="4105" max="4107" width="16.28515625" style="47" customWidth="1"/>
    <col min="4108" max="4352" width="9.140625" style="47"/>
    <col min="4353" max="4353" width="10.5703125" style="47" customWidth="1"/>
    <col min="4354" max="4354" width="44.7109375" style="47" customWidth="1"/>
    <col min="4355" max="4356" width="13" style="47" customWidth="1"/>
    <col min="4357" max="4358" width="10.5703125" style="47" customWidth="1"/>
    <col min="4359" max="4360" width="17.85546875" style="47" customWidth="1"/>
    <col min="4361" max="4363" width="16.28515625" style="47" customWidth="1"/>
    <col min="4364" max="4608" width="9.140625" style="47"/>
    <col min="4609" max="4609" width="10.5703125" style="47" customWidth="1"/>
    <col min="4610" max="4610" width="44.7109375" style="47" customWidth="1"/>
    <col min="4611" max="4612" width="13" style="47" customWidth="1"/>
    <col min="4613" max="4614" width="10.5703125" style="47" customWidth="1"/>
    <col min="4615" max="4616" width="17.85546875" style="47" customWidth="1"/>
    <col min="4617" max="4619" width="16.28515625" style="47" customWidth="1"/>
    <col min="4620" max="4864" width="9.140625" style="47"/>
    <col min="4865" max="4865" width="10.5703125" style="47" customWidth="1"/>
    <col min="4866" max="4866" width="44.7109375" style="47" customWidth="1"/>
    <col min="4867" max="4868" width="13" style="47" customWidth="1"/>
    <col min="4869" max="4870" width="10.5703125" style="47" customWidth="1"/>
    <col min="4871" max="4872" width="17.85546875" style="47" customWidth="1"/>
    <col min="4873" max="4875" width="16.28515625" style="47" customWidth="1"/>
    <col min="4876" max="5120" width="9.140625" style="47"/>
    <col min="5121" max="5121" width="10.5703125" style="47" customWidth="1"/>
    <col min="5122" max="5122" width="44.7109375" style="47" customWidth="1"/>
    <col min="5123" max="5124" width="13" style="47" customWidth="1"/>
    <col min="5125" max="5126" width="10.5703125" style="47" customWidth="1"/>
    <col min="5127" max="5128" width="17.85546875" style="47" customWidth="1"/>
    <col min="5129" max="5131" width="16.28515625" style="47" customWidth="1"/>
    <col min="5132" max="5376" width="9.140625" style="47"/>
    <col min="5377" max="5377" width="10.5703125" style="47" customWidth="1"/>
    <col min="5378" max="5378" width="44.7109375" style="47" customWidth="1"/>
    <col min="5379" max="5380" width="13" style="47" customWidth="1"/>
    <col min="5381" max="5382" width="10.5703125" style="47" customWidth="1"/>
    <col min="5383" max="5384" width="17.85546875" style="47" customWidth="1"/>
    <col min="5385" max="5387" width="16.28515625" style="47" customWidth="1"/>
    <col min="5388" max="5632" width="9.140625" style="47"/>
    <col min="5633" max="5633" width="10.5703125" style="47" customWidth="1"/>
    <col min="5634" max="5634" width="44.7109375" style="47" customWidth="1"/>
    <col min="5635" max="5636" width="13" style="47" customWidth="1"/>
    <col min="5637" max="5638" width="10.5703125" style="47" customWidth="1"/>
    <col min="5639" max="5640" width="17.85546875" style="47" customWidth="1"/>
    <col min="5641" max="5643" width="16.28515625" style="47" customWidth="1"/>
    <col min="5644" max="5888" width="9.140625" style="47"/>
    <col min="5889" max="5889" width="10.5703125" style="47" customWidth="1"/>
    <col min="5890" max="5890" width="44.7109375" style="47" customWidth="1"/>
    <col min="5891" max="5892" width="13" style="47" customWidth="1"/>
    <col min="5893" max="5894" width="10.5703125" style="47" customWidth="1"/>
    <col min="5895" max="5896" width="17.85546875" style="47" customWidth="1"/>
    <col min="5897" max="5899" width="16.28515625" style="47" customWidth="1"/>
    <col min="5900" max="6144" width="9.140625" style="47"/>
    <col min="6145" max="6145" width="10.5703125" style="47" customWidth="1"/>
    <col min="6146" max="6146" width="44.7109375" style="47" customWidth="1"/>
    <col min="6147" max="6148" width="13" style="47" customWidth="1"/>
    <col min="6149" max="6150" width="10.5703125" style="47" customWidth="1"/>
    <col min="6151" max="6152" width="17.85546875" style="47" customWidth="1"/>
    <col min="6153" max="6155" width="16.28515625" style="47" customWidth="1"/>
    <col min="6156" max="6400" width="9.140625" style="47"/>
    <col min="6401" max="6401" width="10.5703125" style="47" customWidth="1"/>
    <col min="6402" max="6402" width="44.7109375" style="47" customWidth="1"/>
    <col min="6403" max="6404" width="13" style="47" customWidth="1"/>
    <col min="6405" max="6406" width="10.5703125" style="47" customWidth="1"/>
    <col min="6407" max="6408" width="17.85546875" style="47" customWidth="1"/>
    <col min="6409" max="6411" width="16.28515625" style="47" customWidth="1"/>
    <col min="6412" max="6656" width="9.140625" style="47"/>
    <col min="6657" max="6657" width="10.5703125" style="47" customWidth="1"/>
    <col min="6658" max="6658" width="44.7109375" style="47" customWidth="1"/>
    <col min="6659" max="6660" width="13" style="47" customWidth="1"/>
    <col min="6661" max="6662" width="10.5703125" style="47" customWidth="1"/>
    <col min="6663" max="6664" width="17.85546875" style="47" customWidth="1"/>
    <col min="6665" max="6667" width="16.28515625" style="47" customWidth="1"/>
    <col min="6668" max="6912" width="9.140625" style="47"/>
    <col min="6913" max="6913" width="10.5703125" style="47" customWidth="1"/>
    <col min="6914" max="6914" width="44.7109375" style="47" customWidth="1"/>
    <col min="6915" max="6916" width="13" style="47" customWidth="1"/>
    <col min="6917" max="6918" width="10.5703125" style="47" customWidth="1"/>
    <col min="6919" max="6920" width="17.85546875" style="47" customWidth="1"/>
    <col min="6921" max="6923" width="16.28515625" style="47" customWidth="1"/>
    <col min="6924" max="7168" width="9.140625" style="47"/>
    <col min="7169" max="7169" width="10.5703125" style="47" customWidth="1"/>
    <col min="7170" max="7170" width="44.7109375" style="47" customWidth="1"/>
    <col min="7171" max="7172" width="13" style="47" customWidth="1"/>
    <col min="7173" max="7174" width="10.5703125" style="47" customWidth="1"/>
    <col min="7175" max="7176" width="17.85546875" style="47" customWidth="1"/>
    <col min="7177" max="7179" width="16.28515625" style="47" customWidth="1"/>
    <col min="7180" max="7424" width="9.140625" style="47"/>
    <col min="7425" max="7425" width="10.5703125" style="47" customWidth="1"/>
    <col min="7426" max="7426" width="44.7109375" style="47" customWidth="1"/>
    <col min="7427" max="7428" width="13" style="47" customWidth="1"/>
    <col min="7429" max="7430" width="10.5703125" style="47" customWidth="1"/>
    <col min="7431" max="7432" width="17.85546875" style="47" customWidth="1"/>
    <col min="7433" max="7435" width="16.28515625" style="47" customWidth="1"/>
    <col min="7436" max="7680" width="9.140625" style="47"/>
    <col min="7681" max="7681" width="10.5703125" style="47" customWidth="1"/>
    <col min="7682" max="7682" width="44.7109375" style="47" customWidth="1"/>
    <col min="7683" max="7684" width="13" style="47" customWidth="1"/>
    <col min="7685" max="7686" width="10.5703125" style="47" customWidth="1"/>
    <col min="7687" max="7688" width="17.85546875" style="47" customWidth="1"/>
    <col min="7689" max="7691" width="16.28515625" style="47" customWidth="1"/>
    <col min="7692" max="7936" width="9.140625" style="47"/>
    <col min="7937" max="7937" width="10.5703125" style="47" customWidth="1"/>
    <col min="7938" max="7938" width="44.7109375" style="47" customWidth="1"/>
    <col min="7939" max="7940" width="13" style="47" customWidth="1"/>
    <col min="7941" max="7942" width="10.5703125" style="47" customWidth="1"/>
    <col min="7943" max="7944" width="17.85546875" style="47" customWidth="1"/>
    <col min="7945" max="7947" width="16.28515625" style="47" customWidth="1"/>
    <col min="7948" max="8192" width="9.140625" style="47"/>
    <col min="8193" max="8193" width="10.5703125" style="47" customWidth="1"/>
    <col min="8194" max="8194" width="44.7109375" style="47" customWidth="1"/>
    <col min="8195" max="8196" width="13" style="47" customWidth="1"/>
    <col min="8197" max="8198" width="10.5703125" style="47" customWidth="1"/>
    <col min="8199" max="8200" width="17.85546875" style="47" customWidth="1"/>
    <col min="8201" max="8203" width="16.28515625" style="47" customWidth="1"/>
    <col min="8204" max="8448" width="9.140625" style="47"/>
    <col min="8449" max="8449" width="10.5703125" style="47" customWidth="1"/>
    <col min="8450" max="8450" width="44.7109375" style="47" customWidth="1"/>
    <col min="8451" max="8452" width="13" style="47" customWidth="1"/>
    <col min="8453" max="8454" width="10.5703125" style="47" customWidth="1"/>
    <col min="8455" max="8456" width="17.85546875" style="47" customWidth="1"/>
    <col min="8457" max="8459" width="16.28515625" style="47" customWidth="1"/>
    <col min="8460" max="8704" width="9.140625" style="47"/>
    <col min="8705" max="8705" width="10.5703125" style="47" customWidth="1"/>
    <col min="8706" max="8706" width="44.7109375" style="47" customWidth="1"/>
    <col min="8707" max="8708" width="13" style="47" customWidth="1"/>
    <col min="8709" max="8710" width="10.5703125" style="47" customWidth="1"/>
    <col min="8711" max="8712" width="17.85546875" style="47" customWidth="1"/>
    <col min="8713" max="8715" width="16.28515625" style="47" customWidth="1"/>
    <col min="8716" max="8960" width="9.140625" style="47"/>
    <col min="8961" max="8961" width="10.5703125" style="47" customWidth="1"/>
    <col min="8962" max="8962" width="44.7109375" style="47" customWidth="1"/>
    <col min="8963" max="8964" width="13" style="47" customWidth="1"/>
    <col min="8965" max="8966" width="10.5703125" style="47" customWidth="1"/>
    <col min="8967" max="8968" width="17.85546875" style="47" customWidth="1"/>
    <col min="8969" max="8971" width="16.28515625" style="47" customWidth="1"/>
    <col min="8972" max="9216" width="9.140625" style="47"/>
    <col min="9217" max="9217" width="10.5703125" style="47" customWidth="1"/>
    <col min="9218" max="9218" width="44.7109375" style="47" customWidth="1"/>
    <col min="9219" max="9220" width="13" style="47" customWidth="1"/>
    <col min="9221" max="9222" width="10.5703125" style="47" customWidth="1"/>
    <col min="9223" max="9224" width="17.85546875" style="47" customWidth="1"/>
    <col min="9225" max="9227" width="16.28515625" style="47" customWidth="1"/>
    <col min="9228" max="9472" width="9.140625" style="47"/>
    <col min="9473" max="9473" width="10.5703125" style="47" customWidth="1"/>
    <col min="9474" max="9474" width="44.7109375" style="47" customWidth="1"/>
    <col min="9475" max="9476" width="13" style="47" customWidth="1"/>
    <col min="9477" max="9478" width="10.5703125" style="47" customWidth="1"/>
    <col min="9479" max="9480" width="17.85546875" style="47" customWidth="1"/>
    <col min="9481" max="9483" width="16.28515625" style="47" customWidth="1"/>
    <col min="9484" max="9728" width="9.140625" style="47"/>
    <col min="9729" max="9729" width="10.5703125" style="47" customWidth="1"/>
    <col min="9730" max="9730" width="44.7109375" style="47" customWidth="1"/>
    <col min="9731" max="9732" width="13" style="47" customWidth="1"/>
    <col min="9733" max="9734" width="10.5703125" style="47" customWidth="1"/>
    <col min="9735" max="9736" width="17.85546875" style="47" customWidth="1"/>
    <col min="9737" max="9739" width="16.28515625" style="47" customWidth="1"/>
    <col min="9740" max="9984" width="9.140625" style="47"/>
    <col min="9985" max="9985" width="10.5703125" style="47" customWidth="1"/>
    <col min="9986" max="9986" width="44.7109375" style="47" customWidth="1"/>
    <col min="9987" max="9988" width="13" style="47" customWidth="1"/>
    <col min="9989" max="9990" width="10.5703125" style="47" customWidth="1"/>
    <col min="9991" max="9992" width="17.85546875" style="47" customWidth="1"/>
    <col min="9993" max="9995" width="16.28515625" style="47" customWidth="1"/>
    <col min="9996" max="10240" width="9.140625" style="47"/>
    <col min="10241" max="10241" width="10.5703125" style="47" customWidth="1"/>
    <col min="10242" max="10242" width="44.7109375" style="47" customWidth="1"/>
    <col min="10243" max="10244" width="13" style="47" customWidth="1"/>
    <col min="10245" max="10246" width="10.5703125" style="47" customWidth="1"/>
    <col min="10247" max="10248" width="17.85546875" style="47" customWidth="1"/>
    <col min="10249" max="10251" width="16.28515625" style="47" customWidth="1"/>
    <col min="10252" max="10496" width="9.140625" style="47"/>
    <col min="10497" max="10497" width="10.5703125" style="47" customWidth="1"/>
    <col min="10498" max="10498" width="44.7109375" style="47" customWidth="1"/>
    <col min="10499" max="10500" width="13" style="47" customWidth="1"/>
    <col min="10501" max="10502" width="10.5703125" style="47" customWidth="1"/>
    <col min="10503" max="10504" width="17.85546875" style="47" customWidth="1"/>
    <col min="10505" max="10507" width="16.28515625" style="47" customWidth="1"/>
    <col min="10508" max="10752" width="9.140625" style="47"/>
    <col min="10753" max="10753" width="10.5703125" style="47" customWidth="1"/>
    <col min="10754" max="10754" width="44.7109375" style="47" customWidth="1"/>
    <col min="10755" max="10756" width="13" style="47" customWidth="1"/>
    <col min="10757" max="10758" width="10.5703125" style="47" customWidth="1"/>
    <col min="10759" max="10760" width="17.85546875" style="47" customWidth="1"/>
    <col min="10761" max="10763" width="16.28515625" style="47" customWidth="1"/>
    <col min="10764" max="11008" width="9.140625" style="47"/>
    <col min="11009" max="11009" width="10.5703125" style="47" customWidth="1"/>
    <col min="11010" max="11010" width="44.7109375" style="47" customWidth="1"/>
    <col min="11011" max="11012" width="13" style="47" customWidth="1"/>
    <col min="11013" max="11014" width="10.5703125" style="47" customWidth="1"/>
    <col min="11015" max="11016" width="17.85546875" style="47" customWidth="1"/>
    <col min="11017" max="11019" width="16.28515625" style="47" customWidth="1"/>
    <col min="11020" max="11264" width="9.140625" style="47"/>
    <col min="11265" max="11265" width="10.5703125" style="47" customWidth="1"/>
    <col min="11266" max="11266" width="44.7109375" style="47" customWidth="1"/>
    <col min="11267" max="11268" width="13" style="47" customWidth="1"/>
    <col min="11269" max="11270" width="10.5703125" style="47" customWidth="1"/>
    <col min="11271" max="11272" width="17.85546875" style="47" customWidth="1"/>
    <col min="11273" max="11275" width="16.28515625" style="47" customWidth="1"/>
    <col min="11276" max="11520" width="9.140625" style="47"/>
    <col min="11521" max="11521" width="10.5703125" style="47" customWidth="1"/>
    <col min="11522" max="11522" width="44.7109375" style="47" customWidth="1"/>
    <col min="11523" max="11524" width="13" style="47" customWidth="1"/>
    <col min="11525" max="11526" width="10.5703125" style="47" customWidth="1"/>
    <col min="11527" max="11528" width="17.85546875" style="47" customWidth="1"/>
    <col min="11529" max="11531" width="16.28515625" style="47" customWidth="1"/>
    <col min="11532" max="11776" width="9.140625" style="47"/>
    <col min="11777" max="11777" width="10.5703125" style="47" customWidth="1"/>
    <col min="11778" max="11778" width="44.7109375" style="47" customWidth="1"/>
    <col min="11779" max="11780" width="13" style="47" customWidth="1"/>
    <col min="11781" max="11782" width="10.5703125" style="47" customWidth="1"/>
    <col min="11783" max="11784" width="17.85546875" style="47" customWidth="1"/>
    <col min="11785" max="11787" width="16.28515625" style="47" customWidth="1"/>
    <col min="11788" max="12032" width="9.140625" style="47"/>
    <col min="12033" max="12033" width="10.5703125" style="47" customWidth="1"/>
    <col min="12034" max="12034" width="44.7109375" style="47" customWidth="1"/>
    <col min="12035" max="12036" width="13" style="47" customWidth="1"/>
    <col min="12037" max="12038" width="10.5703125" style="47" customWidth="1"/>
    <col min="12039" max="12040" width="17.85546875" style="47" customWidth="1"/>
    <col min="12041" max="12043" width="16.28515625" style="47" customWidth="1"/>
    <col min="12044" max="12288" width="9.140625" style="47"/>
    <col min="12289" max="12289" width="10.5703125" style="47" customWidth="1"/>
    <col min="12290" max="12290" width="44.7109375" style="47" customWidth="1"/>
    <col min="12291" max="12292" width="13" style="47" customWidth="1"/>
    <col min="12293" max="12294" width="10.5703125" style="47" customWidth="1"/>
    <col min="12295" max="12296" width="17.85546875" style="47" customWidth="1"/>
    <col min="12297" max="12299" width="16.28515625" style="47" customWidth="1"/>
    <col min="12300" max="12544" width="9.140625" style="47"/>
    <col min="12545" max="12545" width="10.5703125" style="47" customWidth="1"/>
    <col min="12546" max="12546" width="44.7109375" style="47" customWidth="1"/>
    <col min="12547" max="12548" width="13" style="47" customWidth="1"/>
    <col min="12549" max="12550" width="10.5703125" style="47" customWidth="1"/>
    <col min="12551" max="12552" width="17.85546875" style="47" customWidth="1"/>
    <col min="12553" max="12555" width="16.28515625" style="47" customWidth="1"/>
    <col min="12556" max="12800" width="9.140625" style="47"/>
    <col min="12801" max="12801" width="10.5703125" style="47" customWidth="1"/>
    <col min="12802" max="12802" width="44.7109375" style="47" customWidth="1"/>
    <col min="12803" max="12804" width="13" style="47" customWidth="1"/>
    <col min="12805" max="12806" width="10.5703125" style="47" customWidth="1"/>
    <col min="12807" max="12808" width="17.85546875" style="47" customWidth="1"/>
    <col min="12809" max="12811" width="16.28515625" style="47" customWidth="1"/>
    <col min="12812" max="13056" width="9.140625" style="47"/>
    <col min="13057" max="13057" width="10.5703125" style="47" customWidth="1"/>
    <col min="13058" max="13058" width="44.7109375" style="47" customWidth="1"/>
    <col min="13059" max="13060" width="13" style="47" customWidth="1"/>
    <col min="13061" max="13062" width="10.5703125" style="47" customWidth="1"/>
    <col min="13063" max="13064" width="17.85546875" style="47" customWidth="1"/>
    <col min="13065" max="13067" width="16.28515625" style="47" customWidth="1"/>
    <col min="13068" max="13312" width="9.140625" style="47"/>
    <col min="13313" max="13313" width="10.5703125" style="47" customWidth="1"/>
    <col min="13314" max="13314" width="44.7109375" style="47" customWidth="1"/>
    <col min="13315" max="13316" width="13" style="47" customWidth="1"/>
    <col min="13317" max="13318" width="10.5703125" style="47" customWidth="1"/>
    <col min="13319" max="13320" width="17.85546875" style="47" customWidth="1"/>
    <col min="13321" max="13323" width="16.28515625" style="47" customWidth="1"/>
    <col min="13324" max="13568" width="9.140625" style="47"/>
    <col min="13569" max="13569" width="10.5703125" style="47" customWidth="1"/>
    <col min="13570" max="13570" width="44.7109375" style="47" customWidth="1"/>
    <col min="13571" max="13572" width="13" style="47" customWidth="1"/>
    <col min="13573" max="13574" width="10.5703125" style="47" customWidth="1"/>
    <col min="13575" max="13576" width="17.85546875" style="47" customWidth="1"/>
    <col min="13577" max="13579" width="16.28515625" style="47" customWidth="1"/>
    <col min="13580" max="13824" width="9.140625" style="47"/>
    <col min="13825" max="13825" width="10.5703125" style="47" customWidth="1"/>
    <col min="13826" max="13826" width="44.7109375" style="47" customWidth="1"/>
    <col min="13827" max="13828" width="13" style="47" customWidth="1"/>
    <col min="13829" max="13830" width="10.5703125" style="47" customWidth="1"/>
    <col min="13831" max="13832" width="17.85546875" style="47" customWidth="1"/>
    <col min="13833" max="13835" width="16.28515625" style="47" customWidth="1"/>
    <col min="13836" max="14080" width="9.140625" style="47"/>
    <col min="14081" max="14081" width="10.5703125" style="47" customWidth="1"/>
    <col min="14082" max="14082" width="44.7109375" style="47" customWidth="1"/>
    <col min="14083" max="14084" width="13" style="47" customWidth="1"/>
    <col min="14085" max="14086" width="10.5703125" style="47" customWidth="1"/>
    <col min="14087" max="14088" width="17.85546875" style="47" customWidth="1"/>
    <col min="14089" max="14091" width="16.28515625" style="47" customWidth="1"/>
    <col min="14092" max="14336" width="9.140625" style="47"/>
    <col min="14337" max="14337" width="10.5703125" style="47" customWidth="1"/>
    <col min="14338" max="14338" width="44.7109375" style="47" customWidth="1"/>
    <col min="14339" max="14340" width="13" style="47" customWidth="1"/>
    <col min="14341" max="14342" width="10.5703125" style="47" customWidth="1"/>
    <col min="14343" max="14344" width="17.85546875" style="47" customWidth="1"/>
    <col min="14345" max="14347" width="16.28515625" style="47" customWidth="1"/>
    <col min="14348" max="14592" width="9.140625" style="47"/>
    <col min="14593" max="14593" width="10.5703125" style="47" customWidth="1"/>
    <col min="14594" max="14594" width="44.7109375" style="47" customWidth="1"/>
    <col min="14595" max="14596" width="13" style="47" customWidth="1"/>
    <col min="14597" max="14598" width="10.5703125" style="47" customWidth="1"/>
    <col min="14599" max="14600" width="17.85546875" style="47" customWidth="1"/>
    <col min="14601" max="14603" width="16.28515625" style="47" customWidth="1"/>
    <col min="14604" max="14848" width="9.140625" style="47"/>
    <col min="14849" max="14849" width="10.5703125" style="47" customWidth="1"/>
    <col min="14850" max="14850" width="44.7109375" style="47" customWidth="1"/>
    <col min="14851" max="14852" width="13" style="47" customWidth="1"/>
    <col min="14853" max="14854" width="10.5703125" style="47" customWidth="1"/>
    <col min="14855" max="14856" width="17.85546875" style="47" customWidth="1"/>
    <col min="14857" max="14859" width="16.28515625" style="47" customWidth="1"/>
    <col min="14860" max="15104" width="9.140625" style="47"/>
    <col min="15105" max="15105" width="10.5703125" style="47" customWidth="1"/>
    <col min="15106" max="15106" width="44.7109375" style="47" customWidth="1"/>
    <col min="15107" max="15108" width="13" style="47" customWidth="1"/>
    <col min="15109" max="15110" width="10.5703125" style="47" customWidth="1"/>
    <col min="15111" max="15112" width="17.85546875" style="47" customWidth="1"/>
    <col min="15113" max="15115" width="16.28515625" style="47" customWidth="1"/>
    <col min="15116" max="15360" width="9.140625" style="47"/>
    <col min="15361" max="15361" width="10.5703125" style="47" customWidth="1"/>
    <col min="15362" max="15362" width="44.7109375" style="47" customWidth="1"/>
    <col min="15363" max="15364" width="13" style="47" customWidth="1"/>
    <col min="15365" max="15366" width="10.5703125" style="47" customWidth="1"/>
    <col min="15367" max="15368" width="17.85546875" style="47" customWidth="1"/>
    <col min="15369" max="15371" width="16.28515625" style="47" customWidth="1"/>
    <col min="15372" max="15616" width="9.140625" style="47"/>
    <col min="15617" max="15617" width="10.5703125" style="47" customWidth="1"/>
    <col min="15618" max="15618" width="44.7109375" style="47" customWidth="1"/>
    <col min="15619" max="15620" width="13" style="47" customWidth="1"/>
    <col min="15621" max="15622" width="10.5703125" style="47" customWidth="1"/>
    <col min="15623" max="15624" width="17.85546875" style="47" customWidth="1"/>
    <col min="15625" max="15627" width="16.28515625" style="47" customWidth="1"/>
    <col min="15628" max="15872" width="9.140625" style="47"/>
    <col min="15873" max="15873" width="10.5703125" style="47" customWidth="1"/>
    <col min="15874" max="15874" width="44.7109375" style="47" customWidth="1"/>
    <col min="15875" max="15876" width="13" style="47" customWidth="1"/>
    <col min="15877" max="15878" width="10.5703125" style="47" customWidth="1"/>
    <col min="15879" max="15880" width="17.85546875" style="47" customWidth="1"/>
    <col min="15881" max="15883" width="16.28515625" style="47" customWidth="1"/>
    <col min="15884" max="16128" width="9.140625" style="47"/>
    <col min="16129" max="16129" width="10.5703125" style="47" customWidth="1"/>
    <col min="16130" max="16130" width="44.7109375" style="47" customWidth="1"/>
    <col min="16131" max="16132" width="13" style="47" customWidth="1"/>
    <col min="16133" max="16134" width="10.5703125" style="47" customWidth="1"/>
    <col min="16135" max="16136" width="17.85546875" style="47" customWidth="1"/>
    <col min="16137" max="16139" width="16.28515625" style="47" customWidth="1"/>
    <col min="16140" max="16384" width="9.140625" style="47"/>
  </cols>
  <sheetData>
    <row r="1" spans="1:17" ht="38.25" x14ac:dyDescent="0.2">
      <c r="A1" s="46"/>
      <c r="B1" s="46" t="s">
        <v>144</v>
      </c>
      <c r="C1" s="46" t="s">
        <v>145</v>
      </c>
      <c r="D1" s="46" t="s">
        <v>146</v>
      </c>
      <c r="E1" s="46" t="s">
        <v>147</v>
      </c>
      <c r="F1" s="46" t="s">
        <v>148</v>
      </c>
      <c r="G1" s="46" t="s">
        <v>149</v>
      </c>
      <c r="H1" s="46" t="s">
        <v>150</v>
      </c>
      <c r="I1" s="46" t="s">
        <v>151</v>
      </c>
      <c r="J1" s="46" t="s">
        <v>152</v>
      </c>
      <c r="K1" s="46" t="s">
        <v>153</v>
      </c>
      <c r="L1" s="46" t="s">
        <v>154</v>
      </c>
      <c r="N1" s="48" t="s">
        <v>155</v>
      </c>
      <c r="O1" s="49" t="s">
        <v>156</v>
      </c>
      <c r="P1" s="50" t="s">
        <v>157</v>
      </c>
      <c r="Q1" s="51" t="s">
        <v>158</v>
      </c>
    </row>
    <row r="2" spans="1:17" ht="15" hidden="1" x14ac:dyDescent="0.25">
      <c r="A2" s="46">
        <v>1</v>
      </c>
      <c r="B2" s="52" t="s">
        <v>159</v>
      </c>
      <c r="C2" s="52">
        <v>100</v>
      </c>
      <c r="D2" s="52">
        <v>1</v>
      </c>
      <c r="E2" s="52" t="s">
        <v>160</v>
      </c>
      <c r="F2" s="52">
        <v>5</v>
      </c>
      <c r="G2" s="52">
        <v>100</v>
      </c>
      <c r="H2" s="52">
        <v>0</v>
      </c>
      <c r="I2" s="52">
        <v>180</v>
      </c>
      <c r="J2" s="52">
        <v>70</v>
      </c>
      <c r="K2" s="52">
        <v>140</v>
      </c>
      <c r="L2" s="52">
        <v>9.1999999999999998E-2</v>
      </c>
      <c r="N2" s="53">
        <f t="shared" ref="N2:N65" si="0">IFERROR(SEARCH("@",B2),0)</f>
        <v>23</v>
      </c>
      <c r="O2" s="54">
        <f t="shared" ref="O2:O65" si="1">IF(N2&gt;0,MID(B2,N2+2,5)*1,C2*60*0.97)</f>
        <v>5820</v>
      </c>
      <c r="P2" s="54">
        <f t="shared" ref="P2:P65" si="2">C2*60</f>
        <v>6000</v>
      </c>
      <c r="Q2" s="55">
        <f t="shared" ref="Q2:Q65" si="3">IF(O2&lt;&gt;"",(P2-O2)/P2,"")</f>
        <v>0.03</v>
      </c>
    </row>
    <row r="3" spans="1:17" ht="15" hidden="1" x14ac:dyDescent="0.25">
      <c r="A3" s="46">
        <v>2</v>
      </c>
      <c r="B3" s="52" t="s">
        <v>161</v>
      </c>
      <c r="C3" s="52">
        <v>100</v>
      </c>
      <c r="D3" s="52">
        <v>1</v>
      </c>
      <c r="E3" s="52" t="s">
        <v>160</v>
      </c>
      <c r="F3" s="52">
        <v>2</v>
      </c>
      <c r="G3" s="52">
        <v>100</v>
      </c>
      <c r="H3" s="52">
        <v>0</v>
      </c>
      <c r="I3" s="52">
        <v>180</v>
      </c>
      <c r="J3" s="52">
        <v>30</v>
      </c>
      <c r="K3" s="52">
        <v>130</v>
      </c>
      <c r="L3" s="52">
        <v>5.5E-2</v>
      </c>
      <c r="N3" s="56">
        <f t="shared" si="0"/>
        <v>24</v>
      </c>
      <c r="O3" s="54">
        <f t="shared" si="1"/>
        <v>5820</v>
      </c>
      <c r="P3" s="57">
        <f t="shared" si="2"/>
        <v>6000</v>
      </c>
      <c r="Q3" s="58">
        <f t="shared" si="3"/>
        <v>0.03</v>
      </c>
    </row>
    <row r="4" spans="1:17" ht="15" hidden="1" x14ac:dyDescent="0.25">
      <c r="A4" s="46">
        <v>3</v>
      </c>
      <c r="B4" s="52" t="s">
        <v>162</v>
      </c>
      <c r="C4" s="52">
        <v>146</v>
      </c>
      <c r="D4" s="52">
        <v>1</v>
      </c>
      <c r="E4" s="52" t="s">
        <v>160</v>
      </c>
      <c r="F4" s="52">
        <v>2</v>
      </c>
      <c r="G4" s="52">
        <v>146</v>
      </c>
      <c r="H4" s="52">
        <v>0</v>
      </c>
      <c r="I4" s="52">
        <v>263</v>
      </c>
      <c r="J4" s="52">
        <v>40</v>
      </c>
      <c r="K4" s="52">
        <v>190</v>
      </c>
      <c r="L4" s="52">
        <v>5.5E-2</v>
      </c>
      <c r="N4" s="56">
        <f t="shared" si="0"/>
        <v>24</v>
      </c>
      <c r="O4" s="54">
        <f t="shared" si="1"/>
        <v>8500</v>
      </c>
      <c r="P4" s="57">
        <f t="shared" si="2"/>
        <v>8760</v>
      </c>
      <c r="Q4" s="58">
        <f t="shared" si="3"/>
        <v>2.9680365296803651E-2</v>
      </c>
    </row>
    <row r="5" spans="1:17" ht="15" hidden="1" x14ac:dyDescent="0.25">
      <c r="A5" s="46">
        <v>4</v>
      </c>
      <c r="B5" s="52" t="s">
        <v>163</v>
      </c>
      <c r="C5" s="52">
        <v>50</v>
      </c>
      <c r="D5" s="52">
        <v>1</v>
      </c>
      <c r="E5" s="52" t="s">
        <v>160</v>
      </c>
      <c r="F5" s="52">
        <v>2</v>
      </c>
      <c r="G5" s="52">
        <v>50</v>
      </c>
      <c r="H5" s="52">
        <v>0</v>
      </c>
      <c r="I5" s="52">
        <v>90</v>
      </c>
      <c r="J5" s="52">
        <v>15</v>
      </c>
      <c r="K5" s="52">
        <v>65</v>
      </c>
      <c r="L5" s="52">
        <v>5.5E-2</v>
      </c>
      <c r="N5" s="56">
        <f t="shared" si="0"/>
        <v>24</v>
      </c>
      <c r="O5" s="54">
        <f t="shared" si="1"/>
        <v>2910</v>
      </c>
      <c r="P5" s="118">
        <f t="shared" si="2"/>
        <v>3000</v>
      </c>
      <c r="Q5" s="58">
        <f t="shared" si="3"/>
        <v>0.03</v>
      </c>
    </row>
    <row r="6" spans="1:17" ht="15" hidden="1" x14ac:dyDescent="0.25">
      <c r="A6" s="46">
        <v>5</v>
      </c>
      <c r="B6" s="52" t="s">
        <v>164</v>
      </c>
      <c r="C6" s="52">
        <v>99</v>
      </c>
      <c r="D6" s="52">
        <v>1</v>
      </c>
      <c r="E6" s="52" t="s">
        <v>160</v>
      </c>
      <c r="F6" s="52" t="s">
        <v>97</v>
      </c>
      <c r="G6" s="52">
        <v>100</v>
      </c>
      <c r="H6" s="52">
        <v>0</v>
      </c>
      <c r="I6" s="52">
        <v>175</v>
      </c>
      <c r="J6" s="52">
        <v>70</v>
      </c>
      <c r="K6" s="52">
        <v>130</v>
      </c>
      <c r="L6" s="52">
        <v>6.9000000000000006E-2</v>
      </c>
      <c r="N6" s="56">
        <f t="shared" si="0"/>
        <v>23</v>
      </c>
      <c r="O6" s="54">
        <f t="shared" si="1"/>
        <v>5760</v>
      </c>
      <c r="P6" s="57">
        <f t="shared" si="2"/>
        <v>5940</v>
      </c>
      <c r="Q6" s="58">
        <f t="shared" si="3"/>
        <v>3.0303030303030304E-2</v>
      </c>
    </row>
    <row r="7" spans="1:17" ht="15" hidden="1" x14ac:dyDescent="0.25">
      <c r="A7" s="46">
        <v>6</v>
      </c>
      <c r="B7" s="52" t="s">
        <v>165</v>
      </c>
      <c r="C7" s="52">
        <v>50</v>
      </c>
      <c r="D7" s="52">
        <v>1</v>
      </c>
      <c r="E7" s="52" t="s">
        <v>160</v>
      </c>
      <c r="F7" s="52" t="s">
        <v>97</v>
      </c>
      <c r="G7" s="52">
        <v>20</v>
      </c>
      <c r="H7" s="52">
        <v>0</v>
      </c>
      <c r="I7" s="52">
        <v>35</v>
      </c>
      <c r="J7" s="52">
        <v>15</v>
      </c>
      <c r="K7" s="52">
        <v>25</v>
      </c>
      <c r="L7" s="52">
        <v>6.9000000000000006E-2</v>
      </c>
      <c r="N7" s="56">
        <f t="shared" si="0"/>
        <v>23</v>
      </c>
      <c r="O7" s="54">
        <f t="shared" si="1"/>
        <v>2910</v>
      </c>
      <c r="P7" s="57">
        <f t="shared" si="2"/>
        <v>3000</v>
      </c>
      <c r="Q7" s="58">
        <f t="shared" si="3"/>
        <v>0.03</v>
      </c>
    </row>
    <row r="8" spans="1:17" ht="15" hidden="1" x14ac:dyDescent="0.25">
      <c r="A8" s="46">
        <v>7</v>
      </c>
      <c r="B8" s="52" t="s">
        <v>166</v>
      </c>
      <c r="C8" s="52">
        <v>63</v>
      </c>
      <c r="D8" s="52">
        <v>1</v>
      </c>
      <c r="E8" s="52" t="s">
        <v>160</v>
      </c>
      <c r="F8" s="52" t="s">
        <v>97</v>
      </c>
      <c r="G8" s="52">
        <v>25</v>
      </c>
      <c r="H8" s="52">
        <v>0</v>
      </c>
      <c r="I8" s="52">
        <v>43</v>
      </c>
      <c r="J8" s="52">
        <v>19</v>
      </c>
      <c r="K8" s="52">
        <v>31</v>
      </c>
      <c r="L8" s="52">
        <v>6.9000000000000006E-2</v>
      </c>
      <c r="N8" s="56">
        <f t="shared" si="0"/>
        <v>23</v>
      </c>
      <c r="O8" s="54">
        <f t="shared" si="1"/>
        <v>3640</v>
      </c>
      <c r="P8" s="57">
        <f t="shared" si="2"/>
        <v>3780</v>
      </c>
      <c r="Q8" s="58">
        <f t="shared" si="3"/>
        <v>3.7037037037037035E-2</v>
      </c>
    </row>
    <row r="9" spans="1:17" ht="15" hidden="1" x14ac:dyDescent="0.25">
      <c r="A9" s="46">
        <v>8</v>
      </c>
      <c r="B9" s="52" t="s">
        <v>167</v>
      </c>
      <c r="C9" s="52">
        <v>44</v>
      </c>
      <c r="D9" s="52">
        <v>1</v>
      </c>
      <c r="E9" s="52" t="s">
        <v>160</v>
      </c>
      <c r="F9" s="52" t="s">
        <v>97</v>
      </c>
      <c r="G9" s="52">
        <v>30</v>
      </c>
      <c r="H9" s="52">
        <v>0</v>
      </c>
      <c r="I9" s="52">
        <v>46</v>
      </c>
      <c r="J9" s="52">
        <v>20</v>
      </c>
      <c r="K9" s="52">
        <v>40</v>
      </c>
      <c r="L9" s="52">
        <v>6.9000000000000006E-2</v>
      </c>
      <c r="N9" s="56">
        <f t="shared" si="0"/>
        <v>23</v>
      </c>
      <c r="O9" s="54">
        <f t="shared" si="1"/>
        <v>2570</v>
      </c>
      <c r="P9" s="57">
        <f t="shared" si="2"/>
        <v>2640</v>
      </c>
      <c r="Q9" s="58">
        <f t="shared" si="3"/>
        <v>2.6515151515151516E-2</v>
      </c>
    </row>
    <row r="10" spans="1:17" ht="15" hidden="1" x14ac:dyDescent="0.25">
      <c r="A10" s="46">
        <v>9</v>
      </c>
      <c r="B10" s="52" t="s">
        <v>168</v>
      </c>
      <c r="C10" s="52">
        <v>75</v>
      </c>
      <c r="D10" s="52">
        <v>1</v>
      </c>
      <c r="E10" s="52" t="s">
        <v>160</v>
      </c>
      <c r="F10" s="52" t="s">
        <v>97</v>
      </c>
      <c r="G10" s="52">
        <v>30</v>
      </c>
      <c r="H10" s="52">
        <v>0</v>
      </c>
      <c r="I10" s="52">
        <v>52</v>
      </c>
      <c r="J10" s="52">
        <v>23</v>
      </c>
      <c r="K10" s="52">
        <v>38</v>
      </c>
      <c r="L10" s="52">
        <v>6.9000000000000006E-2</v>
      </c>
      <c r="N10" s="56">
        <f t="shared" si="0"/>
        <v>23</v>
      </c>
      <c r="O10" s="54">
        <f t="shared" si="1"/>
        <v>4365</v>
      </c>
      <c r="P10" s="57">
        <f t="shared" si="2"/>
        <v>4500</v>
      </c>
      <c r="Q10" s="58">
        <f t="shared" si="3"/>
        <v>0.03</v>
      </c>
    </row>
    <row r="11" spans="1:17" ht="15" hidden="1" x14ac:dyDescent="0.25">
      <c r="A11" s="46">
        <v>10</v>
      </c>
      <c r="B11" s="52" t="s">
        <v>169</v>
      </c>
      <c r="C11" s="52">
        <v>87</v>
      </c>
      <c r="D11" s="52">
        <v>1</v>
      </c>
      <c r="E11" s="52" t="s">
        <v>160</v>
      </c>
      <c r="F11" s="52" t="s">
        <v>97</v>
      </c>
      <c r="G11" s="52">
        <v>35</v>
      </c>
      <c r="H11" s="52">
        <v>0</v>
      </c>
      <c r="I11" s="52">
        <v>61</v>
      </c>
      <c r="J11" s="52">
        <v>26</v>
      </c>
      <c r="K11" s="52">
        <v>44</v>
      </c>
      <c r="L11" s="52">
        <v>6.9000000000000006E-2</v>
      </c>
      <c r="N11" s="56">
        <f t="shared" si="0"/>
        <v>23</v>
      </c>
      <c r="O11" s="54">
        <f t="shared" si="1"/>
        <v>5090</v>
      </c>
      <c r="P11" s="57">
        <f t="shared" si="2"/>
        <v>5220</v>
      </c>
      <c r="Q11" s="58">
        <f t="shared" si="3"/>
        <v>2.4904214559386972E-2</v>
      </c>
    </row>
    <row r="12" spans="1:17" ht="15" hidden="1" x14ac:dyDescent="0.25">
      <c r="A12" s="46">
        <v>11</v>
      </c>
      <c r="B12" s="52" t="s">
        <v>170</v>
      </c>
      <c r="C12" s="52">
        <v>100</v>
      </c>
      <c r="D12" s="52">
        <v>1</v>
      </c>
      <c r="E12" s="52" t="s">
        <v>160</v>
      </c>
      <c r="F12" s="52" t="s">
        <v>97</v>
      </c>
      <c r="G12" s="52">
        <v>40</v>
      </c>
      <c r="H12" s="52">
        <v>0</v>
      </c>
      <c r="I12" s="52">
        <v>70</v>
      </c>
      <c r="J12" s="52">
        <v>30</v>
      </c>
      <c r="K12" s="52">
        <v>50</v>
      </c>
      <c r="L12" s="52">
        <v>6.9000000000000006E-2</v>
      </c>
      <c r="N12" s="56">
        <f t="shared" si="0"/>
        <v>23</v>
      </c>
      <c r="O12" s="54">
        <f t="shared" si="1"/>
        <v>5820</v>
      </c>
      <c r="P12" s="57">
        <f t="shared" si="2"/>
        <v>6000</v>
      </c>
      <c r="Q12" s="58">
        <f t="shared" si="3"/>
        <v>0.03</v>
      </c>
    </row>
    <row r="13" spans="1:17" ht="15" hidden="1" x14ac:dyDescent="0.25">
      <c r="A13" s="46">
        <v>12</v>
      </c>
      <c r="B13" s="52" t="s">
        <v>171</v>
      </c>
      <c r="C13" s="52">
        <v>66</v>
      </c>
      <c r="D13" s="52">
        <v>1</v>
      </c>
      <c r="E13" s="52" t="s">
        <v>160</v>
      </c>
      <c r="F13" s="52" t="s">
        <v>97</v>
      </c>
      <c r="G13" s="52">
        <v>45</v>
      </c>
      <c r="H13" s="52">
        <v>0</v>
      </c>
      <c r="I13" s="52">
        <v>69</v>
      </c>
      <c r="J13" s="52">
        <v>30</v>
      </c>
      <c r="K13" s="52">
        <v>60</v>
      </c>
      <c r="L13" s="52">
        <v>6.9000000000000006E-2</v>
      </c>
      <c r="N13" s="56">
        <f t="shared" si="0"/>
        <v>23</v>
      </c>
      <c r="O13" s="54">
        <f t="shared" si="1"/>
        <v>3855</v>
      </c>
      <c r="P13" s="57">
        <f t="shared" si="2"/>
        <v>3960</v>
      </c>
      <c r="Q13" s="58">
        <f t="shared" si="3"/>
        <v>2.6515151515151516E-2</v>
      </c>
    </row>
    <row r="14" spans="1:17" ht="15" hidden="1" x14ac:dyDescent="0.25">
      <c r="A14" s="46">
        <v>13</v>
      </c>
      <c r="B14" s="52" t="s">
        <v>172</v>
      </c>
      <c r="C14" s="52">
        <v>49</v>
      </c>
      <c r="D14" s="52">
        <v>1</v>
      </c>
      <c r="E14" s="52" t="s">
        <v>160</v>
      </c>
      <c r="F14" s="52" t="s">
        <v>97</v>
      </c>
      <c r="G14" s="52">
        <v>50</v>
      </c>
      <c r="H14" s="52">
        <v>0</v>
      </c>
      <c r="I14" s="52">
        <v>81</v>
      </c>
      <c r="J14" s="52">
        <v>35</v>
      </c>
      <c r="K14" s="52">
        <v>65</v>
      </c>
      <c r="L14" s="52">
        <v>6.9000000000000006E-2</v>
      </c>
      <c r="N14" s="56">
        <f t="shared" si="0"/>
        <v>23</v>
      </c>
      <c r="O14" s="54">
        <f t="shared" si="1"/>
        <v>2880</v>
      </c>
      <c r="P14" s="57">
        <f t="shared" si="2"/>
        <v>2940</v>
      </c>
      <c r="Q14" s="58">
        <f t="shared" si="3"/>
        <v>2.0408163265306121E-2</v>
      </c>
    </row>
    <row r="15" spans="1:17" ht="15" hidden="1" x14ac:dyDescent="0.25">
      <c r="A15" s="46">
        <v>14</v>
      </c>
      <c r="B15" s="52" t="s">
        <v>173</v>
      </c>
      <c r="C15" s="52">
        <v>74</v>
      </c>
      <c r="D15" s="52">
        <v>1</v>
      </c>
      <c r="E15" s="52" t="s">
        <v>160</v>
      </c>
      <c r="F15" s="52" t="s">
        <v>97</v>
      </c>
      <c r="G15" s="52">
        <v>50</v>
      </c>
      <c r="H15" s="52">
        <v>0</v>
      </c>
      <c r="I15" s="52">
        <v>77</v>
      </c>
      <c r="J15" s="52">
        <v>34</v>
      </c>
      <c r="K15" s="52">
        <v>67</v>
      </c>
      <c r="L15" s="52">
        <v>6.9000000000000006E-2</v>
      </c>
      <c r="N15" s="56">
        <f t="shared" si="0"/>
        <v>23</v>
      </c>
      <c r="O15" s="54">
        <f t="shared" si="1"/>
        <v>4280</v>
      </c>
      <c r="P15" s="57">
        <f t="shared" si="2"/>
        <v>4440</v>
      </c>
      <c r="Q15" s="58">
        <f t="shared" si="3"/>
        <v>3.6036036036036036E-2</v>
      </c>
    </row>
    <row r="16" spans="1:17" ht="15" hidden="1" x14ac:dyDescent="0.25">
      <c r="A16" s="46">
        <v>15</v>
      </c>
      <c r="B16" s="52" t="s">
        <v>174</v>
      </c>
      <c r="C16" s="52">
        <v>88</v>
      </c>
      <c r="D16" s="52">
        <v>1</v>
      </c>
      <c r="E16" s="52" t="s">
        <v>160</v>
      </c>
      <c r="F16" s="52" t="s">
        <v>97</v>
      </c>
      <c r="G16" s="52">
        <v>60</v>
      </c>
      <c r="H16" s="52">
        <v>0</v>
      </c>
      <c r="I16" s="52">
        <v>92</v>
      </c>
      <c r="J16" s="52">
        <v>40</v>
      </c>
      <c r="K16" s="52">
        <v>80</v>
      </c>
      <c r="L16" s="52">
        <v>6.9000000000000006E-2</v>
      </c>
      <c r="N16" s="56">
        <f t="shared" si="0"/>
        <v>23</v>
      </c>
      <c r="O16" s="54">
        <f t="shared" si="1"/>
        <v>5140</v>
      </c>
      <c r="P16" s="57">
        <f t="shared" si="2"/>
        <v>5280</v>
      </c>
      <c r="Q16" s="58">
        <f t="shared" si="3"/>
        <v>2.6515151515151516E-2</v>
      </c>
    </row>
    <row r="17" spans="1:17" ht="15" hidden="1" x14ac:dyDescent="0.25">
      <c r="A17" s="46">
        <v>16</v>
      </c>
      <c r="B17" s="52" t="s">
        <v>175</v>
      </c>
      <c r="C17" s="52">
        <v>59</v>
      </c>
      <c r="D17" s="52">
        <v>1</v>
      </c>
      <c r="E17" s="52" t="s">
        <v>160</v>
      </c>
      <c r="F17" s="52" t="s">
        <v>97</v>
      </c>
      <c r="G17" s="52">
        <v>60</v>
      </c>
      <c r="H17" s="52">
        <v>0</v>
      </c>
      <c r="I17" s="52">
        <v>105</v>
      </c>
      <c r="J17" s="52">
        <v>42</v>
      </c>
      <c r="K17" s="52">
        <v>78</v>
      </c>
      <c r="L17" s="52">
        <v>6.9000000000000006E-2</v>
      </c>
      <c r="N17" s="56">
        <f t="shared" si="0"/>
        <v>23</v>
      </c>
      <c r="O17" s="54">
        <f t="shared" si="1"/>
        <v>3460</v>
      </c>
      <c r="P17" s="57">
        <f t="shared" si="2"/>
        <v>3540</v>
      </c>
      <c r="Q17" s="58">
        <f t="shared" si="3"/>
        <v>2.2598870056497175E-2</v>
      </c>
    </row>
    <row r="18" spans="1:17" ht="15" hidden="1" x14ac:dyDescent="0.25">
      <c r="A18" s="46">
        <v>17</v>
      </c>
      <c r="B18" s="52" t="s">
        <v>176</v>
      </c>
      <c r="C18" s="52">
        <v>96</v>
      </c>
      <c r="D18" s="52">
        <v>1</v>
      </c>
      <c r="E18" s="52" t="s">
        <v>160</v>
      </c>
      <c r="F18" s="52" t="s">
        <v>97</v>
      </c>
      <c r="G18" s="52">
        <v>65</v>
      </c>
      <c r="H18" s="52">
        <v>0</v>
      </c>
      <c r="I18" s="52">
        <v>100</v>
      </c>
      <c r="J18" s="52">
        <v>43</v>
      </c>
      <c r="K18" s="52">
        <v>87</v>
      </c>
      <c r="L18" s="52">
        <v>6.9000000000000006E-2</v>
      </c>
      <c r="N18" s="56">
        <f t="shared" si="0"/>
        <v>23</v>
      </c>
      <c r="O18" s="54">
        <f t="shared" si="1"/>
        <v>5565</v>
      </c>
      <c r="P18" s="57">
        <f t="shared" si="2"/>
        <v>5760</v>
      </c>
      <c r="Q18" s="58">
        <f t="shared" si="3"/>
        <v>3.3854166666666664E-2</v>
      </c>
    </row>
    <row r="19" spans="1:17" ht="15" hidden="1" x14ac:dyDescent="0.25">
      <c r="A19" s="46">
        <v>18</v>
      </c>
      <c r="B19" s="52" t="s">
        <v>177</v>
      </c>
      <c r="C19" s="52">
        <v>69</v>
      </c>
      <c r="D19" s="52">
        <v>1</v>
      </c>
      <c r="E19" s="52" t="s">
        <v>160</v>
      </c>
      <c r="F19" s="52" t="s">
        <v>97</v>
      </c>
      <c r="G19" s="52">
        <v>70</v>
      </c>
      <c r="H19" s="52">
        <v>0</v>
      </c>
      <c r="I19" s="52">
        <v>121</v>
      </c>
      <c r="J19" s="52">
        <v>49</v>
      </c>
      <c r="K19" s="52">
        <v>91</v>
      </c>
      <c r="L19" s="52">
        <v>6.9000000000000006E-2</v>
      </c>
      <c r="N19" s="56">
        <f t="shared" si="0"/>
        <v>23</v>
      </c>
      <c r="O19" s="54">
        <f t="shared" si="1"/>
        <v>4035</v>
      </c>
      <c r="P19" s="57">
        <f t="shared" si="2"/>
        <v>4140</v>
      </c>
      <c r="Q19" s="58">
        <f t="shared" si="3"/>
        <v>2.5362318840579712E-2</v>
      </c>
    </row>
    <row r="20" spans="1:17" ht="15" hidden="1" x14ac:dyDescent="0.25">
      <c r="A20" s="46">
        <v>19</v>
      </c>
      <c r="B20" s="52" t="s">
        <v>178</v>
      </c>
      <c r="C20" s="52">
        <v>79</v>
      </c>
      <c r="D20" s="52">
        <v>1</v>
      </c>
      <c r="E20" s="52" t="s">
        <v>160</v>
      </c>
      <c r="F20" s="52" t="s">
        <v>97</v>
      </c>
      <c r="G20" s="52">
        <v>80</v>
      </c>
      <c r="H20" s="52">
        <v>0</v>
      </c>
      <c r="I20" s="52">
        <v>140</v>
      </c>
      <c r="J20" s="52">
        <v>56</v>
      </c>
      <c r="K20" s="52">
        <v>104</v>
      </c>
      <c r="L20" s="52">
        <v>6.9000000000000006E-2</v>
      </c>
      <c r="N20" s="56">
        <f t="shared" si="0"/>
        <v>23</v>
      </c>
      <c r="O20" s="54">
        <f t="shared" si="1"/>
        <v>4610</v>
      </c>
      <c r="P20" s="57">
        <f t="shared" si="2"/>
        <v>4740</v>
      </c>
      <c r="Q20" s="58">
        <f t="shared" si="3"/>
        <v>2.7426160337552744E-2</v>
      </c>
    </row>
    <row r="21" spans="1:17" ht="15" hidden="1" x14ac:dyDescent="0.25">
      <c r="A21" s="46">
        <v>20</v>
      </c>
      <c r="B21" s="52" t="s">
        <v>179</v>
      </c>
      <c r="C21" s="52">
        <v>46</v>
      </c>
      <c r="D21" s="52">
        <v>1</v>
      </c>
      <c r="E21" s="52" t="s">
        <v>160</v>
      </c>
      <c r="F21" s="52">
        <v>3</v>
      </c>
      <c r="G21" s="52">
        <v>25</v>
      </c>
      <c r="H21" s="52">
        <v>0</v>
      </c>
      <c r="I21" s="52">
        <v>45</v>
      </c>
      <c r="J21" s="52">
        <v>18</v>
      </c>
      <c r="K21" s="52">
        <v>32</v>
      </c>
      <c r="L21" s="52">
        <v>8.1000000000000003E-2</v>
      </c>
      <c r="N21" s="56">
        <f t="shared" si="0"/>
        <v>23</v>
      </c>
      <c r="O21" s="54">
        <f t="shared" si="1"/>
        <v>2700</v>
      </c>
      <c r="P21" s="57">
        <f t="shared" si="2"/>
        <v>2760</v>
      </c>
      <c r="Q21" s="58">
        <f t="shared" si="3"/>
        <v>2.1739130434782608E-2</v>
      </c>
    </row>
    <row r="22" spans="1:17" ht="15" hidden="1" x14ac:dyDescent="0.25">
      <c r="A22" s="46">
        <v>21</v>
      </c>
      <c r="B22" s="52" t="s">
        <v>180</v>
      </c>
      <c r="C22" s="52">
        <v>56</v>
      </c>
      <c r="D22" s="52">
        <v>1</v>
      </c>
      <c r="E22" s="52" t="s">
        <v>160</v>
      </c>
      <c r="F22" s="52">
        <v>3</v>
      </c>
      <c r="G22" s="52">
        <v>30</v>
      </c>
      <c r="H22" s="52">
        <v>0</v>
      </c>
      <c r="I22" s="52">
        <v>54</v>
      </c>
      <c r="J22" s="52">
        <v>22</v>
      </c>
      <c r="K22" s="52">
        <v>38</v>
      </c>
      <c r="L22" s="52">
        <v>8.1000000000000003E-2</v>
      </c>
      <c r="N22" s="56">
        <f t="shared" si="0"/>
        <v>23</v>
      </c>
      <c r="O22" s="54">
        <f t="shared" si="1"/>
        <v>3240</v>
      </c>
      <c r="P22" s="57">
        <f t="shared" si="2"/>
        <v>3360</v>
      </c>
      <c r="Q22" s="58">
        <f t="shared" si="3"/>
        <v>3.5714285714285712E-2</v>
      </c>
    </row>
    <row r="23" spans="1:17" ht="15" hidden="1" x14ac:dyDescent="0.25">
      <c r="A23" s="46">
        <v>22</v>
      </c>
      <c r="B23" s="52" t="s">
        <v>181</v>
      </c>
      <c r="C23" s="52">
        <v>65</v>
      </c>
      <c r="D23" s="52">
        <v>1</v>
      </c>
      <c r="E23" s="52" t="s">
        <v>160</v>
      </c>
      <c r="F23" s="52">
        <v>3</v>
      </c>
      <c r="G23" s="52">
        <v>35</v>
      </c>
      <c r="H23" s="52">
        <v>0</v>
      </c>
      <c r="I23" s="52">
        <v>63</v>
      </c>
      <c r="J23" s="52">
        <v>25</v>
      </c>
      <c r="K23" s="52">
        <v>45</v>
      </c>
      <c r="L23" s="52">
        <v>8.1000000000000003E-2</v>
      </c>
      <c r="N23" s="56">
        <f t="shared" si="0"/>
        <v>23</v>
      </c>
      <c r="O23" s="54">
        <f t="shared" si="1"/>
        <v>3780</v>
      </c>
      <c r="P23" s="57">
        <f t="shared" si="2"/>
        <v>3900</v>
      </c>
      <c r="Q23" s="58">
        <f t="shared" si="3"/>
        <v>3.0769230769230771E-2</v>
      </c>
    </row>
    <row r="24" spans="1:17" ht="15" hidden="1" x14ac:dyDescent="0.25">
      <c r="A24" s="46">
        <v>23</v>
      </c>
      <c r="B24" s="52" t="s">
        <v>182</v>
      </c>
      <c r="C24" s="52">
        <v>49</v>
      </c>
      <c r="D24" s="52">
        <v>1</v>
      </c>
      <c r="E24" s="52" t="s">
        <v>160</v>
      </c>
      <c r="F24" s="52">
        <v>3</v>
      </c>
      <c r="G24" s="52">
        <v>40</v>
      </c>
      <c r="H24" s="52">
        <v>0</v>
      </c>
      <c r="I24" s="52">
        <v>75</v>
      </c>
      <c r="J24" s="52">
        <v>30</v>
      </c>
      <c r="K24" s="52">
        <v>54</v>
      </c>
      <c r="L24" s="52">
        <v>8.1000000000000003E-2</v>
      </c>
      <c r="N24" s="56">
        <f t="shared" si="0"/>
        <v>23</v>
      </c>
      <c r="O24" s="54">
        <f t="shared" si="1"/>
        <v>2850</v>
      </c>
      <c r="P24" s="57">
        <f t="shared" si="2"/>
        <v>2940</v>
      </c>
      <c r="Q24" s="58">
        <f t="shared" si="3"/>
        <v>3.0612244897959183E-2</v>
      </c>
    </row>
    <row r="25" spans="1:17" ht="15" hidden="1" x14ac:dyDescent="0.25">
      <c r="A25" s="46">
        <v>24</v>
      </c>
      <c r="B25" s="52" t="s">
        <v>183</v>
      </c>
      <c r="C25" s="52">
        <v>74</v>
      </c>
      <c r="D25" s="52">
        <v>1</v>
      </c>
      <c r="E25" s="52" t="s">
        <v>160</v>
      </c>
      <c r="F25" s="52">
        <v>3</v>
      </c>
      <c r="G25" s="52">
        <v>40</v>
      </c>
      <c r="H25" s="52">
        <v>0</v>
      </c>
      <c r="I25" s="52">
        <v>72</v>
      </c>
      <c r="J25" s="52">
        <v>30</v>
      </c>
      <c r="K25" s="52">
        <v>51</v>
      </c>
      <c r="L25" s="52">
        <v>8.1000000000000003E-2</v>
      </c>
      <c r="N25" s="56">
        <f t="shared" si="0"/>
        <v>23</v>
      </c>
      <c r="O25" s="54">
        <f t="shared" si="1"/>
        <v>4320</v>
      </c>
      <c r="P25" s="57">
        <f t="shared" si="2"/>
        <v>4440</v>
      </c>
      <c r="Q25" s="58">
        <f t="shared" si="3"/>
        <v>2.7027027027027029E-2</v>
      </c>
    </row>
    <row r="26" spans="1:17" ht="15" hidden="1" x14ac:dyDescent="0.25">
      <c r="A26" s="46">
        <v>25</v>
      </c>
      <c r="B26" s="52" t="s">
        <v>184</v>
      </c>
      <c r="C26" s="52">
        <v>55</v>
      </c>
      <c r="D26" s="52">
        <v>1</v>
      </c>
      <c r="E26" s="52" t="s">
        <v>160</v>
      </c>
      <c r="F26" s="52">
        <v>3</v>
      </c>
      <c r="G26" s="52">
        <v>45</v>
      </c>
      <c r="H26" s="52">
        <v>0</v>
      </c>
      <c r="I26" s="52">
        <v>84</v>
      </c>
      <c r="J26" s="52">
        <v>34</v>
      </c>
      <c r="K26" s="52">
        <v>61</v>
      </c>
      <c r="L26" s="52">
        <v>8.1000000000000003E-2</v>
      </c>
      <c r="N26" s="56">
        <f t="shared" si="0"/>
        <v>23</v>
      </c>
      <c r="O26" s="54">
        <f t="shared" si="1"/>
        <v>3200</v>
      </c>
      <c r="P26" s="57">
        <f t="shared" si="2"/>
        <v>3300</v>
      </c>
      <c r="Q26" s="58">
        <f t="shared" si="3"/>
        <v>3.0303030303030304E-2</v>
      </c>
    </row>
    <row r="27" spans="1:17" ht="15" hidden="1" x14ac:dyDescent="0.25">
      <c r="A27" s="46">
        <v>26</v>
      </c>
      <c r="B27" s="52" t="s">
        <v>185</v>
      </c>
      <c r="C27" s="52">
        <v>61</v>
      </c>
      <c r="D27" s="52">
        <v>1</v>
      </c>
      <c r="E27" s="52" t="s">
        <v>160</v>
      </c>
      <c r="F27" s="52">
        <v>3</v>
      </c>
      <c r="G27" s="52">
        <v>50</v>
      </c>
      <c r="H27" s="52">
        <v>0</v>
      </c>
      <c r="I27" s="52">
        <v>93</v>
      </c>
      <c r="J27" s="52">
        <v>37</v>
      </c>
      <c r="K27" s="52">
        <v>67</v>
      </c>
      <c r="L27" s="52">
        <v>8.1000000000000003E-2</v>
      </c>
      <c r="N27" s="56">
        <f t="shared" si="0"/>
        <v>23</v>
      </c>
      <c r="O27" s="54">
        <f t="shared" si="1"/>
        <v>3550</v>
      </c>
      <c r="P27" s="57">
        <f t="shared" si="2"/>
        <v>3660</v>
      </c>
      <c r="Q27" s="58">
        <f t="shared" si="3"/>
        <v>3.0054644808743168E-2</v>
      </c>
    </row>
    <row r="28" spans="1:17" ht="15" hidden="1" x14ac:dyDescent="0.25">
      <c r="A28" s="46">
        <v>27</v>
      </c>
      <c r="B28" s="52" t="s">
        <v>186</v>
      </c>
      <c r="C28" s="52">
        <v>67</v>
      </c>
      <c r="D28" s="52">
        <v>1</v>
      </c>
      <c r="E28" s="52" t="s">
        <v>160</v>
      </c>
      <c r="F28" s="52">
        <v>3</v>
      </c>
      <c r="G28" s="52">
        <v>55</v>
      </c>
      <c r="H28" s="52">
        <v>0</v>
      </c>
      <c r="I28" s="52">
        <v>103</v>
      </c>
      <c r="J28" s="52">
        <v>41</v>
      </c>
      <c r="K28" s="52">
        <v>74</v>
      </c>
      <c r="L28" s="52">
        <v>8.1000000000000003E-2</v>
      </c>
      <c r="N28" s="56">
        <f t="shared" si="0"/>
        <v>23</v>
      </c>
      <c r="O28" s="54">
        <f t="shared" si="1"/>
        <v>3920</v>
      </c>
      <c r="P28" s="57">
        <f t="shared" si="2"/>
        <v>4020</v>
      </c>
      <c r="Q28" s="58">
        <f t="shared" si="3"/>
        <v>2.4875621890547265E-2</v>
      </c>
    </row>
    <row r="29" spans="1:17" ht="15" hidden="1" x14ac:dyDescent="0.25">
      <c r="A29" s="46">
        <v>28</v>
      </c>
      <c r="B29" s="52" t="s">
        <v>187</v>
      </c>
      <c r="C29" s="52">
        <v>74</v>
      </c>
      <c r="D29" s="52">
        <v>1</v>
      </c>
      <c r="E29" s="52" t="s">
        <v>160</v>
      </c>
      <c r="F29" s="52">
        <v>3</v>
      </c>
      <c r="G29" s="52">
        <v>60</v>
      </c>
      <c r="H29" s="52">
        <v>0</v>
      </c>
      <c r="I29" s="52">
        <v>112</v>
      </c>
      <c r="J29" s="52">
        <v>45</v>
      </c>
      <c r="K29" s="52">
        <v>81</v>
      </c>
      <c r="L29" s="52">
        <v>8.1000000000000003E-2</v>
      </c>
      <c r="N29" s="56">
        <f t="shared" si="0"/>
        <v>23</v>
      </c>
      <c r="O29" s="54">
        <f t="shared" si="1"/>
        <v>4280</v>
      </c>
      <c r="P29" s="57">
        <f t="shared" si="2"/>
        <v>4440</v>
      </c>
      <c r="Q29" s="58">
        <f t="shared" si="3"/>
        <v>3.6036036036036036E-2</v>
      </c>
    </row>
    <row r="30" spans="1:17" ht="15" hidden="1" x14ac:dyDescent="0.25">
      <c r="A30" s="46">
        <v>29</v>
      </c>
      <c r="B30" s="52" t="s">
        <v>188</v>
      </c>
      <c r="C30" s="52">
        <v>86</v>
      </c>
      <c r="D30" s="52">
        <v>1</v>
      </c>
      <c r="E30" s="52" t="s">
        <v>160</v>
      </c>
      <c r="F30" s="52">
        <v>3</v>
      </c>
      <c r="G30" s="52">
        <v>70</v>
      </c>
      <c r="H30" s="52">
        <v>0</v>
      </c>
      <c r="I30" s="52">
        <v>131</v>
      </c>
      <c r="J30" s="52">
        <v>53</v>
      </c>
      <c r="K30" s="52">
        <v>95</v>
      </c>
      <c r="L30" s="52">
        <v>8.1000000000000003E-2</v>
      </c>
      <c r="N30" s="56">
        <f t="shared" si="0"/>
        <v>23</v>
      </c>
      <c r="O30" s="54">
        <f t="shared" si="1"/>
        <v>5000</v>
      </c>
      <c r="P30" s="57">
        <f t="shared" si="2"/>
        <v>5160</v>
      </c>
      <c r="Q30" s="58">
        <f t="shared" si="3"/>
        <v>3.1007751937984496E-2</v>
      </c>
    </row>
    <row r="31" spans="1:17" ht="15" hidden="1" x14ac:dyDescent="0.25">
      <c r="A31" s="46">
        <v>30</v>
      </c>
      <c r="B31" s="52" t="s">
        <v>189</v>
      </c>
      <c r="C31" s="52">
        <v>98</v>
      </c>
      <c r="D31" s="52">
        <v>1</v>
      </c>
      <c r="E31" s="52" t="s">
        <v>160</v>
      </c>
      <c r="F31" s="52">
        <v>3</v>
      </c>
      <c r="G31" s="52">
        <v>80</v>
      </c>
      <c r="H31" s="52">
        <v>0</v>
      </c>
      <c r="I31" s="52">
        <v>150</v>
      </c>
      <c r="J31" s="52">
        <v>60</v>
      </c>
      <c r="K31" s="52">
        <v>108</v>
      </c>
      <c r="L31" s="52">
        <v>8.1000000000000003E-2</v>
      </c>
      <c r="N31" s="56">
        <f t="shared" si="0"/>
        <v>23</v>
      </c>
      <c r="O31" s="54">
        <f t="shared" si="1"/>
        <v>5700</v>
      </c>
      <c r="P31" s="57">
        <f t="shared" si="2"/>
        <v>5880</v>
      </c>
      <c r="Q31" s="58">
        <f t="shared" si="3"/>
        <v>3.0612244897959183E-2</v>
      </c>
    </row>
    <row r="32" spans="1:17" ht="15" hidden="1" x14ac:dyDescent="0.25">
      <c r="A32" s="46">
        <v>31</v>
      </c>
      <c r="B32" s="52" t="s">
        <v>190</v>
      </c>
      <c r="C32" s="52">
        <v>50</v>
      </c>
      <c r="D32" s="52">
        <v>1</v>
      </c>
      <c r="E32" s="52" t="s">
        <v>160</v>
      </c>
      <c r="F32" s="52">
        <v>4</v>
      </c>
      <c r="G32" s="52">
        <v>20</v>
      </c>
      <c r="H32" s="52">
        <v>0</v>
      </c>
      <c r="I32" s="52">
        <v>65</v>
      </c>
      <c r="J32" s="52">
        <v>15</v>
      </c>
      <c r="K32" s="52">
        <v>30</v>
      </c>
      <c r="L32" s="52">
        <v>8.5999999999999993E-2</v>
      </c>
      <c r="N32" s="56">
        <f t="shared" si="0"/>
        <v>0</v>
      </c>
      <c r="O32" s="54">
        <f t="shared" si="1"/>
        <v>2910</v>
      </c>
      <c r="P32" s="57">
        <f t="shared" si="2"/>
        <v>3000</v>
      </c>
      <c r="Q32" s="58">
        <f t="shared" si="3"/>
        <v>0.03</v>
      </c>
    </row>
    <row r="33" spans="1:17" ht="15" hidden="1" x14ac:dyDescent="0.25">
      <c r="A33" s="46">
        <v>32</v>
      </c>
      <c r="B33" s="52" t="s">
        <v>191</v>
      </c>
      <c r="C33" s="52">
        <v>50</v>
      </c>
      <c r="D33" s="52">
        <v>1</v>
      </c>
      <c r="E33" s="52" t="s">
        <v>160</v>
      </c>
      <c r="F33" s="52">
        <v>4</v>
      </c>
      <c r="G33" s="52">
        <v>200</v>
      </c>
      <c r="H33" s="52">
        <v>0</v>
      </c>
      <c r="I33" s="52">
        <v>360</v>
      </c>
      <c r="J33" s="52">
        <v>150</v>
      </c>
      <c r="K33" s="52">
        <v>250</v>
      </c>
      <c r="L33" s="52">
        <v>8.5999999999999993E-2</v>
      </c>
      <c r="N33" s="56">
        <f t="shared" si="0"/>
        <v>17</v>
      </c>
      <c r="O33" s="54">
        <f t="shared" si="1"/>
        <v>2910</v>
      </c>
      <c r="P33" s="57">
        <f t="shared" si="2"/>
        <v>3000</v>
      </c>
      <c r="Q33" s="58">
        <f t="shared" si="3"/>
        <v>0.03</v>
      </c>
    </row>
    <row r="34" spans="1:17" ht="15" hidden="1" x14ac:dyDescent="0.25">
      <c r="A34" s="46">
        <v>33</v>
      </c>
      <c r="B34" s="52" t="s">
        <v>192</v>
      </c>
      <c r="C34" s="52">
        <v>50</v>
      </c>
      <c r="D34" s="52">
        <v>1</v>
      </c>
      <c r="E34" s="52" t="s">
        <v>160</v>
      </c>
      <c r="F34" s="52">
        <v>4</v>
      </c>
      <c r="G34" s="52">
        <v>250</v>
      </c>
      <c r="H34" s="52">
        <v>0</v>
      </c>
      <c r="I34" s="52">
        <v>360</v>
      </c>
      <c r="J34" s="52">
        <v>200</v>
      </c>
      <c r="K34" s="52">
        <v>300</v>
      </c>
      <c r="L34" s="52">
        <v>8.5999999999999993E-2</v>
      </c>
      <c r="N34" s="56">
        <f t="shared" si="0"/>
        <v>17</v>
      </c>
      <c r="O34" s="54">
        <f t="shared" si="1"/>
        <v>3000</v>
      </c>
      <c r="P34" s="57">
        <f t="shared" si="2"/>
        <v>3000</v>
      </c>
      <c r="Q34" s="58">
        <f t="shared" si="3"/>
        <v>0</v>
      </c>
    </row>
    <row r="35" spans="1:17" ht="15" hidden="1" x14ac:dyDescent="0.25">
      <c r="A35" s="46">
        <v>34</v>
      </c>
      <c r="B35" s="52" t="s">
        <v>193</v>
      </c>
      <c r="C35" s="52">
        <v>50</v>
      </c>
      <c r="D35" s="52">
        <v>1</v>
      </c>
      <c r="E35" s="52" t="s">
        <v>160</v>
      </c>
      <c r="F35" s="52">
        <v>4</v>
      </c>
      <c r="G35" s="52">
        <v>30</v>
      </c>
      <c r="H35" s="52">
        <v>0</v>
      </c>
      <c r="I35" s="52">
        <v>60</v>
      </c>
      <c r="J35" s="52">
        <v>20</v>
      </c>
      <c r="K35" s="52">
        <v>40</v>
      </c>
      <c r="L35" s="52">
        <v>8.5999999999999993E-2</v>
      </c>
      <c r="N35" s="56">
        <f t="shared" si="0"/>
        <v>0</v>
      </c>
      <c r="O35" s="54">
        <f t="shared" si="1"/>
        <v>2910</v>
      </c>
      <c r="P35" s="57">
        <f t="shared" si="2"/>
        <v>3000</v>
      </c>
      <c r="Q35" s="58">
        <f t="shared" si="3"/>
        <v>0.03</v>
      </c>
    </row>
    <row r="36" spans="1:17" ht="15" hidden="1" x14ac:dyDescent="0.25">
      <c r="A36" s="46">
        <v>35</v>
      </c>
      <c r="B36" s="52" t="s">
        <v>194</v>
      </c>
      <c r="C36" s="52">
        <v>50</v>
      </c>
      <c r="D36" s="52">
        <v>1</v>
      </c>
      <c r="E36" s="52" t="s">
        <v>160</v>
      </c>
      <c r="F36" s="52">
        <v>5</v>
      </c>
      <c r="G36" s="52">
        <v>100</v>
      </c>
      <c r="H36" s="52">
        <v>0</v>
      </c>
      <c r="I36" s="52">
        <v>190</v>
      </c>
      <c r="J36" s="52">
        <v>80</v>
      </c>
      <c r="K36" s="52">
        <v>120</v>
      </c>
      <c r="L36" s="52">
        <v>9.1999999999999998E-2</v>
      </c>
      <c r="N36" s="56">
        <f t="shared" si="0"/>
        <v>0</v>
      </c>
      <c r="O36" s="54">
        <f t="shared" si="1"/>
        <v>2910</v>
      </c>
      <c r="P36" s="57">
        <f t="shared" si="2"/>
        <v>3000</v>
      </c>
      <c r="Q36" s="58">
        <f t="shared" si="3"/>
        <v>0.03</v>
      </c>
    </row>
    <row r="37" spans="1:17" ht="15" hidden="1" x14ac:dyDescent="0.25">
      <c r="A37" s="46">
        <v>36</v>
      </c>
      <c r="B37" s="52" t="s">
        <v>195</v>
      </c>
      <c r="C37" s="52">
        <v>50</v>
      </c>
      <c r="D37" s="52">
        <v>1</v>
      </c>
      <c r="E37" s="52" t="s">
        <v>160</v>
      </c>
      <c r="F37" s="52">
        <v>5</v>
      </c>
      <c r="G37" s="52">
        <v>100</v>
      </c>
      <c r="H37" s="52">
        <v>0</v>
      </c>
      <c r="I37" s="52">
        <v>180</v>
      </c>
      <c r="J37" s="52">
        <v>80</v>
      </c>
      <c r="K37" s="52">
        <v>120</v>
      </c>
      <c r="L37" s="52">
        <v>9.1999999999999998E-2</v>
      </c>
      <c r="N37" s="56">
        <f t="shared" si="0"/>
        <v>0</v>
      </c>
      <c r="O37" s="54">
        <f t="shared" si="1"/>
        <v>2910</v>
      </c>
      <c r="P37" s="57">
        <f t="shared" si="2"/>
        <v>3000</v>
      </c>
      <c r="Q37" s="58">
        <f t="shared" si="3"/>
        <v>0.03</v>
      </c>
    </row>
    <row r="38" spans="1:17" ht="15" hidden="1" x14ac:dyDescent="0.25">
      <c r="A38" s="46">
        <v>37</v>
      </c>
      <c r="B38" s="52" t="s">
        <v>196</v>
      </c>
      <c r="C38" s="52">
        <v>50</v>
      </c>
      <c r="D38" s="52">
        <v>1</v>
      </c>
      <c r="E38" s="52" t="s">
        <v>160</v>
      </c>
      <c r="F38" s="52">
        <v>5</v>
      </c>
      <c r="G38" s="52">
        <v>125</v>
      </c>
      <c r="H38" s="52">
        <v>0</v>
      </c>
      <c r="I38" s="52">
        <v>230</v>
      </c>
      <c r="J38" s="52">
        <v>80</v>
      </c>
      <c r="K38" s="52">
        <v>160</v>
      </c>
      <c r="L38" s="52">
        <v>9.1999999999999998E-2</v>
      </c>
      <c r="N38" s="56">
        <f t="shared" si="0"/>
        <v>0</v>
      </c>
      <c r="O38" s="54">
        <f t="shared" si="1"/>
        <v>2910</v>
      </c>
      <c r="P38" s="57">
        <f t="shared" si="2"/>
        <v>3000</v>
      </c>
      <c r="Q38" s="58">
        <f t="shared" si="3"/>
        <v>0.03</v>
      </c>
    </row>
    <row r="39" spans="1:17" ht="15" hidden="1" x14ac:dyDescent="0.25">
      <c r="A39" s="46">
        <v>38</v>
      </c>
      <c r="B39" s="52" t="s">
        <v>197</v>
      </c>
      <c r="C39" s="52">
        <v>50</v>
      </c>
      <c r="D39" s="52">
        <v>1</v>
      </c>
      <c r="E39" s="52" t="s">
        <v>160</v>
      </c>
      <c r="F39" s="52">
        <v>5</v>
      </c>
      <c r="G39" s="52">
        <v>125</v>
      </c>
      <c r="H39" s="52">
        <v>0</v>
      </c>
      <c r="I39" s="52">
        <v>230</v>
      </c>
      <c r="J39" s="52">
        <v>80</v>
      </c>
      <c r="K39" s="52">
        <v>160</v>
      </c>
      <c r="L39" s="52">
        <v>9.1999999999999998E-2</v>
      </c>
      <c r="N39" s="56">
        <f t="shared" si="0"/>
        <v>0</v>
      </c>
      <c r="O39" s="54">
        <f t="shared" si="1"/>
        <v>2910</v>
      </c>
      <c r="P39" s="57">
        <f t="shared" si="2"/>
        <v>3000</v>
      </c>
      <c r="Q39" s="58">
        <f t="shared" si="3"/>
        <v>0.03</v>
      </c>
    </row>
    <row r="40" spans="1:17" ht="15" hidden="1" x14ac:dyDescent="0.25">
      <c r="A40" s="46">
        <v>39</v>
      </c>
      <c r="B40" s="52" t="s">
        <v>198</v>
      </c>
      <c r="C40" s="52">
        <v>50</v>
      </c>
      <c r="D40" s="52">
        <v>1</v>
      </c>
      <c r="E40" s="52" t="s">
        <v>160</v>
      </c>
      <c r="F40" s="52">
        <v>5</v>
      </c>
      <c r="G40" s="52">
        <v>15</v>
      </c>
      <c r="H40" s="52">
        <v>0</v>
      </c>
      <c r="I40" s="52">
        <v>33</v>
      </c>
      <c r="J40" s="52">
        <v>10</v>
      </c>
      <c r="K40" s="52">
        <v>20</v>
      </c>
      <c r="L40" s="52">
        <v>9.1999999999999998E-2</v>
      </c>
      <c r="N40" s="56">
        <f t="shared" si="0"/>
        <v>0</v>
      </c>
      <c r="O40" s="54">
        <f t="shared" si="1"/>
        <v>2910</v>
      </c>
      <c r="P40" s="57">
        <f t="shared" si="2"/>
        <v>3000</v>
      </c>
      <c r="Q40" s="58">
        <f t="shared" si="3"/>
        <v>0.03</v>
      </c>
    </row>
    <row r="41" spans="1:17" ht="15" hidden="1" x14ac:dyDescent="0.25">
      <c r="A41" s="46">
        <v>40</v>
      </c>
      <c r="B41" s="52" t="s">
        <v>199</v>
      </c>
      <c r="C41" s="52">
        <v>50</v>
      </c>
      <c r="D41" s="52">
        <v>1</v>
      </c>
      <c r="E41" s="52" t="s">
        <v>160</v>
      </c>
      <c r="F41" s="52">
        <v>5</v>
      </c>
      <c r="G41" s="52">
        <v>0</v>
      </c>
      <c r="H41" s="52">
        <v>0</v>
      </c>
      <c r="I41" s="52">
        <v>33</v>
      </c>
      <c r="J41" s="52">
        <v>10</v>
      </c>
      <c r="K41" s="52">
        <v>20</v>
      </c>
      <c r="L41" s="52">
        <v>9.1999999999999998E-2</v>
      </c>
      <c r="N41" s="56">
        <f t="shared" si="0"/>
        <v>0</v>
      </c>
      <c r="O41" s="54">
        <f t="shared" si="1"/>
        <v>2910</v>
      </c>
      <c r="P41" s="118">
        <f t="shared" si="2"/>
        <v>3000</v>
      </c>
      <c r="Q41" s="58">
        <f t="shared" si="3"/>
        <v>0.03</v>
      </c>
    </row>
    <row r="42" spans="1:17" ht="15" hidden="1" x14ac:dyDescent="0.25">
      <c r="A42" s="46">
        <v>41</v>
      </c>
      <c r="B42" s="52" t="s">
        <v>200</v>
      </c>
      <c r="C42" s="52">
        <v>50</v>
      </c>
      <c r="D42" s="52">
        <v>1</v>
      </c>
      <c r="E42" s="52" t="s">
        <v>160</v>
      </c>
      <c r="F42" s="52">
        <v>5</v>
      </c>
      <c r="G42" s="52">
        <v>20</v>
      </c>
      <c r="H42" s="52">
        <v>0</v>
      </c>
      <c r="I42" s="52">
        <v>40</v>
      </c>
      <c r="J42" s="52">
        <v>15</v>
      </c>
      <c r="K42" s="52">
        <v>25</v>
      </c>
      <c r="L42" s="52">
        <v>9.1999999999999998E-2</v>
      </c>
      <c r="N42" s="56">
        <f t="shared" si="0"/>
        <v>0</v>
      </c>
      <c r="O42" s="54">
        <f t="shared" si="1"/>
        <v>2910</v>
      </c>
      <c r="P42" s="57">
        <f t="shared" si="2"/>
        <v>3000</v>
      </c>
      <c r="Q42" s="58">
        <f t="shared" si="3"/>
        <v>0.03</v>
      </c>
    </row>
    <row r="43" spans="1:17" ht="15" hidden="1" x14ac:dyDescent="0.25">
      <c r="A43" s="46">
        <v>42</v>
      </c>
      <c r="B43" s="52" t="s">
        <v>201</v>
      </c>
      <c r="C43" s="52">
        <v>50</v>
      </c>
      <c r="D43" s="52">
        <v>1</v>
      </c>
      <c r="E43" s="52" t="s">
        <v>160</v>
      </c>
      <c r="F43" s="52">
        <v>5</v>
      </c>
      <c r="G43" s="52">
        <v>20</v>
      </c>
      <c r="H43" s="52">
        <v>0</v>
      </c>
      <c r="I43" s="52">
        <v>40</v>
      </c>
      <c r="J43" s="52">
        <v>15</v>
      </c>
      <c r="K43" s="52">
        <v>25</v>
      </c>
      <c r="L43" s="52">
        <v>9.1999999999999998E-2</v>
      </c>
      <c r="N43" s="56">
        <f t="shared" si="0"/>
        <v>23</v>
      </c>
      <c r="O43" s="54">
        <f t="shared" si="1"/>
        <v>2910</v>
      </c>
      <c r="P43" s="57">
        <f t="shared" si="2"/>
        <v>3000</v>
      </c>
      <c r="Q43" s="58">
        <f t="shared" si="3"/>
        <v>0.03</v>
      </c>
    </row>
    <row r="44" spans="1:17" ht="15" hidden="1" x14ac:dyDescent="0.25">
      <c r="A44" s="46">
        <v>43</v>
      </c>
      <c r="B44" s="52" t="s">
        <v>202</v>
      </c>
      <c r="C44" s="52">
        <v>50</v>
      </c>
      <c r="D44" s="52">
        <v>1</v>
      </c>
      <c r="E44" s="52" t="s">
        <v>160</v>
      </c>
      <c r="F44" s="52">
        <v>5</v>
      </c>
      <c r="G44" s="52">
        <v>25</v>
      </c>
      <c r="H44" s="52">
        <v>0</v>
      </c>
      <c r="I44" s="52">
        <v>60</v>
      </c>
      <c r="J44" s="52">
        <v>18</v>
      </c>
      <c r="K44" s="52">
        <v>35</v>
      </c>
      <c r="L44" s="52">
        <v>9.1999999999999998E-2</v>
      </c>
      <c r="N44" s="56">
        <f t="shared" si="0"/>
        <v>0</v>
      </c>
      <c r="O44" s="54">
        <f t="shared" si="1"/>
        <v>2910</v>
      </c>
      <c r="P44" s="57">
        <f t="shared" si="2"/>
        <v>3000</v>
      </c>
      <c r="Q44" s="58">
        <f t="shared" si="3"/>
        <v>0.03</v>
      </c>
    </row>
    <row r="45" spans="1:17" ht="15" hidden="1" x14ac:dyDescent="0.25">
      <c r="A45" s="46">
        <v>44</v>
      </c>
      <c r="B45" s="52" t="s">
        <v>203</v>
      </c>
      <c r="C45" s="52">
        <v>50</v>
      </c>
      <c r="D45" s="52">
        <v>1</v>
      </c>
      <c r="E45" s="52" t="s">
        <v>160</v>
      </c>
      <c r="F45" s="52">
        <v>5</v>
      </c>
      <c r="G45" s="52">
        <v>25</v>
      </c>
      <c r="H45" s="52">
        <v>0</v>
      </c>
      <c r="I45" s="52">
        <v>48</v>
      </c>
      <c r="J45" s="52">
        <v>18</v>
      </c>
      <c r="K45" s="52">
        <v>35</v>
      </c>
      <c r="L45" s="52">
        <v>9.1999999999999998E-2</v>
      </c>
      <c r="N45" s="56">
        <f t="shared" si="0"/>
        <v>0</v>
      </c>
      <c r="O45" s="54">
        <f t="shared" si="1"/>
        <v>2910</v>
      </c>
      <c r="P45" s="57">
        <f t="shared" si="2"/>
        <v>3000</v>
      </c>
      <c r="Q45" s="58">
        <f t="shared" si="3"/>
        <v>0.03</v>
      </c>
    </row>
    <row r="46" spans="1:17" ht="15" hidden="1" x14ac:dyDescent="0.25">
      <c r="A46" s="46">
        <v>45</v>
      </c>
      <c r="B46" s="52" t="s">
        <v>204</v>
      </c>
      <c r="C46" s="52">
        <v>63</v>
      </c>
      <c r="D46" s="52">
        <v>1</v>
      </c>
      <c r="E46" s="52" t="s">
        <v>160</v>
      </c>
      <c r="F46" s="52">
        <v>5</v>
      </c>
      <c r="G46" s="52">
        <v>25</v>
      </c>
      <c r="H46" s="52">
        <v>0</v>
      </c>
      <c r="I46" s="52">
        <v>50</v>
      </c>
      <c r="J46" s="52">
        <v>19</v>
      </c>
      <c r="K46" s="52">
        <v>31</v>
      </c>
      <c r="L46" s="52">
        <v>9.1999999999999998E-2</v>
      </c>
      <c r="N46" s="56">
        <f t="shared" si="0"/>
        <v>23</v>
      </c>
      <c r="O46" s="54">
        <f t="shared" si="1"/>
        <v>3640</v>
      </c>
      <c r="P46" s="57">
        <f t="shared" si="2"/>
        <v>3780</v>
      </c>
      <c r="Q46" s="58">
        <f t="shared" si="3"/>
        <v>3.7037037037037035E-2</v>
      </c>
    </row>
    <row r="47" spans="1:17" ht="15" hidden="1" x14ac:dyDescent="0.25">
      <c r="A47" s="46">
        <v>46</v>
      </c>
      <c r="B47" s="52" t="s">
        <v>205</v>
      </c>
      <c r="C47" s="52">
        <v>50</v>
      </c>
      <c r="D47" s="52">
        <v>1</v>
      </c>
      <c r="E47" s="52" t="s">
        <v>160</v>
      </c>
      <c r="F47" s="52">
        <v>5</v>
      </c>
      <c r="G47" s="52">
        <v>30</v>
      </c>
      <c r="H47" s="52">
        <v>0</v>
      </c>
      <c r="I47" s="52">
        <v>60</v>
      </c>
      <c r="J47" s="52">
        <v>20</v>
      </c>
      <c r="K47" s="52">
        <v>45</v>
      </c>
      <c r="L47" s="52">
        <v>9.1999999999999998E-2</v>
      </c>
      <c r="N47" s="56">
        <f t="shared" si="0"/>
        <v>0</v>
      </c>
      <c r="O47" s="54">
        <f t="shared" si="1"/>
        <v>2910</v>
      </c>
      <c r="P47" s="57">
        <f t="shared" si="2"/>
        <v>3000</v>
      </c>
      <c r="Q47" s="58">
        <f t="shared" si="3"/>
        <v>0.03</v>
      </c>
    </row>
    <row r="48" spans="1:17" ht="15" hidden="1" x14ac:dyDescent="0.25">
      <c r="A48" s="46">
        <v>47</v>
      </c>
      <c r="B48" s="52" t="s">
        <v>206</v>
      </c>
      <c r="C48" s="52">
        <v>50</v>
      </c>
      <c r="D48" s="52">
        <v>1</v>
      </c>
      <c r="E48" s="52" t="s">
        <v>160</v>
      </c>
      <c r="F48" s="52">
        <v>5</v>
      </c>
      <c r="G48" s="52">
        <v>30</v>
      </c>
      <c r="H48" s="52">
        <v>0</v>
      </c>
      <c r="I48" s="52">
        <v>61</v>
      </c>
      <c r="J48" s="52">
        <v>20</v>
      </c>
      <c r="K48" s="52">
        <v>45</v>
      </c>
      <c r="L48" s="52">
        <v>9.1999999999999998E-2</v>
      </c>
      <c r="N48" s="56">
        <f t="shared" si="0"/>
        <v>0</v>
      </c>
      <c r="O48" s="54">
        <f t="shared" si="1"/>
        <v>2910</v>
      </c>
      <c r="P48" s="57">
        <f t="shared" si="2"/>
        <v>3000</v>
      </c>
      <c r="Q48" s="58">
        <f t="shared" si="3"/>
        <v>0.03</v>
      </c>
    </row>
    <row r="49" spans="1:17" ht="15" hidden="1" x14ac:dyDescent="0.25">
      <c r="A49" s="46">
        <v>48</v>
      </c>
      <c r="B49" s="52" t="s">
        <v>207</v>
      </c>
      <c r="C49" s="52">
        <v>75</v>
      </c>
      <c r="D49" s="52">
        <v>1</v>
      </c>
      <c r="E49" s="52" t="s">
        <v>160</v>
      </c>
      <c r="F49" s="52">
        <v>5</v>
      </c>
      <c r="G49" s="52">
        <v>30</v>
      </c>
      <c r="H49" s="52">
        <v>0</v>
      </c>
      <c r="I49" s="52">
        <v>60</v>
      </c>
      <c r="J49" s="52">
        <v>22</v>
      </c>
      <c r="K49" s="52">
        <v>37</v>
      </c>
      <c r="L49" s="52">
        <v>9.1999999999999998E-2</v>
      </c>
      <c r="N49" s="56">
        <f t="shared" si="0"/>
        <v>23</v>
      </c>
      <c r="O49" s="54">
        <f t="shared" si="1"/>
        <v>4370</v>
      </c>
      <c r="P49" s="57">
        <f t="shared" si="2"/>
        <v>4500</v>
      </c>
      <c r="Q49" s="58">
        <f t="shared" si="3"/>
        <v>2.8888888888888888E-2</v>
      </c>
    </row>
    <row r="50" spans="1:17" ht="15" hidden="1" x14ac:dyDescent="0.25">
      <c r="A50" s="46">
        <v>49</v>
      </c>
      <c r="B50" s="52" t="s">
        <v>208</v>
      </c>
      <c r="C50" s="52">
        <v>50</v>
      </c>
      <c r="D50" s="52">
        <v>1</v>
      </c>
      <c r="E50" s="52" t="s">
        <v>160</v>
      </c>
      <c r="F50" s="52">
        <v>5</v>
      </c>
      <c r="G50" s="52">
        <v>35</v>
      </c>
      <c r="H50" s="52">
        <v>0</v>
      </c>
      <c r="I50" s="52">
        <v>68</v>
      </c>
      <c r="J50" s="52">
        <v>22</v>
      </c>
      <c r="K50" s="52">
        <v>50</v>
      </c>
      <c r="L50" s="52">
        <v>9.1999999999999998E-2</v>
      </c>
      <c r="N50" s="56">
        <f t="shared" si="0"/>
        <v>0</v>
      </c>
      <c r="O50" s="54">
        <f t="shared" si="1"/>
        <v>2910</v>
      </c>
      <c r="P50" s="57">
        <f t="shared" si="2"/>
        <v>3000</v>
      </c>
      <c r="Q50" s="58">
        <f t="shared" si="3"/>
        <v>0.03</v>
      </c>
    </row>
    <row r="51" spans="1:17" ht="15" hidden="1" x14ac:dyDescent="0.25">
      <c r="A51" s="46">
        <v>50</v>
      </c>
      <c r="B51" s="52" t="s">
        <v>209</v>
      </c>
      <c r="C51" s="52">
        <v>88</v>
      </c>
      <c r="D51" s="52">
        <v>1</v>
      </c>
      <c r="E51" s="52" t="s">
        <v>160</v>
      </c>
      <c r="F51" s="52">
        <v>5</v>
      </c>
      <c r="G51" s="52">
        <v>35</v>
      </c>
      <c r="H51" s="52">
        <v>0</v>
      </c>
      <c r="I51" s="52">
        <v>70</v>
      </c>
      <c r="J51" s="52">
        <v>26</v>
      </c>
      <c r="K51" s="52">
        <v>44</v>
      </c>
      <c r="L51" s="52">
        <v>9.1999999999999998E-2</v>
      </c>
      <c r="N51" s="56">
        <f t="shared" si="0"/>
        <v>23</v>
      </c>
      <c r="O51" s="54">
        <f t="shared" si="1"/>
        <v>5100</v>
      </c>
      <c r="P51" s="57">
        <f t="shared" si="2"/>
        <v>5280</v>
      </c>
      <c r="Q51" s="58">
        <f t="shared" si="3"/>
        <v>3.4090909090909088E-2</v>
      </c>
    </row>
    <row r="52" spans="1:17" ht="15" hidden="1" x14ac:dyDescent="0.25">
      <c r="A52" s="46">
        <v>51</v>
      </c>
      <c r="B52" s="52" t="s">
        <v>210</v>
      </c>
      <c r="C52" s="52">
        <v>50</v>
      </c>
      <c r="D52" s="52">
        <v>1</v>
      </c>
      <c r="E52" s="52" t="s">
        <v>160</v>
      </c>
      <c r="F52" s="52">
        <v>5</v>
      </c>
      <c r="G52" s="52">
        <v>44</v>
      </c>
      <c r="H52" s="52">
        <v>0</v>
      </c>
      <c r="I52" s="52">
        <v>100</v>
      </c>
      <c r="J52" s="52">
        <v>32</v>
      </c>
      <c r="K52" s="52">
        <v>60</v>
      </c>
      <c r="L52" s="52">
        <v>9.1999999999999998E-2</v>
      </c>
      <c r="N52" s="56">
        <f t="shared" si="0"/>
        <v>0</v>
      </c>
      <c r="O52" s="54">
        <f t="shared" si="1"/>
        <v>2910</v>
      </c>
      <c r="P52" s="57">
        <f t="shared" si="2"/>
        <v>3000</v>
      </c>
      <c r="Q52" s="58">
        <f t="shared" si="3"/>
        <v>0.03</v>
      </c>
    </row>
    <row r="53" spans="1:17" ht="15" hidden="1" x14ac:dyDescent="0.25">
      <c r="A53" s="46">
        <v>52</v>
      </c>
      <c r="B53" s="52" t="s">
        <v>211</v>
      </c>
      <c r="C53" s="52">
        <v>50</v>
      </c>
      <c r="D53" s="52">
        <v>1</v>
      </c>
      <c r="E53" s="52" t="s">
        <v>160</v>
      </c>
      <c r="F53" s="52">
        <v>5</v>
      </c>
      <c r="G53" s="52">
        <v>44</v>
      </c>
      <c r="H53" s="52">
        <v>0</v>
      </c>
      <c r="I53" s="52">
        <v>100</v>
      </c>
      <c r="J53" s="52">
        <v>32</v>
      </c>
      <c r="K53" s="52">
        <v>60</v>
      </c>
      <c r="L53" s="52">
        <v>9.1999999999999998E-2</v>
      </c>
      <c r="N53" s="56">
        <f t="shared" si="0"/>
        <v>0</v>
      </c>
      <c r="O53" s="54">
        <f t="shared" si="1"/>
        <v>2910</v>
      </c>
      <c r="P53" s="57">
        <f t="shared" si="2"/>
        <v>3000</v>
      </c>
      <c r="Q53" s="58">
        <f t="shared" si="3"/>
        <v>0.03</v>
      </c>
    </row>
    <row r="54" spans="1:17" ht="15" hidden="1" x14ac:dyDescent="0.25">
      <c r="A54" s="46">
        <v>53</v>
      </c>
      <c r="B54" s="52" t="s">
        <v>212</v>
      </c>
      <c r="C54" s="52">
        <v>50</v>
      </c>
      <c r="D54" s="52">
        <v>1</v>
      </c>
      <c r="E54" s="52" t="s">
        <v>160</v>
      </c>
      <c r="F54" s="52">
        <v>5</v>
      </c>
      <c r="G54" s="52">
        <v>45</v>
      </c>
      <c r="H54" s="52">
        <v>0</v>
      </c>
      <c r="I54" s="52">
        <v>88</v>
      </c>
      <c r="J54" s="52">
        <v>32</v>
      </c>
      <c r="K54" s="52">
        <v>60</v>
      </c>
      <c r="L54" s="52">
        <v>9.1999999999999998E-2</v>
      </c>
      <c r="N54" s="56">
        <f t="shared" si="0"/>
        <v>0</v>
      </c>
      <c r="O54" s="54">
        <f t="shared" si="1"/>
        <v>2910</v>
      </c>
      <c r="P54" s="57">
        <f t="shared" si="2"/>
        <v>3000</v>
      </c>
      <c r="Q54" s="58">
        <f t="shared" si="3"/>
        <v>0.03</v>
      </c>
    </row>
    <row r="55" spans="1:17" ht="15" hidden="1" x14ac:dyDescent="0.25">
      <c r="A55" s="46">
        <v>54</v>
      </c>
      <c r="B55" s="52" t="s">
        <v>213</v>
      </c>
      <c r="C55" s="52">
        <v>50</v>
      </c>
      <c r="D55" s="52">
        <v>1</v>
      </c>
      <c r="E55" s="52" t="s">
        <v>160</v>
      </c>
      <c r="F55" s="52">
        <v>5</v>
      </c>
      <c r="G55" s="52">
        <v>50</v>
      </c>
      <c r="H55" s="52">
        <v>0</v>
      </c>
      <c r="I55" s="52">
        <v>98</v>
      </c>
      <c r="J55" s="52">
        <v>35</v>
      </c>
      <c r="K55" s="52">
        <v>65</v>
      </c>
      <c r="L55" s="52">
        <v>9.1999999999999998E-2</v>
      </c>
      <c r="N55" s="56">
        <f t="shared" si="0"/>
        <v>0</v>
      </c>
      <c r="O55" s="54">
        <f t="shared" si="1"/>
        <v>2910</v>
      </c>
      <c r="P55" s="57">
        <f t="shared" si="2"/>
        <v>3000</v>
      </c>
      <c r="Q55" s="58">
        <f t="shared" si="3"/>
        <v>0.03</v>
      </c>
    </row>
    <row r="56" spans="1:17" ht="15" hidden="1" x14ac:dyDescent="0.25">
      <c r="A56" s="46">
        <v>55</v>
      </c>
      <c r="B56" s="52" t="s">
        <v>214</v>
      </c>
      <c r="C56" s="52">
        <v>50</v>
      </c>
      <c r="D56" s="52">
        <v>1</v>
      </c>
      <c r="E56" s="52" t="s">
        <v>160</v>
      </c>
      <c r="F56" s="52">
        <v>5</v>
      </c>
      <c r="G56" s="52">
        <v>500</v>
      </c>
      <c r="H56" s="52">
        <v>0</v>
      </c>
      <c r="I56" s="52">
        <v>850</v>
      </c>
      <c r="J56" s="52">
        <v>350</v>
      </c>
      <c r="K56" s="52">
        <v>600</v>
      </c>
      <c r="L56" s="52">
        <v>9.1999999999999998E-2</v>
      </c>
      <c r="N56" s="56">
        <f t="shared" si="0"/>
        <v>17</v>
      </c>
      <c r="O56" s="54">
        <f t="shared" si="1"/>
        <v>2910</v>
      </c>
      <c r="P56" s="57">
        <f t="shared" si="2"/>
        <v>3000</v>
      </c>
      <c r="Q56" s="58">
        <f t="shared" si="3"/>
        <v>0.03</v>
      </c>
    </row>
    <row r="57" spans="1:17" ht="15" hidden="1" x14ac:dyDescent="0.25">
      <c r="A57" s="46">
        <v>56</v>
      </c>
      <c r="B57" s="52" t="s">
        <v>215</v>
      </c>
      <c r="C57" s="52">
        <v>50</v>
      </c>
      <c r="D57" s="52">
        <v>1</v>
      </c>
      <c r="E57" s="52" t="s">
        <v>160</v>
      </c>
      <c r="F57" s="52">
        <v>5</v>
      </c>
      <c r="G57" s="52">
        <v>50</v>
      </c>
      <c r="H57" s="52">
        <v>0</v>
      </c>
      <c r="I57" s="52">
        <v>90</v>
      </c>
      <c r="J57" s="52">
        <v>35</v>
      </c>
      <c r="K57" s="52">
        <v>65</v>
      </c>
      <c r="L57" s="52">
        <v>9.1999999999999998E-2</v>
      </c>
      <c r="N57" s="56">
        <f t="shared" si="0"/>
        <v>0</v>
      </c>
      <c r="O57" s="54">
        <f t="shared" si="1"/>
        <v>2910</v>
      </c>
      <c r="P57" s="57">
        <f t="shared" si="2"/>
        <v>3000</v>
      </c>
      <c r="Q57" s="58">
        <f t="shared" si="3"/>
        <v>0.03</v>
      </c>
    </row>
    <row r="58" spans="1:17" ht="15" hidden="1" x14ac:dyDescent="0.25">
      <c r="A58" s="46">
        <v>57</v>
      </c>
      <c r="B58" s="52" t="s">
        <v>216</v>
      </c>
      <c r="C58" s="52">
        <v>50</v>
      </c>
      <c r="D58" s="52">
        <v>1</v>
      </c>
      <c r="E58" s="52" t="s">
        <v>160</v>
      </c>
      <c r="F58" s="52">
        <v>5</v>
      </c>
      <c r="G58" s="52">
        <v>50</v>
      </c>
      <c r="H58" s="52">
        <v>0</v>
      </c>
      <c r="I58" s="52">
        <v>100</v>
      </c>
      <c r="J58" s="52">
        <v>20</v>
      </c>
      <c r="K58" s="52">
        <v>65</v>
      </c>
      <c r="L58" s="52">
        <v>9.1999999999999998E-2</v>
      </c>
      <c r="N58" s="56">
        <f t="shared" si="0"/>
        <v>23</v>
      </c>
      <c r="O58" s="54">
        <f t="shared" si="1"/>
        <v>2910</v>
      </c>
      <c r="P58" s="57">
        <f t="shared" si="2"/>
        <v>3000</v>
      </c>
      <c r="Q58" s="58">
        <f t="shared" si="3"/>
        <v>0.03</v>
      </c>
    </row>
    <row r="59" spans="1:17" ht="15" hidden="1" x14ac:dyDescent="0.25">
      <c r="A59" s="46">
        <v>58</v>
      </c>
      <c r="B59" s="52" t="s">
        <v>217</v>
      </c>
      <c r="C59" s="52">
        <v>50</v>
      </c>
      <c r="D59" s="52">
        <v>1</v>
      </c>
      <c r="E59" s="52" t="s">
        <v>160</v>
      </c>
      <c r="F59" s="52">
        <v>5</v>
      </c>
      <c r="G59" s="52">
        <v>550</v>
      </c>
      <c r="H59" s="52">
        <v>0</v>
      </c>
      <c r="I59" s="52">
        <v>850</v>
      </c>
      <c r="J59" s="52">
        <v>400</v>
      </c>
      <c r="K59" s="52">
        <v>650</v>
      </c>
      <c r="L59" s="52">
        <v>9.1999999999999998E-2</v>
      </c>
      <c r="N59" s="56">
        <f t="shared" si="0"/>
        <v>17</v>
      </c>
      <c r="O59" s="54">
        <f t="shared" si="1"/>
        <v>3000</v>
      </c>
      <c r="P59" s="57">
        <f t="shared" si="2"/>
        <v>3000</v>
      </c>
      <c r="Q59" s="58">
        <f t="shared" si="3"/>
        <v>0</v>
      </c>
    </row>
    <row r="60" spans="1:17" ht="15" hidden="1" x14ac:dyDescent="0.25">
      <c r="A60" s="46">
        <v>59</v>
      </c>
      <c r="B60" s="52" t="s">
        <v>218</v>
      </c>
      <c r="C60" s="52">
        <v>50</v>
      </c>
      <c r="D60" s="52">
        <v>1</v>
      </c>
      <c r="E60" s="52" t="s">
        <v>160</v>
      </c>
      <c r="F60" s="52">
        <v>5</v>
      </c>
      <c r="G60" s="52">
        <v>59</v>
      </c>
      <c r="H60" s="52">
        <v>0</v>
      </c>
      <c r="I60" s="52">
        <v>125</v>
      </c>
      <c r="J60" s="52">
        <v>40</v>
      </c>
      <c r="K60" s="52">
        <v>75</v>
      </c>
      <c r="L60" s="52">
        <v>9.1999999999999998E-2</v>
      </c>
      <c r="N60" s="56">
        <f t="shared" si="0"/>
        <v>0</v>
      </c>
      <c r="O60" s="54">
        <f t="shared" si="1"/>
        <v>2910</v>
      </c>
      <c r="P60" s="57">
        <f t="shared" si="2"/>
        <v>3000</v>
      </c>
      <c r="Q60" s="58">
        <f t="shared" si="3"/>
        <v>0.03</v>
      </c>
    </row>
    <row r="61" spans="1:17" ht="15" hidden="1" x14ac:dyDescent="0.25">
      <c r="A61" s="46">
        <v>60</v>
      </c>
      <c r="B61" s="52" t="s">
        <v>219</v>
      </c>
      <c r="C61" s="52">
        <v>50</v>
      </c>
      <c r="D61" s="52">
        <v>1</v>
      </c>
      <c r="E61" s="52" t="s">
        <v>160</v>
      </c>
      <c r="F61" s="52">
        <v>5</v>
      </c>
      <c r="G61" s="52">
        <v>59</v>
      </c>
      <c r="H61" s="52">
        <v>0</v>
      </c>
      <c r="I61" s="52">
        <v>125</v>
      </c>
      <c r="J61" s="52">
        <v>40</v>
      </c>
      <c r="K61" s="52">
        <v>75</v>
      </c>
      <c r="L61" s="52">
        <v>9.1999999999999998E-2</v>
      </c>
      <c r="N61" s="56">
        <f t="shared" si="0"/>
        <v>0</v>
      </c>
      <c r="O61" s="54">
        <f t="shared" si="1"/>
        <v>2910</v>
      </c>
      <c r="P61" s="57">
        <f t="shared" si="2"/>
        <v>3000</v>
      </c>
      <c r="Q61" s="58">
        <f t="shared" si="3"/>
        <v>0.03</v>
      </c>
    </row>
    <row r="62" spans="1:17" ht="15" hidden="1" x14ac:dyDescent="0.25">
      <c r="A62" s="46">
        <v>61</v>
      </c>
      <c r="B62" s="52" t="s">
        <v>220</v>
      </c>
      <c r="C62" s="52">
        <v>50</v>
      </c>
      <c r="D62" s="52">
        <v>1</v>
      </c>
      <c r="E62" s="52" t="s">
        <v>160</v>
      </c>
      <c r="F62" s="52">
        <v>5</v>
      </c>
      <c r="G62" s="52">
        <v>60</v>
      </c>
      <c r="H62" s="52">
        <v>0</v>
      </c>
      <c r="I62" s="52">
        <v>107</v>
      </c>
      <c r="J62" s="52">
        <v>40</v>
      </c>
      <c r="K62" s="52">
        <v>75</v>
      </c>
      <c r="L62" s="52">
        <v>9.1999999999999998E-2</v>
      </c>
      <c r="N62" s="56">
        <f t="shared" si="0"/>
        <v>0</v>
      </c>
      <c r="O62" s="54">
        <f t="shared" si="1"/>
        <v>2910</v>
      </c>
      <c r="P62" s="57">
        <f t="shared" si="2"/>
        <v>3000</v>
      </c>
      <c r="Q62" s="58">
        <f t="shared" si="3"/>
        <v>0.03</v>
      </c>
    </row>
    <row r="63" spans="1:17" ht="15" hidden="1" x14ac:dyDescent="0.25">
      <c r="A63" s="46">
        <v>62</v>
      </c>
      <c r="B63" s="52" t="s">
        <v>221</v>
      </c>
      <c r="C63" s="52">
        <v>50</v>
      </c>
      <c r="D63" s="52">
        <v>1</v>
      </c>
      <c r="E63" s="52" t="s">
        <v>160</v>
      </c>
      <c r="F63" s="52">
        <v>5</v>
      </c>
      <c r="G63" s="52">
        <v>60</v>
      </c>
      <c r="H63" s="52">
        <v>0</v>
      </c>
      <c r="I63" s="52">
        <v>104</v>
      </c>
      <c r="J63" s="52">
        <v>40</v>
      </c>
      <c r="K63" s="52">
        <v>75</v>
      </c>
      <c r="L63" s="52">
        <v>9.1999999999999998E-2</v>
      </c>
      <c r="N63" s="56">
        <f t="shared" si="0"/>
        <v>0</v>
      </c>
      <c r="O63" s="54">
        <f t="shared" si="1"/>
        <v>2910</v>
      </c>
      <c r="P63" s="57">
        <f t="shared" si="2"/>
        <v>3000</v>
      </c>
      <c r="Q63" s="58">
        <f t="shared" si="3"/>
        <v>0.03</v>
      </c>
    </row>
    <row r="64" spans="1:17" ht="15" hidden="1" x14ac:dyDescent="0.25">
      <c r="A64" s="46">
        <v>63</v>
      </c>
      <c r="B64" s="52" t="s">
        <v>222</v>
      </c>
      <c r="C64" s="52">
        <v>60</v>
      </c>
      <c r="D64" s="52">
        <v>1</v>
      </c>
      <c r="E64" s="52" t="s">
        <v>160</v>
      </c>
      <c r="F64" s="52">
        <v>5</v>
      </c>
      <c r="G64" s="52">
        <v>60</v>
      </c>
      <c r="H64" s="52">
        <v>0</v>
      </c>
      <c r="I64" s="52">
        <v>120</v>
      </c>
      <c r="J64" s="52">
        <v>42</v>
      </c>
      <c r="K64" s="52">
        <v>78</v>
      </c>
      <c r="L64" s="52">
        <v>9.1999999999999998E-2</v>
      </c>
      <c r="N64" s="56">
        <f t="shared" si="0"/>
        <v>23</v>
      </c>
      <c r="O64" s="54">
        <f t="shared" si="1"/>
        <v>3490</v>
      </c>
      <c r="P64" s="57">
        <f t="shared" si="2"/>
        <v>3600</v>
      </c>
      <c r="Q64" s="58">
        <f t="shared" si="3"/>
        <v>3.0555555555555555E-2</v>
      </c>
    </row>
    <row r="65" spans="1:17" ht="15" hidden="1" x14ac:dyDescent="0.25">
      <c r="A65" s="46">
        <v>64</v>
      </c>
      <c r="B65" s="52" t="s">
        <v>223</v>
      </c>
      <c r="C65" s="52">
        <v>50</v>
      </c>
      <c r="D65" s="52">
        <v>1</v>
      </c>
      <c r="E65" s="52" t="s">
        <v>160</v>
      </c>
      <c r="F65" s="52">
        <v>5</v>
      </c>
      <c r="G65" s="52">
        <v>79</v>
      </c>
      <c r="H65" s="52">
        <v>0</v>
      </c>
      <c r="I65" s="52">
        <v>190</v>
      </c>
      <c r="J65" s="52">
        <v>60</v>
      </c>
      <c r="K65" s="52">
        <v>105</v>
      </c>
      <c r="L65" s="52">
        <v>9.1999999999999998E-2</v>
      </c>
      <c r="N65" s="56">
        <f t="shared" si="0"/>
        <v>0</v>
      </c>
      <c r="O65" s="54">
        <f t="shared" si="1"/>
        <v>2910</v>
      </c>
      <c r="P65" s="57">
        <f t="shared" si="2"/>
        <v>3000</v>
      </c>
      <c r="Q65" s="58">
        <f t="shared" si="3"/>
        <v>0.03</v>
      </c>
    </row>
    <row r="66" spans="1:17" ht="15" hidden="1" x14ac:dyDescent="0.25">
      <c r="A66" s="46">
        <v>65</v>
      </c>
      <c r="B66" s="52" t="s">
        <v>224</v>
      </c>
      <c r="C66" s="52">
        <v>50</v>
      </c>
      <c r="D66" s="52">
        <v>1</v>
      </c>
      <c r="E66" s="52" t="s">
        <v>160</v>
      </c>
      <c r="F66" s="52">
        <v>5</v>
      </c>
      <c r="G66" s="52">
        <v>80</v>
      </c>
      <c r="H66" s="52">
        <v>0</v>
      </c>
      <c r="I66" s="52">
        <v>168</v>
      </c>
      <c r="J66" s="52">
        <v>60</v>
      </c>
      <c r="K66" s="52">
        <v>105</v>
      </c>
      <c r="L66" s="52">
        <v>9.1999999999999998E-2</v>
      </c>
      <c r="N66" s="56">
        <f t="shared" ref="N66:N129" si="4">IFERROR(SEARCH("@",B66),0)</f>
        <v>0</v>
      </c>
      <c r="O66" s="54">
        <f t="shared" ref="O66:O129" si="5">IF(N66&gt;0,MID(B66,N66+2,5)*1,C66*60*0.97)</f>
        <v>2910</v>
      </c>
      <c r="P66" s="57">
        <f t="shared" ref="P66:P129" si="6">C66*60</f>
        <v>3000</v>
      </c>
      <c r="Q66" s="58">
        <f t="shared" ref="Q66:Q129" si="7">IF(O66&lt;&gt;"",(P66-O66)/P66,"")</f>
        <v>0.03</v>
      </c>
    </row>
    <row r="67" spans="1:17" ht="15" hidden="1" x14ac:dyDescent="0.25">
      <c r="A67" s="46">
        <v>66</v>
      </c>
      <c r="B67" s="52" t="s">
        <v>225</v>
      </c>
      <c r="C67" s="52">
        <v>50</v>
      </c>
      <c r="D67" s="52">
        <v>1</v>
      </c>
      <c r="E67" s="52" t="s">
        <v>160</v>
      </c>
      <c r="F67" s="52">
        <v>5</v>
      </c>
      <c r="G67" s="52">
        <v>80</v>
      </c>
      <c r="H67" s="52">
        <v>0</v>
      </c>
      <c r="I67" s="52">
        <v>164</v>
      </c>
      <c r="J67" s="52">
        <v>60</v>
      </c>
      <c r="K67" s="52">
        <v>105</v>
      </c>
      <c r="L67" s="52">
        <v>9.1999999999999998E-2</v>
      </c>
      <c r="N67" s="56">
        <f t="shared" si="4"/>
        <v>0</v>
      </c>
      <c r="O67" s="54">
        <f t="shared" si="5"/>
        <v>2910</v>
      </c>
      <c r="P67" s="57">
        <f t="shared" si="6"/>
        <v>3000</v>
      </c>
      <c r="Q67" s="58">
        <f t="shared" si="7"/>
        <v>0.03</v>
      </c>
    </row>
    <row r="68" spans="1:17" ht="15" hidden="1" x14ac:dyDescent="0.25">
      <c r="A68" s="46">
        <v>67</v>
      </c>
      <c r="B68" s="52" t="s">
        <v>226</v>
      </c>
      <c r="C68" s="52">
        <v>80</v>
      </c>
      <c r="D68" s="52">
        <v>1</v>
      </c>
      <c r="E68" s="52" t="s">
        <v>160</v>
      </c>
      <c r="F68" s="52">
        <v>5</v>
      </c>
      <c r="G68" s="52">
        <v>80</v>
      </c>
      <c r="H68" s="52">
        <v>0</v>
      </c>
      <c r="I68" s="52">
        <v>160</v>
      </c>
      <c r="J68" s="52">
        <v>56</v>
      </c>
      <c r="K68" s="52">
        <v>104</v>
      </c>
      <c r="L68" s="52">
        <v>9.1999999999999998E-2</v>
      </c>
      <c r="N68" s="56">
        <f t="shared" si="4"/>
        <v>23</v>
      </c>
      <c r="O68" s="54">
        <f t="shared" si="5"/>
        <v>4660</v>
      </c>
      <c r="P68" s="57">
        <f t="shared" si="6"/>
        <v>4800</v>
      </c>
      <c r="Q68" s="58">
        <f t="shared" si="7"/>
        <v>2.9166666666666667E-2</v>
      </c>
    </row>
    <row r="69" spans="1:17" s="112" customFormat="1" ht="15" x14ac:dyDescent="0.25">
      <c r="A69" s="110">
        <v>68</v>
      </c>
      <c r="B69" s="111" t="s">
        <v>227</v>
      </c>
      <c r="C69" s="111">
        <v>50</v>
      </c>
      <c r="D69" s="111">
        <v>1</v>
      </c>
      <c r="E69" s="111" t="s">
        <v>160</v>
      </c>
      <c r="F69" s="111" t="s">
        <v>228</v>
      </c>
      <c r="G69" s="111">
        <v>100</v>
      </c>
      <c r="H69" s="111">
        <v>0</v>
      </c>
      <c r="I69" s="111">
        <v>185</v>
      </c>
      <c r="J69" s="111">
        <v>70</v>
      </c>
      <c r="K69" s="111">
        <v>140</v>
      </c>
      <c r="L69" s="111">
        <v>0.10299999999999999</v>
      </c>
      <c r="N69" s="113">
        <f t="shared" si="4"/>
        <v>0</v>
      </c>
      <c r="O69" s="114">
        <f t="shared" si="5"/>
        <v>2910</v>
      </c>
      <c r="P69" s="112">
        <f t="shared" si="6"/>
        <v>3000</v>
      </c>
      <c r="Q69" s="115">
        <f t="shared" si="7"/>
        <v>0.03</v>
      </c>
    </row>
    <row r="70" spans="1:17" ht="15" x14ac:dyDescent="0.25">
      <c r="A70" s="46">
        <v>69</v>
      </c>
      <c r="B70" s="52" t="s">
        <v>229</v>
      </c>
      <c r="C70" s="52">
        <v>50</v>
      </c>
      <c r="D70" s="52">
        <v>1</v>
      </c>
      <c r="E70" s="52" t="s">
        <v>160</v>
      </c>
      <c r="F70" s="52" t="s">
        <v>228</v>
      </c>
      <c r="G70" s="52">
        <v>100</v>
      </c>
      <c r="H70" s="52">
        <v>0</v>
      </c>
      <c r="I70" s="52">
        <v>200</v>
      </c>
      <c r="J70" s="52">
        <v>30</v>
      </c>
      <c r="K70" s="52">
        <v>160</v>
      </c>
      <c r="L70" s="52">
        <v>0.10299999999999999</v>
      </c>
      <c r="N70" s="56">
        <f t="shared" si="4"/>
        <v>24</v>
      </c>
      <c r="O70" s="54">
        <f t="shared" si="5"/>
        <v>2910</v>
      </c>
      <c r="P70" s="57">
        <f t="shared" si="6"/>
        <v>3000</v>
      </c>
      <c r="Q70" s="58">
        <f t="shared" si="7"/>
        <v>0.03</v>
      </c>
    </row>
    <row r="71" spans="1:17" ht="15" x14ac:dyDescent="0.25">
      <c r="A71" s="46">
        <v>70</v>
      </c>
      <c r="B71" s="52" t="s">
        <v>230</v>
      </c>
      <c r="C71" s="52">
        <v>50</v>
      </c>
      <c r="D71" s="52">
        <v>1</v>
      </c>
      <c r="E71" s="52" t="s">
        <v>160</v>
      </c>
      <c r="F71" s="52" t="s">
        <v>228</v>
      </c>
      <c r="G71" s="52">
        <v>100</v>
      </c>
      <c r="H71" s="52">
        <v>0</v>
      </c>
      <c r="I71" s="52">
        <v>200</v>
      </c>
      <c r="J71" s="52">
        <v>30</v>
      </c>
      <c r="K71" s="52">
        <v>160</v>
      </c>
      <c r="L71" s="52">
        <v>0.10299999999999999</v>
      </c>
      <c r="N71" s="56">
        <f t="shared" si="4"/>
        <v>24</v>
      </c>
      <c r="O71" s="54">
        <f t="shared" si="5"/>
        <v>2910</v>
      </c>
      <c r="P71" s="57">
        <f t="shared" si="6"/>
        <v>3000</v>
      </c>
      <c r="Q71" s="58">
        <f t="shared" si="7"/>
        <v>0.03</v>
      </c>
    </row>
    <row r="72" spans="1:17" ht="15" x14ac:dyDescent="0.25">
      <c r="A72" s="46">
        <v>71</v>
      </c>
      <c r="B72" s="52" t="s">
        <v>231</v>
      </c>
      <c r="C72" s="52">
        <v>50</v>
      </c>
      <c r="D72" s="52">
        <v>1</v>
      </c>
      <c r="E72" s="52" t="s">
        <v>160</v>
      </c>
      <c r="F72" s="52" t="s">
        <v>228</v>
      </c>
      <c r="G72" s="52">
        <v>124</v>
      </c>
      <c r="H72" s="52">
        <v>0</v>
      </c>
      <c r="I72" s="52">
        <v>260</v>
      </c>
      <c r="J72" s="52">
        <v>95</v>
      </c>
      <c r="K72" s="52">
        <v>160</v>
      </c>
      <c r="L72" s="52">
        <v>0.10299999999999999</v>
      </c>
      <c r="N72" s="56">
        <f t="shared" si="4"/>
        <v>0</v>
      </c>
      <c r="O72" s="54">
        <f t="shared" si="5"/>
        <v>2910</v>
      </c>
      <c r="P72" s="57">
        <f t="shared" si="6"/>
        <v>3000</v>
      </c>
      <c r="Q72" s="58">
        <f t="shared" si="7"/>
        <v>0.03</v>
      </c>
    </row>
    <row r="73" spans="1:17" ht="15" hidden="1" x14ac:dyDescent="0.25">
      <c r="A73" s="46">
        <v>72</v>
      </c>
      <c r="B73" s="52" t="s">
        <v>232</v>
      </c>
      <c r="C73" s="52">
        <v>62</v>
      </c>
      <c r="D73" s="52">
        <v>1</v>
      </c>
      <c r="E73" s="52" t="s">
        <v>160</v>
      </c>
      <c r="F73" s="52" t="s">
        <v>228</v>
      </c>
      <c r="G73" s="52">
        <v>125</v>
      </c>
      <c r="H73" s="52">
        <v>0</v>
      </c>
      <c r="I73" s="52">
        <v>250</v>
      </c>
      <c r="J73" s="52">
        <v>37</v>
      </c>
      <c r="K73" s="52">
        <v>200</v>
      </c>
      <c r="L73" s="52">
        <v>0.10299999999999999</v>
      </c>
      <c r="N73" s="56">
        <f t="shared" si="4"/>
        <v>24</v>
      </c>
      <c r="O73" s="54">
        <f t="shared" si="5"/>
        <v>3640</v>
      </c>
      <c r="P73" s="57">
        <f t="shared" si="6"/>
        <v>3720</v>
      </c>
      <c r="Q73" s="58">
        <f t="shared" si="7"/>
        <v>2.1505376344086023E-2</v>
      </c>
    </row>
    <row r="74" spans="1:17" ht="15" hidden="1" x14ac:dyDescent="0.25">
      <c r="A74" s="46">
        <v>73</v>
      </c>
      <c r="B74" s="52" t="s">
        <v>233</v>
      </c>
      <c r="C74" s="52">
        <v>62.5</v>
      </c>
      <c r="D74" s="52">
        <v>1</v>
      </c>
      <c r="E74" s="52" t="s">
        <v>160</v>
      </c>
      <c r="F74" s="52" t="s">
        <v>228</v>
      </c>
      <c r="G74" s="52">
        <v>125</v>
      </c>
      <c r="H74" s="52">
        <v>0</v>
      </c>
      <c r="I74" s="52">
        <v>251</v>
      </c>
      <c r="J74" s="52">
        <v>38</v>
      </c>
      <c r="K74" s="52">
        <v>200</v>
      </c>
      <c r="L74" s="52">
        <v>0.10299999999999999</v>
      </c>
      <c r="N74" s="56">
        <f t="shared" si="4"/>
        <v>24</v>
      </c>
      <c r="O74" s="54">
        <f t="shared" si="5"/>
        <v>3640</v>
      </c>
      <c r="P74" s="57">
        <f t="shared" si="6"/>
        <v>3750</v>
      </c>
      <c r="Q74" s="58">
        <f t="shared" si="7"/>
        <v>2.9333333333333333E-2</v>
      </c>
    </row>
    <row r="75" spans="1:17" ht="15" hidden="1" x14ac:dyDescent="0.25">
      <c r="A75" s="46">
        <v>74</v>
      </c>
      <c r="B75" s="52" t="s">
        <v>234</v>
      </c>
      <c r="C75" s="52">
        <v>70</v>
      </c>
      <c r="D75" s="52">
        <v>1</v>
      </c>
      <c r="E75" s="52" t="s">
        <v>160</v>
      </c>
      <c r="F75" s="52" t="s">
        <v>228</v>
      </c>
      <c r="G75" s="52">
        <v>140</v>
      </c>
      <c r="H75" s="52">
        <v>0</v>
      </c>
      <c r="I75" s="52">
        <v>280</v>
      </c>
      <c r="J75" s="52">
        <v>42</v>
      </c>
      <c r="K75" s="52">
        <v>224</v>
      </c>
      <c r="L75" s="52">
        <v>0.10299999999999999</v>
      </c>
      <c r="N75" s="56">
        <f t="shared" si="4"/>
        <v>24</v>
      </c>
      <c r="O75" s="54">
        <f t="shared" si="5"/>
        <v>4075</v>
      </c>
      <c r="P75" s="57">
        <f t="shared" si="6"/>
        <v>4200</v>
      </c>
      <c r="Q75" s="58">
        <f t="shared" si="7"/>
        <v>2.976190476190476E-2</v>
      </c>
    </row>
    <row r="76" spans="1:17" ht="15" hidden="1" x14ac:dyDescent="0.25">
      <c r="A76" s="46">
        <v>75</v>
      </c>
      <c r="B76" s="52" t="s">
        <v>235</v>
      </c>
      <c r="C76" s="52">
        <v>70</v>
      </c>
      <c r="D76" s="52">
        <v>1</v>
      </c>
      <c r="E76" s="52" t="s">
        <v>160</v>
      </c>
      <c r="F76" s="52" t="s">
        <v>228</v>
      </c>
      <c r="G76" s="52">
        <v>140</v>
      </c>
      <c r="H76" s="52">
        <v>0</v>
      </c>
      <c r="I76" s="52">
        <v>281</v>
      </c>
      <c r="J76" s="52">
        <v>42</v>
      </c>
      <c r="K76" s="52">
        <v>224</v>
      </c>
      <c r="L76" s="52">
        <v>0.10299999999999999</v>
      </c>
      <c r="N76" s="56">
        <f t="shared" si="4"/>
        <v>24</v>
      </c>
      <c r="O76" s="54">
        <f t="shared" si="5"/>
        <v>4075</v>
      </c>
      <c r="P76" s="57">
        <f t="shared" si="6"/>
        <v>4200</v>
      </c>
      <c r="Q76" s="58">
        <f t="shared" si="7"/>
        <v>2.976190476190476E-2</v>
      </c>
    </row>
    <row r="77" spans="1:17" ht="15" x14ac:dyDescent="0.25">
      <c r="A77" s="46">
        <v>76</v>
      </c>
      <c r="B77" s="52" t="s">
        <v>236</v>
      </c>
      <c r="C77" s="52">
        <v>50</v>
      </c>
      <c r="D77" s="52">
        <v>1</v>
      </c>
      <c r="E77" s="52" t="s">
        <v>160</v>
      </c>
      <c r="F77" s="52" t="s">
        <v>228</v>
      </c>
      <c r="G77" s="52">
        <v>159</v>
      </c>
      <c r="H77" s="52">
        <v>0</v>
      </c>
      <c r="I77" s="52">
        <v>350</v>
      </c>
      <c r="J77" s="52">
        <v>130</v>
      </c>
      <c r="K77" s="52">
        <v>205</v>
      </c>
      <c r="L77" s="52">
        <v>0.10299999999999999</v>
      </c>
      <c r="N77" s="56">
        <f t="shared" si="4"/>
        <v>0</v>
      </c>
      <c r="O77" s="54">
        <f t="shared" si="5"/>
        <v>2910</v>
      </c>
      <c r="P77" s="57">
        <f t="shared" si="6"/>
        <v>3000</v>
      </c>
      <c r="Q77" s="58">
        <f t="shared" si="7"/>
        <v>0.03</v>
      </c>
    </row>
    <row r="78" spans="1:17" ht="15" hidden="1" x14ac:dyDescent="0.25">
      <c r="A78" s="46">
        <v>77</v>
      </c>
      <c r="B78" s="52" t="s">
        <v>237</v>
      </c>
      <c r="C78" s="52">
        <v>80</v>
      </c>
      <c r="D78" s="52">
        <v>1</v>
      </c>
      <c r="E78" s="52" t="s">
        <v>160</v>
      </c>
      <c r="F78" s="52" t="s">
        <v>228</v>
      </c>
      <c r="G78" s="52">
        <v>160</v>
      </c>
      <c r="H78" s="52">
        <v>0</v>
      </c>
      <c r="I78" s="52">
        <v>320</v>
      </c>
      <c r="J78" s="52">
        <v>48</v>
      </c>
      <c r="K78" s="52">
        <v>256</v>
      </c>
      <c r="L78" s="52">
        <v>0.10299999999999999</v>
      </c>
      <c r="N78" s="56">
        <f t="shared" si="4"/>
        <v>24</v>
      </c>
      <c r="O78" s="54">
        <f t="shared" si="5"/>
        <v>4660</v>
      </c>
      <c r="P78" s="57">
        <f t="shared" si="6"/>
        <v>4800</v>
      </c>
      <c r="Q78" s="58">
        <f t="shared" si="7"/>
        <v>2.9166666666666667E-2</v>
      </c>
    </row>
    <row r="79" spans="1:17" ht="15" hidden="1" x14ac:dyDescent="0.25">
      <c r="A79" s="46">
        <v>78</v>
      </c>
      <c r="B79" s="52" t="s">
        <v>238</v>
      </c>
      <c r="C79" s="52">
        <v>80</v>
      </c>
      <c r="D79" s="52">
        <v>1</v>
      </c>
      <c r="E79" s="52" t="s">
        <v>160</v>
      </c>
      <c r="F79" s="52" t="s">
        <v>228</v>
      </c>
      <c r="G79" s="52">
        <v>160</v>
      </c>
      <c r="H79" s="52">
        <v>0</v>
      </c>
      <c r="I79" s="52">
        <v>321</v>
      </c>
      <c r="J79" s="52">
        <v>48</v>
      </c>
      <c r="K79" s="52">
        <v>256</v>
      </c>
      <c r="L79" s="52">
        <v>0.10299999999999999</v>
      </c>
      <c r="N79" s="56">
        <f t="shared" si="4"/>
        <v>24</v>
      </c>
      <c r="O79" s="54">
        <f t="shared" si="5"/>
        <v>4660</v>
      </c>
      <c r="P79" s="57">
        <f t="shared" si="6"/>
        <v>4800</v>
      </c>
      <c r="Q79" s="58">
        <f t="shared" si="7"/>
        <v>2.9166666666666667E-2</v>
      </c>
    </row>
    <row r="80" spans="1:17" ht="15" x14ac:dyDescent="0.25">
      <c r="A80" s="46">
        <v>79</v>
      </c>
      <c r="B80" s="52" t="s">
        <v>239</v>
      </c>
      <c r="C80" s="52">
        <v>50</v>
      </c>
      <c r="D80" s="52">
        <v>1</v>
      </c>
      <c r="E80" s="52" t="s">
        <v>160</v>
      </c>
      <c r="F80" s="52" t="s">
        <v>228</v>
      </c>
      <c r="G80" s="52">
        <v>199</v>
      </c>
      <c r="H80" s="52">
        <v>0</v>
      </c>
      <c r="I80" s="52">
        <v>357</v>
      </c>
      <c r="J80" s="52">
        <v>150</v>
      </c>
      <c r="K80" s="52">
        <v>255</v>
      </c>
      <c r="L80" s="52">
        <v>0.10299999999999999</v>
      </c>
      <c r="N80" s="56">
        <f t="shared" si="4"/>
        <v>0</v>
      </c>
      <c r="O80" s="54">
        <f t="shared" si="5"/>
        <v>2910</v>
      </c>
      <c r="P80" s="57">
        <f t="shared" si="6"/>
        <v>3000</v>
      </c>
      <c r="Q80" s="58">
        <f t="shared" si="7"/>
        <v>0.03</v>
      </c>
    </row>
    <row r="81" spans="1:17" s="112" customFormat="1" ht="15" x14ac:dyDescent="0.25">
      <c r="A81" s="110">
        <v>80</v>
      </c>
      <c r="B81" s="111" t="s">
        <v>240</v>
      </c>
      <c r="C81" s="111">
        <v>50</v>
      </c>
      <c r="D81" s="111">
        <v>1</v>
      </c>
      <c r="E81" s="111" t="s">
        <v>160</v>
      </c>
      <c r="F81" s="111" t="s">
        <v>228</v>
      </c>
      <c r="G81" s="111">
        <v>240</v>
      </c>
      <c r="H81" s="111">
        <v>0</v>
      </c>
      <c r="I81" s="111">
        <v>405</v>
      </c>
      <c r="J81" s="111">
        <v>190</v>
      </c>
      <c r="K81" s="111">
        <v>280</v>
      </c>
      <c r="L81" s="111">
        <v>0.10299999999999999</v>
      </c>
      <c r="N81" s="113">
        <f t="shared" si="4"/>
        <v>0</v>
      </c>
      <c r="O81" s="114">
        <f t="shared" si="5"/>
        <v>2910</v>
      </c>
      <c r="P81" s="112">
        <f t="shared" si="6"/>
        <v>3000</v>
      </c>
      <c r="Q81" s="115">
        <f t="shared" si="7"/>
        <v>0.03</v>
      </c>
    </row>
    <row r="82" spans="1:17" ht="15" x14ac:dyDescent="0.25">
      <c r="A82" s="46">
        <v>81</v>
      </c>
      <c r="B82" s="52" t="s">
        <v>241</v>
      </c>
      <c r="C82" s="52">
        <v>50</v>
      </c>
      <c r="D82" s="52">
        <v>1</v>
      </c>
      <c r="E82" s="52" t="s">
        <v>160</v>
      </c>
      <c r="F82" s="52" t="s">
        <v>228</v>
      </c>
      <c r="G82" s="52">
        <v>25</v>
      </c>
      <c r="H82" s="52">
        <v>0</v>
      </c>
      <c r="I82" s="52">
        <v>60</v>
      </c>
      <c r="J82" s="52">
        <v>18</v>
      </c>
      <c r="K82" s="52">
        <v>35</v>
      </c>
      <c r="L82" s="52">
        <v>0.10299999999999999</v>
      </c>
      <c r="N82" s="56">
        <f t="shared" si="4"/>
        <v>0</v>
      </c>
      <c r="O82" s="54">
        <f t="shared" si="5"/>
        <v>2910</v>
      </c>
      <c r="P82" s="57">
        <f t="shared" si="6"/>
        <v>3000</v>
      </c>
      <c r="Q82" s="58">
        <f t="shared" si="7"/>
        <v>0.03</v>
      </c>
    </row>
    <row r="83" spans="1:17" ht="15" x14ac:dyDescent="0.25">
      <c r="A83" s="46">
        <v>82</v>
      </c>
      <c r="B83" s="52" t="s">
        <v>242</v>
      </c>
      <c r="C83" s="52">
        <v>50</v>
      </c>
      <c r="D83" s="52">
        <v>1</v>
      </c>
      <c r="E83" s="52" t="s">
        <v>160</v>
      </c>
      <c r="F83" s="52" t="s">
        <v>228</v>
      </c>
      <c r="G83" s="52">
        <v>280</v>
      </c>
      <c r="H83" s="52">
        <v>0</v>
      </c>
      <c r="I83" s="52">
        <v>450</v>
      </c>
      <c r="J83" s="52">
        <v>220</v>
      </c>
      <c r="K83" s="52">
        <v>350</v>
      </c>
      <c r="L83" s="52">
        <v>0.10299999999999999</v>
      </c>
      <c r="N83" s="56">
        <f t="shared" si="4"/>
        <v>0</v>
      </c>
      <c r="O83" s="54">
        <f t="shared" si="5"/>
        <v>2910</v>
      </c>
      <c r="P83" s="57">
        <f t="shared" si="6"/>
        <v>3000</v>
      </c>
      <c r="Q83" s="58">
        <f t="shared" si="7"/>
        <v>0.03</v>
      </c>
    </row>
    <row r="84" spans="1:17" ht="15" x14ac:dyDescent="0.25">
      <c r="A84" s="46">
        <v>83</v>
      </c>
      <c r="B84" s="52" t="s">
        <v>243</v>
      </c>
      <c r="C84" s="52">
        <v>50</v>
      </c>
      <c r="D84" s="52">
        <v>1</v>
      </c>
      <c r="E84" s="52" t="s">
        <v>160</v>
      </c>
      <c r="F84" s="52" t="s">
        <v>228</v>
      </c>
      <c r="G84" s="52">
        <v>34</v>
      </c>
      <c r="H84" s="52">
        <v>0</v>
      </c>
      <c r="I84" s="52">
        <v>59</v>
      </c>
      <c r="J84" s="52">
        <v>20</v>
      </c>
      <c r="K84" s="52">
        <v>45</v>
      </c>
      <c r="L84" s="52">
        <v>0.10299999999999999</v>
      </c>
      <c r="N84" s="56">
        <f t="shared" si="4"/>
        <v>0</v>
      </c>
      <c r="O84" s="54">
        <f t="shared" si="5"/>
        <v>2910</v>
      </c>
      <c r="P84" s="57">
        <f t="shared" si="6"/>
        <v>3000</v>
      </c>
      <c r="Q84" s="58">
        <f t="shared" si="7"/>
        <v>0.03</v>
      </c>
    </row>
    <row r="85" spans="1:17" s="112" customFormat="1" ht="15" x14ac:dyDescent="0.25">
      <c r="A85" s="110">
        <v>84</v>
      </c>
      <c r="B85" s="111" t="s">
        <v>244</v>
      </c>
      <c r="C85" s="111">
        <v>50</v>
      </c>
      <c r="D85" s="111">
        <v>1</v>
      </c>
      <c r="E85" s="111" t="s">
        <v>160</v>
      </c>
      <c r="F85" s="111" t="s">
        <v>228</v>
      </c>
      <c r="G85" s="111">
        <v>400</v>
      </c>
      <c r="H85" s="111">
        <v>0</v>
      </c>
      <c r="I85" s="111">
        <v>634</v>
      </c>
      <c r="J85" s="111">
        <v>300</v>
      </c>
      <c r="K85" s="111">
        <v>500</v>
      </c>
      <c r="L85" s="111">
        <v>0.10299999999999999</v>
      </c>
      <c r="N85" s="113">
        <f t="shared" si="4"/>
        <v>0</v>
      </c>
      <c r="O85" s="114">
        <f t="shared" si="5"/>
        <v>2910</v>
      </c>
      <c r="P85" s="112">
        <f t="shared" si="6"/>
        <v>3000</v>
      </c>
      <c r="Q85" s="115">
        <f t="shared" si="7"/>
        <v>0.03</v>
      </c>
    </row>
    <row r="86" spans="1:17" ht="15" x14ac:dyDescent="0.25">
      <c r="A86" s="46">
        <v>85</v>
      </c>
      <c r="B86" s="52" t="s">
        <v>245</v>
      </c>
      <c r="C86" s="52">
        <v>50</v>
      </c>
      <c r="D86" s="52">
        <v>1</v>
      </c>
      <c r="E86" s="52" t="s">
        <v>160</v>
      </c>
      <c r="F86" s="52" t="s">
        <v>228</v>
      </c>
      <c r="G86" s="52">
        <v>50</v>
      </c>
      <c r="H86" s="52">
        <v>0</v>
      </c>
      <c r="I86" s="52">
        <v>85</v>
      </c>
      <c r="J86" s="52">
        <v>30</v>
      </c>
      <c r="K86" s="52">
        <v>70</v>
      </c>
      <c r="L86" s="52">
        <v>0.10299999999999999</v>
      </c>
      <c r="N86" s="56">
        <f t="shared" si="4"/>
        <v>0</v>
      </c>
      <c r="O86" s="54">
        <f t="shared" si="5"/>
        <v>2910</v>
      </c>
      <c r="P86" s="57">
        <f t="shared" si="6"/>
        <v>3000</v>
      </c>
      <c r="Q86" s="58">
        <f t="shared" si="7"/>
        <v>0.03</v>
      </c>
    </row>
    <row r="87" spans="1:17" s="112" customFormat="1" ht="15" x14ac:dyDescent="0.25">
      <c r="A87" s="110">
        <v>86</v>
      </c>
      <c r="B87" s="111" t="s">
        <v>246</v>
      </c>
      <c r="C87" s="111">
        <v>50</v>
      </c>
      <c r="D87" s="111">
        <v>1</v>
      </c>
      <c r="E87" s="111" t="s">
        <v>160</v>
      </c>
      <c r="F87" s="111" t="s">
        <v>228</v>
      </c>
      <c r="G87" s="111">
        <v>500</v>
      </c>
      <c r="H87" s="111">
        <v>0</v>
      </c>
      <c r="I87" s="111">
        <v>780</v>
      </c>
      <c r="J87" s="111">
        <v>350</v>
      </c>
      <c r="K87" s="111">
        <v>600</v>
      </c>
      <c r="L87" s="111">
        <v>0.10299999999999999</v>
      </c>
      <c r="N87" s="113">
        <f t="shared" si="4"/>
        <v>0</v>
      </c>
      <c r="O87" s="114">
        <f t="shared" si="5"/>
        <v>2910</v>
      </c>
      <c r="P87" s="112">
        <f t="shared" si="6"/>
        <v>3000</v>
      </c>
      <c r="Q87" s="115">
        <f t="shared" si="7"/>
        <v>0.03</v>
      </c>
    </row>
    <row r="88" spans="1:17" ht="15" x14ac:dyDescent="0.25">
      <c r="A88" s="46">
        <v>87</v>
      </c>
      <c r="B88" s="52" t="s">
        <v>247</v>
      </c>
      <c r="C88" s="52">
        <v>50</v>
      </c>
      <c r="D88" s="52">
        <v>1</v>
      </c>
      <c r="E88" s="52" t="s">
        <v>160</v>
      </c>
      <c r="F88" s="52" t="s">
        <v>228</v>
      </c>
      <c r="G88" s="52">
        <v>60</v>
      </c>
      <c r="H88" s="52">
        <v>0</v>
      </c>
      <c r="I88" s="52">
        <v>104</v>
      </c>
      <c r="J88" s="52">
        <v>40</v>
      </c>
      <c r="K88" s="52">
        <v>80</v>
      </c>
      <c r="L88" s="52">
        <v>0.10299999999999999</v>
      </c>
      <c r="N88" s="56">
        <f t="shared" si="4"/>
        <v>0</v>
      </c>
      <c r="O88" s="54">
        <f t="shared" si="5"/>
        <v>2910</v>
      </c>
      <c r="P88" s="57">
        <f t="shared" si="6"/>
        <v>3000</v>
      </c>
      <c r="Q88" s="58">
        <f t="shared" si="7"/>
        <v>0.03</v>
      </c>
    </row>
    <row r="89" spans="1:17" s="112" customFormat="1" ht="15" x14ac:dyDescent="0.25">
      <c r="A89" s="110">
        <v>88</v>
      </c>
      <c r="B89" s="111" t="s">
        <v>248</v>
      </c>
      <c r="C89" s="111">
        <v>50</v>
      </c>
      <c r="D89" s="111">
        <v>1</v>
      </c>
      <c r="E89" s="111" t="s">
        <v>160</v>
      </c>
      <c r="F89" s="111" t="s">
        <v>228</v>
      </c>
      <c r="G89" s="111">
        <v>700</v>
      </c>
      <c r="H89" s="111">
        <v>0</v>
      </c>
      <c r="I89" s="111">
        <v>1050</v>
      </c>
      <c r="J89" s="111">
        <v>500</v>
      </c>
      <c r="K89" s="111">
        <v>900</v>
      </c>
      <c r="L89" s="111">
        <v>0.10299999999999999</v>
      </c>
      <c r="N89" s="113">
        <f t="shared" si="4"/>
        <v>0</v>
      </c>
      <c r="O89" s="114">
        <f t="shared" si="5"/>
        <v>2910</v>
      </c>
      <c r="P89" s="112">
        <f t="shared" si="6"/>
        <v>3000</v>
      </c>
      <c r="Q89" s="115">
        <f t="shared" si="7"/>
        <v>0.03</v>
      </c>
    </row>
    <row r="90" spans="1:17" ht="15" x14ac:dyDescent="0.25">
      <c r="A90" s="46">
        <v>89</v>
      </c>
      <c r="B90" s="52" t="s">
        <v>249</v>
      </c>
      <c r="C90" s="52">
        <v>50</v>
      </c>
      <c r="D90" s="52">
        <v>1</v>
      </c>
      <c r="E90" s="52" t="s">
        <v>160</v>
      </c>
      <c r="F90" s="52" t="s">
        <v>228</v>
      </c>
      <c r="G90" s="52">
        <v>80</v>
      </c>
      <c r="H90" s="52">
        <v>0</v>
      </c>
      <c r="I90" s="52">
        <v>136</v>
      </c>
      <c r="J90" s="52">
        <v>60</v>
      </c>
      <c r="K90" s="52">
        <v>100</v>
      </c>
      <c r="L90" s="52">
        <v>0.10299999999999999</v>
      </c>
      <c r="N90" s="56">
        <f t="shared" si="4"/>
        <v>0</v>
      </c>
      <c r="O90" s="54">
        <f t="shared" si="5"/>
        <v>2910</v>
      </c>
      <c r="P90" s="57">
        <f t="shared" si="6"/>
        <v>3000</v>
      </c>
      <c r="Q90" s="58">
        <f t="shared" si="7"/>
        <v>0.03</v>
      </c>
    </row>
    <row r="91" spans="1:17" ht="15" x14ac:dyDescent="0.25">
      <c r="A91" s="46">
        <v>90</v>
      </c>
      <c r="B91" s="52" t="s">
        <v>250</v>
      </c>
      <c r="C91" s="52">
        <v>50</v>
      </c>
      <c r="D91" s="52">
        <v>1</v>
      </c>
      <c r="E91" s="52" t="s">
        <v>160</v>
      </c>
      <c r="F91" s="52" t="s">
        <v>228</v>
      </c>
      <c r="G91" s="52">
        <v>80</v>
      </c>
      <c r="H91" s="52">
        <v>0</v>
      </c>
      <c r="I91" s="52">
        <v>136</v>
      </c>
      <c r="J91" s="52">
        <v>60</v>
      </c>
      <c r="K91" s="52">
        <v>100</v>
      </c>
      <c r="L91" s="52">
        <v>0.10299999999999999</v>
      </c>
      <c r="N91" s="56">
        <f t="shared" si="4"/>
        <v>0</v>
      </c>
      <c r="O91" s="54">
        <f t="shared" si="5"/>
        <v>2910</v>
      </c>
      <c r="P91" s="57">
        <f t="shared" si="6"/>
        <v>3000</v>
      </c>
      <c r="Q91" s="58">
        <f t="shared" si="7"/>
        <v>0.03</v>
      </c>
    </row>
    <row r="92" spans="1:17" ht="15" hidden="1" x14ac:dyDescent="0.25">
      <c r="A92" s="46">
        <v>91</v>
      </c>
      <c r="B92" s="52" t="s">
        <v>251</v>
      </c>
      <c r="C92" s="52">
        <v>50</v>
      </c>
      <c r="D92" s="52">
        <v>1</v>
      </c>
      <c r="E92" s="52" t="s">
        <v>160</v>
      </c>
      <c r="F92" s="52">
        <v>6</v>
      </c>
      <c r="G92" s="52">
        <v>1000</v>
      </c>
      <c r="H92" s="52">
        <v>0</v>
      </c>
      <c r="I92" s="52">
        <v>1700</v>
      </c>
      <c r="J92" s="52">
        <v>700</v>
      </c>
      <c r="K92" s="52">
        <v>1300</v>
      </c>
      <c r="L92" s="52">
        <v>0.114</v>
      </c>
      <c r="N92" s="56">
        <f t="shared" si="4"/>
        <v>0</v>
      </c>
      <c r="O92" s="54">
        <f t="shared" si="5"/>
        <v>2910</v>
      </c>
      <c r="P92" s="57">
        <f t="shared" si="6"/>
        <v>3000</v>
      </c>
      <c r="Q92" s="58">
        <f t="shared" si="7"/>
        <v>0.03</v>
      </c>
    </row>
    <row r="93" spans="1:17" ht="15" hidden="1" x14ac:dyDescent="0.25">
      <c r="A93" s="46">
        <v>92</v>
      </c>
      <c r="B93" s="52" t="s">
        <v>252</v>
      </c>
      <c r="C93" s="52">
        <v>50</v>
      </c>
      <c r="D93" s="52">
        <v>1</v>
      </c>
      <c r="E93" s="52" t="s">
        <v>160</v>
      </c>
      <c r="F93" s="52">
        <v>6</v>
      </c>
      <c r="G93" s="52">
        <v>800</v>
      </c>
      <c r="H93" s="52">
        <v>0</v>
      </c>
      <c r="I93" s="52">
        <v>1300</v>
      </c>
      <c r="J93" s="52">
        <v>550</v>
      </c>
      <c r="K93" s="52">
        <v>1000</v>
      </c>
      <c r="L93" s="52">
        <v>0.114</v>
      </c>
      <c r="N93" s="56">
        <f t="shared" si="4"/>
        <v>0</v>
      </c>
      <c r="O93" s="54">
        <f t="shared" si="5"/>
        <v>2910</v>
      </c>
      <c r="P93" s="57">
        <f t="shared" si="6"/>
        <v>3000</v>
      </c>
      <c r="Q93" s="58">
        <f t="shared" si="7"/>
        <v>0.03</v>
      </c>
    </row>
    <row r="94" spans="1:17" ht="15" hidden="1" x14ac:dyDescent="0.25">
      <c r="A94" s="46">
        <v>93</v>
      </c>
      <c r="B94" s="52" t="s">
        <v>253</v>
      </c>
      <c r="C94" s="52">
        <v>50</v>
      </c>
      <c r="D94" s="52">
        <v>1</v>
      </c>
      <c r="E94" s="52" t="s">
        <v>160</v>
      </c>
      <c r="F94" s="52" t="s">
        <v>96</v>
      </c>
      <c r="G94" s="52">
        <v>130</v>
      </c>
      <c r="H94" s="52">
        <v>0</v>
      </c>
      <c r="I94" s="52">
        <v>300</v>
      </c>
      <c r="J94" s="52">
        <v>100</v>
      </c>
      <c r="K94" s="52">
        <v>180</v>
      </c>
      <c r="L94" s="52">
        <v>0.123</v>
      </c>
      <c r="N94" s="56">
        <f t="shared" si="4"/>
        <v>0</v>
      </c>
      <c r="O94" s="54">
        <f t="shared" si="5"/>
        <v>2910</v>
      </c>
      <c r="P94" s="57">
        <f t="shared" si="6"/>
        <v>3000</v>
      </c>
      <c r="Q94" s="58">
        <f t="shared" si="7"/>
        <v>0.03</v>
      </c>
    </row>
    <row r="95" spans="1:17" ht="15" hidden="1" x14ac:dyDescent="0.25">
      <c r="A95" s="46">
        <v>94</v>
      </c>
      <c r="B95" s="52" t="s">
        <v>254</v>
      </c>
      <c r="C95" s="52">
        <v>50</v>
      </c>
      <c r="D95" s="52">
        <v>1</v>
      </c>
      <c r="E95" s="52" t="s">
        <v>160</v>
      </c>
      <c r="F95" s="52" t="s">
        <v>96</v>
      </c>
      <c r="G95" s="52">
        <v>250</v>
      </c>
      <c r="H95" s="52">
        <v>0</v>
      </c>
      <c r="I95" s="52">
        <v>455</v>
      </c>
      <c r="J95" s="52">
        <v>180</v>
      </c>
      <c r="K95" s="52">
        <v>310</v>
      </c>
      <c r="L95" s="52">
        <v>0.123</v>
      </c>
      <c r="N95" s="56">
        <f t="shared" si="4"/>
        <v>0</v>
      </c>
      <c r="O95" s="54">
        <f t="shared" si="5"/>
        <v>2910</v>
      </c>
      <c r="P95" s="57">
        <f t="shared" si="6"/>
        <v>3000</v>
      </c>
      <c r="Q95" s="58">
        <f t="shared" si="7"/>
        <v>0.03</v>
      </c>
    </row>
    <row r="96" spans="1:17" ht="15" hidden="1" x14ac:dyDescent="0.25">
      <c r="A96" s="46">
        <v>95</v>
      </c>
      <c r="B96" s="52" t="s">
        <v>255</v>
      </c>
      <c r="C96" s="52">
        <v>50</v>
      </c>
      <c r="D96" s="52">
        <v>1</v>
      </c>
      <c r="E96" s="52" t="s">
        <v>160</v>
      </c>
      <c r="F96" s="52" t="s">
        <v>256</v>
      </c>
      <c r="G96" s="52">
        <v>300</v>
      </c>
      <c r="H96" s="52">
        <v>0</v>
      </c>
      <c r="I96" s="52">
        <v>543</v>
      </c>
      <c r="J96" s="52">
        <v>160</v>
      </c>
      <c r="K96" s="52">
        <v>420</v>
      </c>
      <c r="L96" s="52">
        <v>0.13600000000000001</v>
      </c>
      <c r="N96" s="56">
        <f t="shared" si="4"/>
        <v>26</v>
      </c>
      <c r="O96" s="54">
        <f t="shared" si="5"/>
        <v>2910</v>
      </c>
      <c r="P96" s="57">
        <f t="shared" si="6"/>
        <v>3000</v>
      </c>
      <c r="Q96" s="58">
        <f t="shared" si="7"/>
        <v>0.03</v>
      </c>
    </row>
    <row r="97" spans="1:17" ht="15" hidden="1" x14ac:dyDescent="0.25">
      <c r="A97" s="46">
        <v>96</v>
      </c>
      <c r="B97" s="52" t="s">
        <v>257</v>
      </c>
      <c r="C97" s="52">
        <v>54</v>
      </c>
      <c r="D97" s="52">
        <v>1</v>
      </c>
      <c r="E97" s="52" t="s">
        <v>160</v>
      </c>
      <c r="F97" s="52" t="s">
        <v>256</v>
      </c>
      <c r="G97" s="52">
        <v>320</v>
      </c>
      <c r="H97" s="52">
        <v>0</v>
      </c>
      <c r="I97" s="52">
        <v>580</v>
      </c>
      <c r="J97" s="52">
        <v>170</v>
      </c>
      <c r="K97" s="52">
        <v>450</v>
      </c>
      <c r="L97" s="52">
        <v>0.13600000000000001</v>
      </c>
      <c r="N97" s="56">
        <f t="shared" si="4"/>
        <v>26</v>
      </c>
      <c r="O97" s="54">
        <f t="shared" si="5"/>
        <v>3110</v>
      </c>
      <c r="P97" s="57">
        <f t="shared" si="6"/>
        <v>3240</v>
      </c>
      <c r="Q97" s="58">
        <f t="shared" si="7"/>
        <v>4.0123456790123455E-2</v>
      </c>
    </row>
    <row r="98" spans="1:17" ht="15" hidden="1" x14ac:dyDescent="0.25">
      <c r="A98" s="46">
        <v>97</v>
      </c>
      <c r="B98" s="52" t="s">
        <v>258</v>
      </c>
      <c r="C98" s="52">
        <v>60</v>
      </c>
      <c r="D98" s="52">
        <v>1</v>
      </c>
      <c r="E98" s="52" t="s">
        <v>160</v>
      </c>
      <c r="F98" s="52" t="s">
        <v>256</v>
      </c>
      <c r="G98" s="52">
        <v>360</v>
      </c>
      <c r="H98" s="52">
        <v>0</v>
      </c>
      <c r="I98" s="52">
        <v>652</v>
      </c>
      <c r="J98" s="52">
        <v>190</v>
      </c>
      <c r="K98" s="52">
        <v>505</v>
      </c>
      <c r="L98" s="52">
        <v>0.13600000000000001</v>
      </c>
      <c r="N98" s="56">
        <f t="shared" si="4"/>
        <v>26</v>
      </c>
      <c r="O98" s="54">
        <f t="shared" si="5"/>
        <v>3500</v>
      </c>
      <c r="P98" s="57">
        <f t="shared" si="6"/>
        <v>3600</v>
      </c>
      <c r="Q98" s="58">
        <f t="shared" si="7"/>
        <v>2.7777777777777776E-2</v>
      </c>
    </row>
    <row r="99" spans="1:17" ht="15" hidden="1" x14ac:dyDescent="0.25">
      <c r="A99" s="46">
        <v>98</v>
      </c>
      <c r="B99" s="52" t="s">
        <v>259</v>
      </c>
      <c r="C99" s="52">
        <v>67</v>
      </c>
      <c r="D99" s="52">
        <v>1</v>
      </c>
      <c r="E99" s="52" t="s">
        <v>160</v>
      </c>
      <c r="F99" s="52" t="s">
        <v>256</v>
      </c>
      <c r="G99" s="52">
        <v>400</v>
      </c>
      <c r="H99" s="52">
        <v>0</v>
      </c>
      <c r="I99" s="52">
        <v>723</v>
      </c>
      <c r="J99" s="52">
        <v>210</v>
      </c>
      <c r="K99" s="52">
        <v>560</v>
      </c>
      <c r="L99" s="52">
        <v>0.13600000000000001</v>
      </c>
      <c r="N99" s="56">
        <f t="shared" si="4"/>
        <v>26</v>
      </c>
      <c r="O99" s="54">
        <f t="shared" si="5"/>
        <v>3880</v>
      </c>
      <c r="P99" s="57">
        <f t="shared" si="6"/>
        <v>4020</v>
      </c>
      <c r="Q99" s="58">
        <f t="shared" si="7"/>
        <v>3.482587064676617E-2</v>
      </c>
    </row>
    <row r="100" spans="1:17" ht="15" hidden="1" x14ac:dyDescent="0.25">
      <c r="A100" s="46">
        <v>99</v>
      </c>
      <c r="B100" s="52" t="s">
        <v>260</v>
      </c>
      <c r="C100" s="52">
        <v>50</v>
      </c>
      <c r="D100" s="52">
        <v>1</v>
      </c>
      <c r="E100" s="52" t="s">
        <v>160</v>
      </c>
      <c r="F100" s="52">
        <v>8</v>
      </c>
      <c r="G100" s="52">
        <v>1000</v>
      </c>
      <c r="H100" s="52">
        <v>0</v>
      </c>
      <c r="I100" s="52">
        <v>1935</v>
      </c>
      <c r="J100" s="52">
        <v>700</v>
      </c>
      <c r="K100" s="52">
        <v>1300</v>
      </c>
      <c r="L100" s="52">
        <v>0.17199999999999999</v>
      </c>
      <c r="N100" s="56">
        <f t="shared" si="4"/>
        <v>0</v>
      </c>
      <c r="O100" s="54">
        <f t="shared" si="5"/>
        <v>2910</v>
      </c>
      <c r="P100" s="57">
        <f t="shared" si="6"/>
        <v>3000</v>
      </c>
      <c r="Q100" s="58">
        <f t="shared" si="7"/>
        <v>0.03</v>
      </c>
    </row>
    <row r="101" spans="1:17" ht="15" hidden="1" x14ac:dyDescent="0.25">
      <c r="A101" s="46">
        <v>100</v>
      </c>
      <c r="B101" s="52" t="s">
        <v>261</v>
      </c>
      <c r="C101" s="52">
        <v>50</v>
      </c>
      <c r="D101" s="52">
        <v>1</v>
      </c>
      <c r="E101" s="52" t="s">
        <v>160</v>
      </c>
      <c r="F101" s="52">
        <v>8</v>
      </c>
      <c r="G101" s="52">
        <v>1100</v>
      </c>
      <c r="H101" s="52">
        <v>0</v>
      </c>
      <c r="I101" s="52">
        <v>1935</v>
      </c>
      <c r="J101" s="52">
        <v>800</v>
      </c>
      <c r="K101" s="52">
        <v>1400</v>
      </c>
      <c r="L101" s="52">
        <v>0.17199999999999999</v>
      </c>
      <c r="N101" s="56">
        <f t="shared" si="4"/>
        <v>0</v>
      </c>
      <c r="O101" s="54">
        <f t="shared" si="5"/>
        <v>2910</v>
      </c>
      <c r="P101" s="57">
        <f t="shared" si="6"/>
        <v>3000</v>
      </c>
      <c r="Q101" s="58">
        <f t="shared" si="7"/>
        <v>0.03</v>
      </c>
    </row>
    <row r="102" spans="1:17" ht="15" hidden="1" x14ac:dyDescent="0.25">
      <c r="A102" s="46">
        <v>101</v>
      </c>
      <c r="B102" s="52" t="s">
        <v>262</v>
      </c>
      <c r="C102" s="52">
        <v>50</v>
      </c>
      <c r="D102" s="52">
        <v>1</v>
      </c>
      <c r="E102" s="52" t="s">
        <v>160</v>
      </c>
      <c r="F102" s="52">
        <v>8</v>
      </c>
      <c r="G102" s="52">
        <v>2000</v>
      </c>
      <c r="H102" s="52">
        <v>0</v>
      </c>
      <c r="I102" s="52">
        <v>3200</v>
      </c>
      <c r="J102" s="52">
        <v>1400</v>
      </c>
      <c r="K102" s="52">
        <v>2600</v>
      </c>
      <c r="L102" s="52">
        <v>0.17199999999999999</v>
      </c>
      <c r="N102" s="56">
        <f t="shared" si="4"/>
        <v>0</v>
      </c>
      <c r="O102" s="54">
        <f t="shared" si="5"/>
        <v>2910</v>
      </c>
      <c r="P102" s="57">
        <f t="shared" si="6"/>
        <v>3000</v>
      </c>
      <c r="Q102" s="58">
        <f t="shared" si="7"/>
        <v>0.03</v>
      </c>
    </row>
    <row r="103" spans="1:17" ht="15" hidden="1" x14ac:dyDescent="0.25">
      <c r="A103" s="46">
        <v>102</v>
      </c>
      <c r="B103" s="52" t="s">
        <v>263</v>
      </c>
      <c r="C103" s="52">
        <v>50</v>
      </c>
      <c r="D103" s="52">
        <v>1</v>
      </c>
      <c r="E103" s="52" t="s">
        <v>160</v>
      </c>
      <c r="F103" s="52">
        <v>8</v>
      </c>
      <c r="G103" s="52">
        <v>2500</v>
      </c>
      <c r="H103" s="52">
        <v>0</v>
      </c>
      <c r="I103" s="52">
        <v>4200</v>
      </c>
      <c r="J103" s="52">
        <v>1700</v>
      </c>
      <c r="K103" s="52">
        <v>3600</v>
      </c>
      <c r="L103" s="52">
        <v>0.17199999999999999</v>
      </c>
      <c r="N103" s="56">
        <f t="shared" si="4"/>
        <v>0</v>
      </c>
      <c r="O103" s="54">
        <f t="shared" si="5"/>
        <v>2910</v>
      </c>
      <c r="P103" s="57">
        <f t="shared" si="6"/>
        <v>3000</v>
      </c>
      <c r="Q103" s="58">
        <f t="shared" si="7"/>
        <v>0.03</v>
      </c>
    </row>
    <row r="104" spans="1:17" ht="15" hidden="1" x14ac:dyDescent="0.25">
      <c r="A104" s="46">
        <v>103</v>
      </c>
      <c r="B104" s="52" t="s">
        <v>264</v>
      </c>
      <c r="C104" s="52">
        <v>50</v>
      </c>
      <c r="D104" s="52">
        <v>1</v>
      </c>
      <c r="E104" s="52" t="s">
        <v>160</v>
      </c>
      <c r="F104" s="52">
        <v>8</v>
      </c>
      <c r="G104" s="52">
        <v>3000</v>
      </c>
      <c r="H104" s="52">
        <v>0</v>
      </c>
      <c r="I104" s="52">
        <v>4810</v>
      </c>
      <c r="J104" s="52">
        <v>2400</v>
      </c>
      <c r="K104" s="52">
        <v>3600</v>
      </c>
      <c r="L104" s="52">
        <v>0.17199999999999999</v>
      </c>
      <c r="N104" s="56">
        <f t="shared" si="4"/>
        <v>0</v>
      </c>
      <c r="O104" s="54">
        <f t="shared" si="5"/>
        <v>2910</v>
      </c>
      <c r="P104" s="57">
        <f t="shared" si="6"/>
        <v>3000</v>
      </c>
      <c r="Q104" s="58">
        <f t="shared" si="7"/>
        <v>0.03</v>
      </c>
    </row>
    <row r="105" spans="1:17" ht="15" hidden="1" x14ac:dyDescent="0.25">
      <c r="A105" s="46">
        <v>104</v>
      </c>
      <c r="B105" s="52" t="s">
        <v>265</v>
      </c>
      <c r="C105" s="52">
        <v>50</v>
      </c>
      <c r="D105" s="52">
        <v>1</v>
      </c>
      <c r="E105" s="52" t="s">
        <v>160</v>
      </c>
      <c r="F105" s="52">
        <v>8</v>
      </c>
      <c r="G105" s="52">
        <v>500</v>
      </c>
      <c r="H105" s="52">
        <v>0</v>
      </c>
      <c r="I105" s="52">
        <v>940</v>
      </c>
      <c r="J105" s="52">
        <v>400</v>
      </c>
      <c r="K105" s="52">
        <v>650</v>
      </c>
      <c r="L105" s="52">
        <v>0.17199999999999999</v>
      </c>
      <c r="N105" s="56">
        <f t="shared" si="4"/>
        <v>0</v>
      </c>
      <c r="O105" s="54">
        <f t="shared" si="5"/>
        <v>2910</v>
      </c>
      <c r="P105" s="57">
        <f t="shared" si="6"/>
        <v>3000</v>
      </c>
      <c r="Q105" s="58">
        <f t="shared" si="7"/>
        <v>0.03</v>
      </c>
    </row>
    <row r="106" spans="1:17" ht="15" hidden="1" x14ac:dyDescent="0.25">
      <c r="A106" s="46">
        <v>105</v>
      </c>
      <c r="B106" s="52" t="s">
        <v>266</v>
      </c>
      <c r="C106" s="52">
        <v>50</v>
      </c>
      <c r="D106" s="52">
        <v>1</v>
      </c>
      <c r="E106" s="52" t="s">
        <v>160</v>
      </c>
      <c r="F106" s="52">
        <v>8</v>
      </c>
      <c r="G106" s="52">
        <v>550</v>
      </c>
      <c r="H106" s="52">
        <v>0</v>
      </c>
      <c r="I106" s="52">
        <v>940</v>
      </c>
      <c r="J106" s="52">
        <v>450</v>
      </c>
      <c r="K106" s="52">
        <v>700</v>
      </c>
      <c r="L106" s="52">
        <v>0.17199999999999999</v>
      </c>
      <c r="N106" s="56">
        <f t="shared" si="4"/>
        <v>0</v>
      </c>
      <c r="O106" s="54">
        <f t="shared" si="5"/>
        <v>2910</v>
      </c>
      <c r="P106" s="57">
        <f t="shared" si="6"/>
        <v>3000</v>
      </c>
      <c r="Q106" s="58">
        <f t="shared" si="7"/>
        <v>0.03</v>
      </c>
    </row>
    <row r="107" spans="1:17" ht="15" hidden="1" x14ac:dyDescent="0.25">
      <c r="A107" s="46">
        <v>106</v>
      </c>
      <c r="B107" s="52" t="s">
        <v>267</v>
      </c>
      <c r="C107" s="52">
        <v>50</v>
      </c>
      <c r="D107" s="52">
        <v>1</v>
      </c>
      <c r="E107" s="52" t="s">
        <v>160</v>
      </c>
      <c r="F107" s="52">
        <v>5</v>
      </c>
      <c r="G107" s="52">
        <v>500</v>
      </c>
      <c r="H107" s="52">
        <v>0</v>
      </c>
      <c r="I107" s="52">
        <v>850</v>
      </c>
      <c r="J107" s="52">
        <v>125</v>
      </c>
      <c r="K107" s="52">
        <v>600</v>
      </c>
      <c r="L107" s="52">
        <v>9.1999999999999998E-2</v>
      </c>
      <c r="N107" s="56">
        <f t="shared" si="4"/>
        <v>0</v>
      </c>
      <c r="O107" s="54">
        <f t="shared" si="5"/>
        <v>2910</v>
      </c>
      <c r="P107" s="57">
        <f t="shared" si="6"/>
        <v>3000</v>
      </c>
      <c r="Q107" s="58">
        <f t="shared" si="7"/>
        <v>0.03</v>
      </c>
    </row>
    <row r="108" spans="1:17" ht="15" x14ac:dyDescent="0.25">
      <c r="A108" s="46">
        <v>107</v>
      </c>
      <c r="B108" s="52" t="s">
        <v>268</v>
      </c>
      <c r="C108" s="52">
        <v>50</v>
      </c>
      <c r="D108" s="52">
        <v>1</v>
      </c>
      <c r="E108" s="52" t="s">
        <v>160</v>
      </c>
      <c r="F108" s="52" t="s">
        <v>228</v>
      </c>
      <c r="G108" s="52">
        <v>100</v>
      </c>
      <c r="H108" s="52">
        <v>0</v>
      </c>
      <c r="I108" s="52">
        <v>200</v>
      </c>
      <c r="J108" s="52">
        <v>25</v>
      </c>
      <c r="K108" s="52">
        <v>160</v>
      </c>
      <c r="L108" s="52">
        <v>0.10299999999999999</v>
      </c>
      <c r="N108" s="56">
        <f t="shared" si="4"/>
        <v>27</v>
      </c>
      <c r="O108" s="54">
        <f t="shared" si="5"/>
        <v>2910</v>
      </c>
      <c r="P108" s="57">
        <f t="shared" si="6"/>
        <v>3000</v>
      </c>
      <c r="Q108" s="58">
        <f t="shared" si="7"/>
        <v>0.03</v>
      </c>
    </row>
    <row r="109" spans="1:17" ht="15" x14ac:dyDescent="0.25">
      <c r="A109" s="46">
        <v>108</v>
      </c>
      <c r="B109" s="52" t="s">
        <v>269</v>
      </c>
      <c r="C109" s="52">
        <v>50</v>
      </c>
      <c r="D109" s="52">
        <v>1</v>
      </c>
      <c r="E109" s="52" t="s">
        <v>160</v>
      </c>
      <c r="F109" s="52" t="s">
        <v>228</v>
      </c>
      <c r="G109" s="52">
        <v>100</v>
      </c>
      <c r="H109" s="52">
        <v>0</v>
      </c>
      <c r="I109" s="52">
        <v>180</v>
      </c>
      <c r="J109" s="52">
        <v>30</v>
      </c>
      <c r="K109" s="52">
        <v>160</v>
      </c>
      <c r="L109" s="52">
        <v>0.10299999999999999</v>
      </c>
      <c r="N109" s="56">
        <f t="shared" si="4"/>
        <v>27</v>
      </c>
      <c r="O109" s="54">
        <f t="shared" si="5"/>
        <v>2910</v>
      </c>
      <c r="P109" s="57">
        <f t="shared" si="6"/>
        <v>3000</v>
      </c>
      <c r="Q109" s="58">
        <f t="shared" si="7"/>
        <v>0.03</v>
      </c>
    </row>
    <row r="110" spans="1:17" ht="15" x14ac:dyDescent="0.25">
      <c r="A110" s="46">
        <v>109</v>
      </c>
      <c r="B110" s="52" t="s">
        <v>270</v>
      </c>
      <c r="C110" s="52">
        <v>50</v>
      </c>
      <c r="D110" s="52">
        <v>1</v>
      </c>
      <c r="E110" s="52" t="s">
        <v>160</v>
      </c>
      <c r="F110" s="52" t="s">
        <v>228</v>
      </c>
      <c r="G110" s="52">
        <v>125</v>
      </c>
      <c r="H110" s="52">
        <v>0</v>
      </c>
      <c r="I110" s="52">
        <v>203</v>
      </c>
      <c r="J110" s="52">
        <v>25</v>
      </c>
      <c r="K110" s="52">
        <v>180</v>
      </c>
      <c r="L110" s="52">
        <v>0.10299999999999999</v>
      </c>
      <c r="N110" s="56">
        <f t="shared" si="4"/>
        <v>0</v>
      </c>
      <c r="O110" s="54">
        <f t="shared" si="5"/>
        <v>2910</v>
      </c>
      <c r="P110" s="57">
        <f t="shared" si="6"/>
        <v>3000</v>
      </c>
      <c r="Q110" s="58">
        <f t="shared" si="7"/>
        <v>0.03</v>
      </c>
    </row>
    <row r="111" spans="1:17" ht="15" x14ac:dyDescent="0.25">
      <c r="A111" s="46">
        <v>110</v>
      </c>
      <c r="B111" s="52" t="s">
        <v>271</v>
      </c>
      <c r="C111" s="52">
        <v>50</v>
      </c>
      <c r="D111" s="52">
        <v>1</v>
      </c>
      <c r="E111" s="52" t="s">
        <v>160</v>
      </c>
      <c r="F111" s="52" t="s">
        <v>228</v>
      </c>
      <c r="G111" s="52">
        <v>700</v>
      </c>
      <c r="H111" s="52">
        <v>0</v>
      </c>
      <c r="I111" s="52">
        <v>1050</v>
      </c>
      <c r="J111" s="52">
        <v>175</v>
      </c>
      <c r="K111" s="52">
        <v>900</v>
      </c>
      <c r="L111" s="52">
        <v>0.10299999999999999</v>
      </c>
      <c r="N111" s="56">
        <f t="shared" si="4"/>
        <v>0</v>
      </c>
      <c r="O111" s="54">
        <f t="shared" si="5"/>
        <v>2910</v>
      </c>
      <c r="P111" s="57">
        <f t="shared" si="6"/>
        <v>3000</v>
      </c>
      <c r="Q111" s="58">
        <f t="shared" si="7"/>
        <v>0.03</v>
      </c>
    </row>
    <row r="112" spans="1:17" ht="15" hidden="1" x14ac:dyDescent="0.25">
      <c r="A112" s="46">
        <v>111</v>
      </c>
      <c r="B112" s="52" t="s">
        <v>272</v>
      </c>
      <c r="C112" s="52">
        <v>50</v>
      </c>
      <c r="D112" s="52">
        <v>1</v>
      </c>
      <c r="E112" s="52" t="s">
        <v>160</v>
      </c>
      <c r="F112" s="52" t="s">
        <v>256</v>
      </c>
      <c r="G112" s="52">
        <v>300</v>
      </c>
      <c r="H112" s="52">
        <v>0</v>
      </c>
      <c r="I112" s="52">
        <v>543</v>
      </c>
      <c r="J112" s="52">
        <v>75</v>
      </c>
      <c r="K112" s="52">
        <v>420</v>
      </c>
      <c r="L112" s="52">
        <v>0.13600000000000001</v>
      </c>
      <c r="N112" s="56">
        <f t="shared" si="4"/>
        <v>0</v>
      </c>
      <c r="O112" s="54">
        <f t="shared" si="5"/>
        <v>2910</v>
      </c>
      <c r="P112" s="57">
        <f t="shared" si="6"/>
        <v>3000</v>
      </c>
      <c r="Q112" s="58">
        <f t="shared" si="7"/>
        <v>0.03</v>
      </c>
    </row>
    <row r="113" spans="1:17" ht="15" hidden="1" x14ac:dyDescent="0.25">
      <c r="A113" s="46">
        <v>112</v>
      </c>
      <c r="B113" s="52" t="s">
        <v>273</v>
      </c>
      <c r="C113" s="52">
        <v>50</v>
      </c>
      <c r="D113" s="52">
        <v>1</v>
      </c>
      <c r="E113" s="52" t="s">
        <v>160</v>
      </c>
      <c r="F113" s="52">
        <v>5</v>
      </c>
      <c r="G113" s="52">
        <v>60</v>
      </c>
      <c r="H113" s="52">
        <v>0</v>
      </c>
      <c r="I113" s="52">
        <v>106</v>
      </c>
      <c r="J113" s="52">
        <v>10</v>
      </c>
      <c r="K113" s="52">
        <v>80</v>
      </c>
      <c r="L113" s="52">
        <v>9.1999999999999998E-2</v>
      </c>
      <c r="N113" s="56">
        <f t="shared" si="4"/>
        <v>0</v>
      </c>
      <c r="O113" s="54">
        <f t="shared" si="5"/>
        <v>2910</v>
      </c>
      <c r="P113" s="57">
        <f t="shared" si="6"/>
        <v>3000</v>
      </c>
      <c r="Q113" s="58">
        <f t="shared" si="7"/>
        <v>0.03</v>
      </c>
    </row>
    <row r="114" spans="1:17" ht="15" hidden="1" x14ac:dyDescent="0.25">
      <c r="A114" s="46">
        <v>113</v>
      </c>
      <c r="B114" s="52" t="s">
        <v>274</v>
      </c>
      <c r="C114" s="52">
        <v>50</v>
      </c>
      <c r="D114" s="52">
        <v>1</v>
      </c>
      <c r="E114" s="52" t="s">
        <v>160</v>
      </c>
      <c r="F114" s="52">
        <v>10</v>
      </c>
      <c r="G114" s="52">
        <v>10000</v>
      </c>
      <c r="H114" s="52">
        <v>0</v>
      </c>
      <c r="I114" s="52">
        <v>16100</v>
      </c>
      <c r="J114" s="52">
        <v>7500</v>
      </c>
      <c r="K114" s="52">
        <v>12500</v>
      </c>
      <c r="L114" s="52">
        <v>0.22900000000000001</v>
      </c>
      <c r="N114" s="56">
        <f t="shared" si="4"/>
        <v>0</v>
      </c>
      <c r="O114" s="54">
        <f t="shared" si="5"/>
        <v>2910</v>
      </c>
      <c r="P114" s="118">
        <f t="shared" si="6"/>
        <v>3000</v>
      </c>
      <c r="Q114" s="58">
        <f t="shared" si="7"/>
        <v>0.03</v>
      </c>
    </row>
    <row r="115" spans="1:17" ht="15" hidden="1" x14ac:dyDescent="0.25">
      <c r="A115" s="46">
        <v>114</v>
      </c>
      <c r="B115" s="52" t="s">
        <v>275</v>
      </c>
      <c r="C115" s="52">
        <v>50</v>
      </c>
      <c r="D115" s="52">
        <v>1</v>
      </c>
      <c r="E115" s="52" t="s">
        <v>160</v>
      </c>
      <c r="F115" s="52">
        <v>10</v>
      </c>
      <c r="G115" s="52">
        <v>8000</v>
      </c>
      <c r="H115" s="52">
        <v>0</v>
      </c>
      <c r="I115" s="52">
        <v>12181</v>
      </c>
      <c r="J115" s="52">
        <v>6000</v>
      </c>
      <c r="K115" s="52">
        <v>10000</v>
      </c>
      <c r="L115" s="52">
        <v>0.22900000000000001</v>
      </c>
      <c r="N115" s="56">
        <f t="shared" si="4"/>
        <v>0</v>
      </c>
      <c r="O115" s="54">
        <f t="shared" si="5"/>
        <v>2910</v>
      </c>
      <c r="P115" s="57">
        <f t="shared" si="6"/>
        <v>3000</v>
      </c>
      <c r="Q115" s="58">
        <f t="shared" si="7"/>
        <v>0.03</v>
      </c>
    </row>
    <row r="116" spans="1:17" ht="15" hidden="1" x14ac:dyDescent="0.25">
      <c r="A116" s="46">
        <v>115</v>
      </c>
      <c r="B116" s="52" t="s">
        <v>276</v>
      </c>
      <c r="C116" s="52">
        <v>50</v>
      </c>
      <c r="D116" s="52">
        <v>1</v>
      </c>
      <c r="E116" s="52" t="s">
        <v>160</v>
      </c>
      <c r="F116" s="52">
        <v>16</v>
      </c>
      <c r="G116" s="52">
        <v>2880</v>
      </c>
      <c r="H116" s="52">
        <v>0</v>
      </c>
      <c r="I116" s="52">
        <v>5792</v>
      </c>
      <c r="J116" s="52">
        <v>2160</v>
      </c>
      <c r="K116" s="52">
        <v>3600</v>
      </c>
      <c r="L116" s="52"/>
      <c r="N116" s="56">
        <f t="shared" si="4"/>
        <v>13</v>
      </c>
      <c r="O116" s="54">
        <f t="shared" si="5"/>
        <v>2910</v>
      </c>
      <c r="P116" s="57">
        <f t="shared" si="6"/>
        <v>3000</v>
      </c>
      <c r="Q116" s="58">
        <f t="shared" si="7"/>
        <v>0.03</v>
      </c>
    </row>
    <row r="117" spans="1:17" ht="15" hidden="1" x14ac:dyDescent="0.25">
      <c r="A117" s="46">
        <v>116</v>
      </c>
      <c r="B117" s="52" t="s">
        <v>277</v>
      </c>
      <c r="C117" s="52">
        <v>50</v>
      </c>
      <c r="D117" s="52">
        <v>1</v>
      </c>
      <c r="E117" s="52" t="s">
        <v>160</v>
      </c>
      <c r="F117" s="52">
        <v>16</v>
      </c>
      <c r="G117" s="52">
        <v>5000</v>
      </c>
      <c r="H117" s="52">
        <v>0</v>
      </c>
      <c r="I117" s="52">
        <v>9000</v>
      </c>
      <c r="J117" s="52">
        <v>3840</v>
      </c>
      <c r="K117" s="52">
        <v>6240</v>
      </c>
      <c r="L117" s="52"/>
      <c r="N117" s="56">
        <f t="shared" si="4"/>
        <v>13</v>
      </c>
      <c r="O117" s="54">
        <f t="shared" si="5"/>
        <v>2910</v>
      </c>
      <c r="P117" s="57">
        <f t="shared" si="6"/>
        <v>3000</v>
      </c>
      <c r="Q117" s="58">
        <f t="shared" si="7"/>
        <v>0.03</v>
      </c>
    </row>
    <row r="118" spans="1:17" ht="15" hidden="1" x14ac:dyDescent="0.25">
      <c r="A118" s="46">
        <v>117</v>
      </c>
      <c r="B118" s="52" t="s">
        <v>278</v>
      </c>
      <c r="C118" s="52">
        <v>50</v>
      </c>
      <c r="D118" s="52">
        <v>1</v>
      </c>
      <c r="E118" s="52" t="s">
        <v>160</v>
      </c>
      <c r="F118" s="52">
        <v>2</v>
      </c>
      <c r="G118" s="52">
        <v>18</v>
      </c>
      <c r="H118" s="52">
        <v>0</v>
      </c>
      <c r="I118" s="52">
        <v>31</v>
      </c>
      <c r="J118" s="52">
        <v>14</v>
      </c>
      <c r="K118" s="52">
        <v>24</v>
      </c>
      <c r="L118" s="52">
        <v>5.5E-2</v>
      </c>
      <c r="N118" s="56">
        <f t="shared" si="4"/>
        <v>0</v>
      </c>
      <c r="O118" s="54">
        <f t="shared" si="5"/>
        <v>2910</v>
      </c>
      <c r="P118" s="57">
        <f t="shared" si="6"/>
        <v>3000</v>
      </c>
      <c r="Q118" s="58">
        <f t="shared" si="7"/>
        <v>0.03</v>
      </c>
    </row>
    <row r="119" spans="1:17" ht="15" hidden="1" x14ac:dyDescent="0.25">
      <c r="A119" s="46">
        <v>118</v>
      </c>
      <c r="B119" s="52" t="s">
        <v>279</v>
      </c>
      <c r="C119" s="52">
        <v>50</v>
      </c>
      <c r="D119" s="52">
        <v>1</v>
      </c>
      <c r="E119" s="52" t="s">
        <v>160</v>
      </c>
      <c r="F119" s="52">
        <v>2</v>
      </c>
      <c r="G119" s="52">
        <v>25</v>
      </c>
      <c r="H119" s="52">
        <v>0</v>
      </c>
      <c r="I119" s="52">
        <v>36</v>
      </c>
      <c r="J119" s="52">
        <v>19</v>
      </c>
      <c r="K119" s="52">
        <v>31</v>
      </c>
      <c r="L119" s="52">
        <v>5.5E-2</v>
      </c>
      <c r="N119" s="56">
        <f t="shared" si="4"/>
        <v>24</v>
      </c>
      <c r="O119" s="54">
        <f t="shared" si="5"/>
        <v>2910</v>
      </c>
      <c r="P119" s="57">
        <f t="shared" si="6"/>
        <v>3000</v>
      </c>
      <c r="Q119" s="58">
        <f t="shared" si="7"/>
        <v>0.03</v>
      </c>
    </row>
    <row r="120" spans="1:17" ht="15" hidden="1" x14ac:dyDescent="0.25">
      <c r="A120" s="46">
        <v>119</v>
      </c>
      <c r="B120" s="52" t="s">
        <v>280</v>
      </c>
      <c r="C120" s="52">
        <v>50</v>
      </c>
      <c r="D120" s="52">
        <v>1</v>
      </c>
      <c r="E120" s="52" t="s">
        <v>160</v>
      </c>
      <c r="F120" s="52">
        <v>2</v>
      </c>
      <c r="G120" s="52">
        <v>28</v>
      </c>
      <c r="H120" s="52">
        <v>0</v>
      </c>
      <c r="I120" s="52">
        <v>37</v>
      </c>
      <c r="J120" s="52">
        <v>10</v>
      </c>
      <c r="K120" s="52">
        <v>34</v>
      </c>
      <c r="L120" s="52">
        <v>5.5E-2</v>
      </c>
      <c r="N120" s="56">
        <f t="shared" si="4"/>
        <v>24</v>
      </c>
      <c r="O120" s="54">
        <f t="shared" si="5"/>
        <v>2910</v>
      </c>
      <c r="P120" s="57">
        <f t="shared" si="6"/>
        <v>3000</v>
      </c>
      <c r="Q120" s="58">
        <f t="shared" si="7"/>
        <v>0.03</v>
      </c>
    </row>
    <row r="121" spans="1:17" ht="15" hidden="1" x14ac:dyDescent="0.25">
      <c r="A121" s="46">
        <v>120</v>
      </c>
      <c r="B121" s="52" t="s">
        <v>281</v>
      </c>
      <c r="C121" s="52">
        <v>50</v>
      </c>
      <c r="D121" s="52">
        <v>1</v>
      </c>
      <c r="E121" s="52" t="s">
        <v>160</v>
      </c>
      <c r="F121" s="52">
        <v>2</v>
      </c>
      <c r="G121" s="52">
        <v>35</v>
      </c>
      <c r="H121" s="52">
        <v>0</v>
      </c>
      <c r="I121" s="52">
        <v>51</v>
      </c>
      <c r="J121" s="52">
        <v>10</v>
      </c>
      <c r="K121" s="52">
        <v>45</v>
      </c>
      <c r="L121" s="52">
        <v>5.5E-2</v>
      </c>
      <c r="N121" s="56">
        <f t="shared" si="4"/>
        <v>23</v>
      </c>
      <c r="O121" s="54">
        <f t="shared" si="5"/>
        <v>2910</v>
      </c>
      <c r="P121" s="57">
        <f t="shared" si="6"/>
        <v>3000</v>
      </c>
      <c r="Q121" s="58">
        <f t="shared" si="7"/>
        <v>0.03</v>
      </c>
    </row>
    <row r="122" spans="1:17" ht="15" hidden="1" x14ac:dyDescent="0.25">
      <c r="A122" s="46">
        <v>121</v>
      </c>
      <c r="B122" s="52" t="s">
        <v>282</v>
      </c>
      <c r="C122" s="52">
        <v>100</v>
      </c>
      <c r="D122" s="52">
        <v>1</v>
      </c>
      <c r="E122" s="52" t="s">
        <v>160</v>
      </c>
      <c r="F122" s="52">
        <v>2</v>
      </c>
      <c r="G122" s="52">
        <v>50</v>
      </c>
      <c r="H122" s="52">
        <v>0</v>
      </c>
      <c r="I122" s="52">
        <v>72</v>
      </c>
      <c r="J122" s="52">
        <v>38</v>
      </c>
      <c r="K122" s="52">
        <v>62</v>
      </c>
      <c r="L122" s="52">
        <v>5.5E-2</v>
      </c>
      <c r="N122" s="56">
        <f t="shared" si="4"/>
        <v>24</v>
      </c>
      <c r="O122" s="54">
        <f t="shared" si="5"/>
        <v>5820</v>
      </c>
      <c r="P122" s="57">
        <f t="shared" si="6"/>
        <v>6000</v>
      </c>
      <c r="Q122" s="58">
        <f t="shared" si="7"/>
        <v>0.03</v>
      </c>
    </row>
    <row r="123" spans="1:17" ht="15" hidden="1" x14ac:dyDescent="0.25">
      <c r="A123" s="46">
        <v>122</v>
      </c>
      <c r="B123" s="52" t="s">
        <v>283</v>
      </c>
      <c r="C123" s="52">
        <v>100</v>
      </c>
      <c r="D123" s="52">
        <v>1</v>
      </c>
      <c r="E123" s="52" t="s">
        <v>160</v>
      </c>
      <c r="F123" s="52">
        <v>2</v>
      </c>
      <c r="G123" s="52">
        <v>56</v>
      </c>
      <c r="H123" s="52">
        <v>0</v>
      </c>
      <c r="I123" s="52">
        <v>74</v>
      </c>
      <c r="J123" s="52">
        <v>20</v>
      </c>
      <c r="K123" s="52">
        <v>68</v>
      </c>
      <c r="L123" s="52">
        <v>5.5E-2</v>
      </c>
      <c r="N123" s="56">
        <f t="shared" si="4"/>
        <v>24</v>
      </c>
      <c r="O123" s="54">
        <f t="shared" si="5"/>
        <v>5820</v>
      </c>
      <c r="P123" s="57">
        <f t="shared" si="6"/>
        <v>6000</v>
      </c>
      <c r="Q123" s="58">
        <f t="shared" si="7"/>
        <v>0.03</v>
      </c>
    </row>
    <row r="124" spans="1:17" ht="15" hidden="1" x14ac:dyDescent="0.25">
      <c r="A124" s="46">
        <v>123</v>
      </c>
      <c r="B124" s="52" t="s">
        <v>284</v>
      </c>
      <c r="C124" s="52">
        <v>50</v>
      </c>
      <c r="D124" s="52">
        <v>1</v>
      </c>
      <c r="E124" s="52" t="s">
        <v>160</v>
      </c>
      <c r="F124" s="52" t="s">
        <v>97</v>
      </c>
      <c r="G124" s="52">
        <v>100</v>
      </c>
      <c r="H124" s="52">
        <v>0</v>
      </c>
      <c r="I124" s="52">
        <v>171</v>
      </c>
      <c r="J124" s="52">
        <v>80</v>
      </c>
      <c r="K124" s="52">
        <v>120</v>
      </c>
      <c r="L124" s="52">
        <v>6.9000000000000006E-2</v>
      </c>
      <c r="N124" s="56">
        <f t="shared" si="4"/>
        <v>23</v>
      </c>
      <c r="O124" s="54">
        <f t="shared" si="5"/>
        <v>2910</v>
      </c>
      <c r="P124" s="57">
        <f t="shared" si="6"/>
        <v>3000</v>
      </c>
      <c r="Q124" s="58">
        <f t="shared" si="7"/>
        <v>0.03</v>
      </c>
    </row>
    <row r="125" spans="1:17" ht="15" hidden="1" x14ac:dyDescent="0.25">
      <c r="A125" s="46">
        <v>124</v>
      </c>
      <c r="B125" s="52" t="s">
        <v>285</v>
      </c>
      <c r="C125" s="52">
        <v>49</v>
      </c>
      <c r="D125" s="52">
        <v>1</v>
      </c>
      <c r="E125" s="52" t="s">
        <v>160</v>
      </c>
      <c r="F125" s="52" t="s">
        <v>97</v>
      </c>
      <c r="G125" s="52">
        <v>100</v>
      </c>
      <c r="H125" s="52">
        <v>0</v>
      </c>
      <c r="I125" s="52">
        <v>169</v>
      </c>
      <c r="J125" s="52">
        <v>80</v>
      </c>
      <c r="K125" s="52">
        <v>120</v>
      </c>
      <c r="L125" s="52">
        <v>6.9000000000000006E-2</v>
      </c>
      <c r="N125" s="56">
        <f t="shared" si="4"/>
        <v>23</v>
      </c>
      <c r="O125" s="54">
        <f t="shared" si="5"/>
        <v>2830</v>
      </c>
      <c r="P125" s="57">
        <f t="shared" si="6"/>
        <v>2940</v>
      </c>
      <c r="Q125" s="58">
        <f t="shared" si="7"/>
        <v>3.7414965986394558E-2</v>
      </c>
    </row>
    <row r="126" spans="1:17" ht="15" hidden="1" x14ac:dyDescent="0.25">
      <c r="A126" s="46">
        <v>125</v>
      </c>
      <c r="B126" s="52" t="s">
        <v>286</v>
      </c>
      <c r="C126" s="52">
        <v>63</v>
      </c>
      <c r="D126" s="52">
        <v>1</v>
      </c>
      <c r="E126" s="52" t="s">
        <v>160</v>
      </c>
      <c r="F126" s="52" t="s">
        <v>97</v>
      </c>
      <c r="G126" s="52">
        <v>125</v>
      </c>
      <c r="H126" s="52">
        <v>0</v>
      </c>
      <c r="I126" s="52">
        <v>214</v>
      </c>
      <c r="J126" s="52">
        <v>100</v>
      </c>
      <c r="K126" s="52">
        <v>150</v>
      </c>
      <c r="L126" s="52">
        <v>6.9000000000000006E-2</v>
      </c>
      <c r="N126" s="56">
        <f t="shared" si="4"/>
        <v>23</v>
      </c>
      <c r="O126" s="54">
        <f t="shared" si="5"/>
        <v>3640</v>
      </c>
      <c r="P126" s="57">
        <f t="shared" si="6"/>
        <v>3780</v>
      </c>
      <c r="Q126" s="58">
        <f t="shared" si="7"/>
        <v>3.7037037037037035E-2</v>
      </c>
    </row>
    <row r="127" spans="1:17" ht="15" hidden="1" x14ac:dyDescent="0.25">
      <c r="A127" s="46">
        <v>126</v>
      </c>
      <c r="B127" s="52" t="s">
        <v>287</v>
      </c>
      <c r="C127" s="52">
        <v>60.8</v>
      </c>
      <c r="D127" s="52">
        <v>1</v>
      </c>
      <c r="E127" s="52" t="s">
        <v>160</v>
      </c>
      <c r="F127" s="52" t="s">
        <v>97</v>
      </c>
      <c r="G127" s="52">
        <v>125</v>
      </c>
      <c r="H127" s="52">
        <v>0</v>
      </c>
      <c r="I127" s="52">
        <v>212</v>
      </c>
      <c r="J127" s="52">
        <v>100</v>
      </c>
      <c r="K127" s="52">
        <v>150</v>
      </c>
      <c r="L127" s="52">
        <v>6.9000000000000006E-2</v>
      </c>
      <c r="N127" s="56">
        <f t="shared" si="4"/>
        <v>23</v>
      </c>
      <c r="O127" s="54">
        <f t="shared" si="5"/>
        <v>3640</v>
      </c>
      <c r="P127" s="57">
        <f t="shared" si="6"/>
        <v>3648</v>
      </c>
      <c r="Q127" s="58">
        <f t="shared" si="7"/>
        <v>2.1929824561403508E-3</v>
      </c>
    </row>
    <row r="128" spans="1:17" ht="15" hidden="1" x14ac:dyDescent="0.25">
      <c r="A128" s="46">
        <v>127</v>
      </c>
      <c r="B128" s="52" t="s">
        <v>288</v>
      </c>
      <c r="C128" s="52">
        <v>80</v>
      </c>
      <c r="D128" s="52">
        <v>1</v>
      </c>
      <c r="E128" s="52" t="s">
        <v>160</v>
      </c>
      <c r="F128" s="52" t="s">
        <v>97</v>
      </c>
      <c r="G128" s="52">
        <v>160</v>
      </c>
      <c r="H128" s="52">
        <v>0</v>
      </c>
      <c r="I128" s="52">
        <v>274</v>
      </c>
      <c r="J128" s="52">
        <v>130</v>
      </c>
      <c r="K128" s="52">
        <v>190</v>
      </c>
      <c r="L128" s="52">
        <v>6.9000000000000006E-2</v>
      </c>
      <c r="N128" s="56">
        <f t="shared" si="4"/>
        <v>23</v>
      </c>
      <c r="O128" s="54">
        <f t="shared" si="5"/>
        <v>4660</v>
      </c>
      <c r="P128" s="57">
        <f t="shared" si="6"/>
        <v>4800</v>
      </c>
      <c r="Q128" s="58">
        <f t="shared" si="7"/>
        <v>2.9166666666666667E-2</v>
      </c>
    </row>
    <row r="129" spans="1:17" ht="15" hidden="1" x14ac:dyDescent="0.25">
      <c r="A129" s="46">
        <v>128</v>
      </c>
      <c r="B129" s="52" t="s">
        <v>289</v>
      </c>
      <c r="C129" s="52">
        <v>78</v>
      </c>
      <c r="D129" s="52">
        <v>1</v>
      </c>
      <c r="E129" s="52" t="s">
        <v>160</v>
      </c>
      <c r="F129" s="52" t="s">
        <v>97</v>
      </c>
      <c r="G129" s="52">
        <v>160</v>
      </c>
      <c r="H129" s="52">
        <v>0</v>
      </c>
      <c r="I129" s="52">
        <v>271</v>
      </c>
      <c r="J129" s="52">
        <v>128</v>
      </c>
      <c r="K129" s="52">
        <v>192</v>
      </c>
      <c r="L129" s="52">
        <v>6.9000000000000006E-2</v>
      </c>
      <c r="N129" s="56">
        <f t="shared" si="4"/>
        <v>23</v>
      </c>
      <c r="O129" s="54">
        <f t="shared" si="5"/>
        <v>4660</v>
      </c>
      <c r="P129" s="57">
        <f t="shared" si="6"/>
        <v>4680</v>
      </c>
      <c r="Q129" s="58">
        <f t="shared" si="7"/>
        <v>4.2735042735042739E-3</v>
      </c>
    </row>
    <row r="130" spans="1:17" ht="15" hidden="1" x14ac:dyDescent="0.25">
      <c r="A130" s="46">
        <v>129</v>
      </c>
      <c r="B130" s="52" t="s">
        <v>290</v>
      </c>
      <c r="C130" s="52">
        <v>90</v>
      </c>
      <c r="D130" s="52">
        <v>1</v>
      </c>
      <c r="E130" s="52" t="s">
        <v>160</v>
      </c>
      <c r="F130" s="52" t="s">
        <v>97</v>
      </c>
      <c r="G130" s="52">
        <v>180</v>
      </c>
      <c r="H130" s="52">
        <v>0</v>
      </c>
      <c r="I130" s="52">
        <v>308</v>
      </c>
      <c r="J130" s="52">
        <v>150</v>
      </c>
      <c r="K130" s="52">
        <v>220</v>
      </c>
      <c r="L130" s="52">
        <v>6.9000000000000006E-2</v>
      </c>
      <c r="N130" s="56">
        <f t="shared" ref="N130:N193" si="8">IFERROR(SEARCH("@",B130),0)</f>
        <v>23</v>
      </c>
      <c r="O130" s="54">
        <f t="shared" ref="O130:O193" si="9">IF(N130&gt;0,MID(B130,N130+2,5)*1,C130*60*0.97)</f>
        <v>5240</v>
      </c>
      <c r="P130" s="57">
        <f t="shared" ref="P130:P193" si="10">C130*60</f>
        <v>5400</v>
      </c>
      <c r="Q130" s="58">
        <f t="shared" ref="Q130:Q193" si="11">IF(O130&lt;&gt;"",(P130-O130)/P130,"")</f>
        <v>2.9629629629629631E-2</v>
      </c>
    </row>
    <row r="131" spans="1:17" ht="15" hidden="1" x14ac:dyDescent="0.25">
      <c r="A131" s="46">
        <v>130</v>
      </c>
      <c r="B131" s="52" t="s">
        <v>291</v>
      </c>
      <c r="C131" s="52">
        <v>88</v>
      </c>
      <c r="D131" s="52">
        <v>1</v>
      </c>
      <c r="E131" s="52" t="s">
        <v>160</v>
      </c>
      <c r="F131" s="52" t="s">
        <v>97</v>
      </c>
      <c r="G131" s="52">
        <v>180</v>
      </c>
      <c r="H131" s="52">
        <v>0</v>
      </c>
      <c r="I131" s="52">
        <v>305</v>
      </c>
      <c r="J131" s="52">
        <v>144</v>
      </c>
      <c r="K131" s="52">
        <v>216</v>
      </c>
      <c r="L131" s="52">
        <v>6.9000000000000006E-2</v>
      </c>
      <c r="N131" s="56">
        <f t="shared" si="8"/>
        <v>23</v>
      </c>
      <c r="O131" s="54">
        <f t="shared" si="9"/>
        <v>5240</v>
      </c>
      <c r="P131" s="57">
        <f t="shared" si="10"/>
        <v>5280</v>
      </c>
      <c r="Q131" s="58">
        <f t="shared" si="11"/>
        <v>7.575757575757576E-3</v>
      </c>
    </row>
    <row r="132" spans="1:17" ht="15" hidden="1" x14ac:dyDescent="0.25">
      <c r="A132" s="46">
        <v>131</v>
      </c>
      <c r="B132" s="52" t="s">
        <v>292</v>
      </c>
      <c r="C132" s="52">
        <v>100</v>
      </c>
      <c r="D132" s="52">
        <v>1</v>
      </c>
      <c r="E132" s="52" t="s">
        <v>160</v>
      </c>
      <c r="F132" s="52" t="s">
        <v>97</v>
      </c>
      <c r="G132" s="52">
        <v>200</v>
      </c>
      <c r="H132" s="52">
        <v>0</v>
      </c>
      <c r="I132" s="52">
        <v>342</v>
      </c>
      <c r="J132" s="52">
        <v>160</v>
      </c>
      <c r="K132" s="52">
        <v>240</v>
      </c>
      <c r="L132" s="52">
        <v>6.9000000000000006E-2</v>
      </c>
      <c r="N132" s="56">
        <f t="shared" si="8"/>
        <v>23</v>
      </c>
      <c r="O132" s="54">
        <f t="shared" si="9"/>
        <v>5820</v>
      </c>
      <c r="P132" s="57">
        <f t="shared" si="10"/>
        <v>6000</v>
      </c>
      <c r="Q132" s="58">
        <f t="shared" si="11"/>
        <v>0.03</v>
      </c>
    </row>
    <row r="133" spans="1:17" ht="15" hidden="1" x14ac:dyDescent="0.25">
      <c r="A133" s="46">
        <v>132</v>
      </c>
      <c r="B133" s="52" t="s">
        <v>293</v>
      </c>
      <c r="C133" s="52">
        <v>97</v>
      </c>
      <c r="D133" s="52">
        <v>1</v>
      </c>
      <c r="E133" s="52" t="s">
        <v>160</v>
      </c>
      <c r="F133" s="52" t="s">
        <v>97</v>
      </c>
      <c r="G133" s="52">
        <v>200</v>
      </c>
      <c r="H133" s="52">
        <v>0</v>
      </c>
      <c r="I133" s="52">
        <v>339</v>
      </c>
      <c r="J133" s="52">
        <v>160</v>
      </c>
      <c r="K133" s="52">
        <v>240</v>
      </c>
      <c r="L133" s="52">
        <v>6.9000000000000006E-2</v>
      </c>
      <c r="N133" s="56">
        <f t="shared" si="8"/>
        <v>23</v>
      </c>
      <c r="O133" s="54">
        <f t="shared" si="9"/>
        <v>5820</v>
      </c>
      <c r="P133" s="57">
        <f t="shared" si="10"/>
        <v>5820</v>
      </c>
      <c r="Q133" s="58">
        <f t="shared" si="11"/>
        <v>0</v>
      </c>
    </row>
    <row r="134" spans="1:17" ht="15" hidden="1" x14ac:dyDescent="0.25">
      <c r="A134" s="46">
        <v>133</v>
      </c>
      <c r="B134" s="52" t="s">
        <v>294</v>
      </c>
      <c r="C134" s="52">
        <v>63</v>
      </c>
      <c r="D134" s="52">
        <v>1</v>
      </c>
      <c r="E134" s="52" t="s">
        <v>160</v>
      </c>
      <c r="F134" s="52">
        <v>3</v>
      </c>
      <c r="G134" s="52">
        <v>100</v>
      </c>
      <c r="H134" s="52">
        <v>0</v>
      </c>
      <c r="I134" s="52">
        <v>162</v>
      </c>
      <c r="J134" s="52">
        <v>75</v>
      </c>
      <c r="K134" s="52">
        <v>125</v>
      </c>
      <c r="L134" s="52">
        <v>8.1000000000000003E-2</v>
      </c>
      <c r="N134" s="56">
        <f t="shared" si="8"/>
        <v>23</v>
      </c>
      <c r="O134" s="54">
        <f t="shared" si="9"/>
        <v>3230</v>
      </c>
      <c r="P134" s="57">
        <f t="shared" si="10"/>
        <v>3780</v>
      </c>
      <c r="Q134" s="58">
        <f t="shared" si="11"/>
        <v>0.14550264550264549</v>
      </c>
    </row>
    <row r="135" spans="1:17" ht="15" hidden="1" x14ac:dyDescent="0.25">
      <c r="A135" s="46">
        <v>134</v>
      </c>
      <c r="B135" s="52" t="s">
        <v>295</v>
      </c>
      <c r="C135" s="52">
        <v>55</v>
      </c>
      <c r="D135" s="52">
        <v>1</v>
      </c>
      <c r="E135" s="52" t="s">
        <v>160</v>
      </c>
      <c r="F135" s="52">
        <v>3</v>
      </c>
      <c r="G135" s="52">
        <v>100</v>
      </c>
      <c r="H135" s="52">
        <v>0</v>
      </c>
      <c r="I135" s="52">
        <v>162</v>
      </c>
      <c r="J135" s="52">
        <v>75</v>
      </c>
      <c r="K135" s="52">
        <v>125</v>
      </c>
      <c r="L135" s="52">
        <v>8.1000000000000003E-2</v>
      </c>
      <c r="N135" s="56">
        <f t="shared" si="8"/>
        <v>23</v>
      </c>
      <c r="O135" s="54">
        <f t="shared" si="9"/>
        <v>3230</v>
      </c>
      <c r="P135" s="57">
        <f t="shared" si="10"/>
        <v>3300</v>
      </c>
      <c r="Q135" s="58">
        <f t="shared" si="11"/>
        <v>2.1212121212121213E-2</v>
      </c>
    </row>
    <row r="136" spans="1:17" ht="15" hidden="1" x14ac:dyDescent="0.25">
      <c r="A136" s="46">
        <v>135</v>
      </c>
      <c r="B136" s="52" t="s">
        <v>296</v>
      </c>
      <c r="C136" s="52">
        <v>69</v>
      </c>
      <c r="D136" s="52">
        <v>1</v>
      </c>
      <c r="E136" s="52" t="s">
        <v>160</v>
      </c>
      <c r="F136" s="52">
        <v>3</v>
      </c>
      <c r="G136" s="52">
        <v>125</v>
      </c>
      <c r="H136" s="52">
        <v>0</v>
      </c>
      <c r="I136" s="52">
        <v>203</v>
      </c>
      <c r="J136" s="52">
        <v>93</v>
      </c>
      <c r="K136" s="52">
        <v>156</v>
      </c>
      <c r="L136" s="52">
        <v>8.1000000000000003E-2</v>
      </c>
      <c r="N136" s="56">
        <f t="shared" si="8"/>
        <v>23</v>
      </c>
      <c r="O136" s="54">
        <f t="shared" si="9"/>
        <v>4040</v>
      </c>
      <c r="P136" s="57">
        <f t="shared" si="10"/>
        <v>4140</v>
      </c>
      <c r="Q136" s="58">
        <f t="shared" si="11"/>
        <v>2.4154589371980676E-2</v>
      </c>
    </row>
    <row r="137" spans="1:17" ht="15" hidden="1" x14ac:dyDescent="0.25">
      <c r="A137" s="46">
        <v>136</v>
      </c>
      <c r="B137" s="52" t="s">
        <v>297</v>
      </c>
      <c r="C137" s="52">
        <v>69</v>
      </c>
      <c r="D137" s="52">
        <v>1</v>
      </c>
      <c r="E137" s="52" t="s">
        <v>160</v>
      </c>
      <c r="F137" s="52">
        <v>3</v>
      </c>
      <c r="G137" s="52">
        <v>125</v>
      </c>
      <c r="H137" s="52">
        <v>0</v>
      </c>
      <c r="I137" s="52">
        <v>203</v>
      </c>
      <c r="J137" s="52">
        <v>93</v>
      </c>
      <c r="K137" s="52">
        <v>156</v>
      </c>
      <c r="L137" s="52">
        <v>8.1000000000000003E-2</v>
      </c>
      <c r="N137" s="56">
        <f t="shared" si="8"/>
        <v>23</v>
      </c>
      <c r="O137" s="54">
        <f t="shared" si="9"/>
        <v>4040</v>
      </c>
      <c r="P137" s="57">
        <f t="shared" si="10"/>
        <v>4140</v>
      </c>
      <c r="Q137" s="58">
        <f t="shared" si="11"/>
        <v>2.4154589371980676E-2</v>
      </c>
    </row>
    <row r="138" spans="1:17" ht="15" hidden="1" x14ac:dyDescent="0.25">
      <c r="A138" s="46">
        <v>137</v>
      </c>
      <c r="B138" s="52" t="s">
        <v>298</v>
      </c>
      <c r="C138" s="52">
        <v>50</v>
      </c>
      <c r="D138" s="52">
        <v>1</v>
      </c>
      <c r="E138" s="52" t="s">
        <v>160</v>
      </c>
      <c r="F138" s="52">
        <v>3</v>
      </c>
      <c r="G138" s="52">
        <v>140</v>
      </c>
      <c r="H138" s="52">
        <v>0</v>
      </c>
      <c r="I138" s="52">
        <v>234</v>
      </c>
      <c r="J138" s="52">
        <v>80</v>
      </c>
      <c r="K138" s="52">
        <v>180</v>
      </c>
      <c r="L138" s="52">
        <v>8.1000000000000003E-2</v>
      </c>
      <c r="N138" s="56">
        <f t="shared" si="8"/>
        <v>24</v>
      </c>
      <c r="O138" s="54">
        <f t="shared" si="9"/>
        <v>2910</v>
      </c>
      <c r="P138" s="57">
        <f t="shared" si="10"/>
        <v>3000</v>
      </c>
      <c r="Q138" s="58">
        <f t="shared" si="11"/>
        <v>0.03</v>
      </c>
    </row>
    <row r="139" spans="1:17" ht="15" hidden="1" x14ac:dyDescent="0.25">
      <c r="A139" s="46">
        <v>138</v>
      </c>
      <c r="B139" s="52" t="s">
        <v>299</v>
      </c>
      <c r="C139" s="52">
        <v>78</v>
      </c>
      <c r="D139" s="52">
        <v>1</v>
      </c>
      <c r="E139" s="52" t="s">
        <v>160</v>
      </c>
      <c r="F139" s="52">
        <v>3</v>
      </c>
      <c r="G139" s="52">
        <v>140</v>
      </c>
      <c r="H139" s="52">
        <v>0</v>
      </c>
      <c r="I139" s="52">
        <v>227</v>
      </c>
      <c r="J139" s="52">
        <v>105</v>
      </c>
      <c r="K139" s="52">
        <v>175</v>
      </c>
      <c r="L139" s="52">
        <v>8.1000000000000003E-2</v>
      </c>
      <c r="N139" s="56">
        <f t="shared" si="8"/>
        <v>23</v>
      </c>
      <c r="O139" s="54">
        <f t="shared" si="9"/>
        <v>4530</v>
      </c>
      <c r="P139" s="57">
        <f t="shared" si="10"/>
        <v>4680</v>
      </c>
      <c r="Q139" s="58">
        <f t="shared" si="11"/>
        <v>3.2051282051282048E-2</v>
      </c>
    </row>
    <row r="140" spans="1:17" ht="15" hidden="1" x14ac:dyDescent="0.25">
      <c r="A140" s="46">
        <v>139</v>
      </c>
      <c r="B140" s="52" t="s">
        <v>300</v>
      </c>
      <c r="C140" s="52">
        <v>78</v>
      </c>
      <c r="D140" s="52">
        <v>1</v>
      </c>
      <c r="E140" s="52" t="s">
        <v>160</v>
      </c>
      <c r="F140" s="52">
        <v>3</v>
      </c>
      <c r="G140" s="52">
        <v>140</v>
      </c>
      <c r="H140" s="52">
        <v>0</v>
      </c>
      <c r="I140" s="52">
        <v>227</v>
      </c>
      <c r="J140" s="52">
        <v>105</v>
      </c>
      <c r="K140" s="52">
        <v>175</v>
      </c>
      <c r="L140" s="52">
        <v>8.1000000000000003E-2</v>
      </c>
      <c r="N140" s="56">
        <f t="shared" si="8"/>
        <v>23</v>
      </c>
      <c r="O140" s="54">
        <f t="shared" si="9"/>
        <v>4530</v>
      </c>
      <c r="P140" s="57">
        <f t="shared" si="10"/>
        <v>4680</v>
      </c>
      <c r="Q140" s="58">
        <f t="shared" si="11"/>
        <v>3.2051282051282048E-2</v>
      </c>
    </row>
    <row r="141" spans="1:17" ht="15" hidden="1" x14ac:dyDescent="0.25">
      <c r="A141" s="46">
        <v>140</v>
      </c>
      <c r="B141" s="52" t="s">
        <v>301</v>
      </c>
      <c r="C141" s="52">
        <v>89</v>
      </c>
      <c r="D141" s="52">
        <v>1</v>
      </c>
      <c r="E141" s="52" t="s">
        <v>160</v>
      </c>
      <c r="F141" s="52">
        <v>3</v>
      </c>
      <c r="G141" s="52">
        <v>160</v>
      </c>
      <c r="H141" s="52">
        <v>0</v>
      </c>
      <c r="I141" s="52">
        <v>260</v>
      </c>
      <c r="J141" s="52">
        <v>120</v>
      </c>
      <c r="K141" s="52">
        <v>200</v>
      </c>
      <c r="L141" s="52">
        <v>8.1000000000000003E-2</v>
      </c>
      <c r="N141" s="56">
        <f t="shared" si="8"/>
        <v>23</v>
      </c>
      <c r="O141" s="54">
        <f t="shared" si="9"/>
        <v>5180</v>
      </c>
      <c r="P141" s="57">
        <f t="shared" si="10"/>
        <v>5340</v>
      </c>
      <c r="Q141" s="58">
        <f t="shared" si="11"/>
        <v>2.9962546816479401E-2</v>
      </c>
    </row>
    <row r="142" spans="1:17" ht="15" hidden="1" x14ac:dyDescent="0.25">
      <c r="A142" s="46">
        <v>141</v>
      </c>
      <c r="B142" s="52" t="s">
        <v>302</v>
      </c>
      <c r="C142" s="52">
        <v>89</v>
      </c>
      <c r="D142" s="52">
        <v>1</v>
      </c>
      <c r="E142" s="52" t="s">
        <v>160</v>
      </c>
      <c r="F142" s="52">
        <v>3</v>
      </c>
      <c r="G142" s="52">
        <v>160</v>
      </c>
      <c r="H142" s="52">
        <v>0</v>
      </c>
      <c r="I142" s="52">
        <v>260</v>
      </c>
      <c r="J142" s="52">
        <v>120</v>
      </c>
      <c r="K142" s="52">
        <v>200</v>
      </c>
      <c r="L142" s="52">
        <v>8.1000000000000003E-2</v>
      </c>
      <c r="N142" s="56">
        <f t="shared" si="8"/>
        <v>23</v>
      </c>
      <c r="O142" s="54">
        <f t="shared" si="9"/>
        <v>5180</v>
      </c>
      <c r="P142" s="57">
        <f t="shared" si="10"/>
        <v>5340</v>
      </c>
      <c r="Q142" s="58">
        <f t="shared" si="11"/>
        <v>2.9962546816479401E-2</v>
      </c>
    </row>
    <row r="143" spans="1:17" ht="15" hidden="1" x14ac:dyDescent="0.25">
      <c r="A143" s="46">
        <v>142</v>
      </c>
      <c r="B143" s="52" t="s">
        <v>303</v>
      </c>
      <c r="C143" s="52">
        <v>64</v>
      </c>
      <c r="D143" s="52">
        <v>1</v>
      </c>
      <c r="E143" s="52" t="s">
        <v>160</v>
      </c>
      <c r="F143" s="52">
        <v>3</v>
      </c>
      <c r="G143" s="52">
        <v>180</v>
      </c>
      <c r="H143" s="52">
        <v>0</v>
      </c>
      <c r="I143" s="52">
        <v>301</v>
      </c>
      <c r="J143" s="52">
        <v>103</v>
      </c>
      <c r="K143" s="52">
        <v>231</v>
      </c>
      <c r="L143" s="52">
        <v>8.1000000000000003E-2</v>
      </c>
      <c r="N143" s="56">
        <f t="shared" si="8"/>
        <v>24</v>
      </c>
      <c r="O143" s="54">
        <f t="shared" si="9"/>
        <v>3740</v>
      </c>
      <c r="P143" s="57">
        <f t="shared" si="10"/>
        <v>3840</v>
      </c>
      <c r="Q143" s="58">
        <f t="shared" si="11"/>
        <v>2.6041666666666668E-2</v>
      </c>
    </row>
    <row r="144" spans="1:17" ht="15" hidden="1" x14ac:dyDescent="0.25">
      <c r="A144" s="46">
        <v>143</v>
      </c>
      <c r="B144" s="52" t="s">
        <v>304</v>
      </c>
      <c r="C144" s="52">
        <v>50</v>
      </c>
      <c r="D144" s="52">
        <v>1</v>
      </c>
      <c r="E144" s="52" t="s">
        <v>160</v>
      </c>
      <c r="F144" s="52">
        <v>3</v>
      </c>
      <c r="G144" s="52">
        <v>200</v>
      </c>
      <c r="H144" s="52">
        <v>0</v>
      </c>
      <c r="I144" s="52">
        <v>330</v>
      </c>
      <c r="J144" s="52">
        <v>150</v>
      </c>
      <c r="K144" s="52">
        <v>250</v>
      </c>
      <c r="L144" s="52">
        <v>8.1000000000000003E-2</v>
      </c>
      <c r="N144" s="56">
        <f t="shared" si="8"/>
        <v>24</v>
      </c>
      <c r="O144" s="54">
        <f t="shared" si="9"/>
        <v>2910</v>
      </c>
      <c r="P144" s="57">
        <f t="shared" si="10"/>
        <v>3000</v>
      </c>
      <c r="Q144" s="58">
        <f t="shared" si="11"/>
        <v>0.03</v>
      </c>
    </row>
    <row r="145" spans="1:17" ht="15" hidden="1" x14ac:dyDescent="0.25">
      <c r="A145" s="46">
        <v>144</v>
      </c>
      <c r="B145" s="52" t="s">
        <v>305</v>
      </c>
      <c r="C145" s="52">
        <v>71</v>
      </c>
      <c r="D145" s="52">
        <v>1</v>
      </c>
      <c r="E145" s="52" t="s">
        <v>160</v>
      </c>
      <c r="F145" s="52">
        <v>3</v>
      </c>
      <c r="G145" s="52">
        <v>200</v>
      </c>
      <c r="H145" s="52">
        <v>0</v>
      </c>
      <c r="I145" s="52">
        <v>334</v>
      </c>
      <c r="J145" s="52">
        <v>114</v>
      </c>
      <c r="K145" s="52">
        <v>257</v>
      </c>
      <c r="L145" s="52">
        <v>8.1000000000000003E-2</v>
      </c>
      <c r="N145" s="56">
        <f t="shared" si="8"/>
        <v>24</v>
      </c>
      <c r="O145" s="54">
        <f t="shared" si="9"/>
        <v>4160</v>
      </c>
      <c r="P145" s="57">
        <f t="shared" si="10"/>
        <v>4260</v>
      </c>
      <c r="Q145" s="58">
        <f t="shared" si="11"/>
        <v>2.3474178403755867E-2</v>
      </c>
    </row>
    <row r="146" spans="1:17" ht="15" hidden="1" x14ac:dyDescent="0.25">
      <c r="A146" s="46">
        <v>145</v>
      </c>
      <c r="B146" s="52" t="s">
        <v>306</v>
      </c>
      <c r="C146" s="52">
        <v>89</v>
      </c>
      <c r="D146" s="52">
        <v>1</v>
      </c>
      <c r="E146" s="52" t="s">
        <v>160</v>
      </c>
      <c r="F146" s="52">
        <v>3</v>
      </c>
      <c r="G146" s="52">
        <v>250</v>
      </c>
      <c r="H146" s="52">
        <v>0</v>
      </c>
      <c r="I146" s="52">
        <v>418</v>
      </c>
      <c r="J146" s="52">
        <v>143</v>
      </c>
      <c r="K146" s="52">
        <v>321</v>
      </c>
      <c r="L146" s="52">
        <v>8.1000000000000003E-2</v>
      </c>
      <c r="N146" s="56">
        <f t="shared" si="8"/>
        <v>24</v>
      </c>
      <c r="O146" s="54">
        <f t="shared" si="9"/>
        <v>5200</v>
      </c>
      <c r="P146" s="57">
        <f t="shared" si="10"/>
        <v>5340</v>
      </c>
      <c r="Q146" s="58">
        <f t="shared" si="11"/>
        <v>2.6217228464419477E-2</v>
      </c>
    </row>
    <row r="147" spans="1:17" ht="15" hidden="1" x14ac:dyDescent="0.25">
      <c r="A147" s="46">
        <v>146</v>
      </c>
      <c r="B147" s="52" t="s">
        <v>307</v>
      </c>
      <c r="C147" s="52">
        <v>100</v>
      </c>
      <c r="D147" s="52">
        <v>1</v>
      </c>
      <c r="E147" s="52" t="s">
        <v>160</v>
      </c>
      <c r="F147" s="52">
        <v>3</v>
      </c>
      <c r="G147" s="52">
        <v>280</v>
      </c>
      <c r="H147" s="52">
        <v>0</v>
      </c>
      <c r="I147" s="52">
        <v>468</v>
      </c>
      <c r="J147" s="52">
        <v>160</v>
      </c>
      <c r="K147" s="52">
        <v>360</v>
      </c>
      <c r="L147" s="52">
        <v>8.1000000000000003E-2</v>
      </c>
      <c r="N147" s="56">
        <f t="shared" si="8"/>
        <v>24</v>
      </c>
      <c r="O147" s="54">
        <f t="shared" si="9"/>
        <v>5820</v>
      </c>
      <c r="P147" s="57">
        <f t="shared" si="10"/>
        <v>6000</v>
      </c>
      <c r="Q147" s="58">
        <f t="shared" si="11"/>
        <v>0.03</v>
      </c>
    </row>
    <row r="148" spans="1:17" ht="15" hidden="1" x14ac:dyDescent="0.25">
      <c r="A148" s="46">
        <v>147</v>
      </c>
      <c r="B148" s="52" t="s">
        <v>308</v>
      </c>
      <c r="C148" s="52">
        <v>75</v>
      </c>
      <c r="D148" s="52">
        <v>1</v>
      </c>
      <c r="E148" s="52" t="s">
        <v>160</v>
      </c>
      <c r="F148" s="52">
        <v>3</v>
      </c>
      <c r="G148" s="52">
        <v>300</v>
      </c>
      <c r="H148" s="52">
        <v>0</v>
      </c>
      <c r="I148" s="52">
        <v>496</v>
      </c>
      <c r="J148" s="52">
        <v>225</v>
      </c>
      <c r="K148" s="52">
        <v>375</v>
      </c>
      <c r="L148" s="52">
        <v>8.1000000000000003E-2</v>
      </c>
      <c r="N148" s="56">
        <f t="shared" si="8"/>
        <v>24</v>
      </c>
      <c r="O148" s="54">
        <f t="shared" si="9"/>
        <v>4365</v>
      </c>
      <c r="P148" s="57">
        <f t="shared" si="10"/>
        <v>4500</v>
      </c>
      <c r="Q148" s="58">
        <f t="shared" si="11"/>
        <v>0.03</v>
      </c>
    </row>
    <row r="149" spans="1:17" ht="15" hidden="1" x14ac:dyDescent="0.25">
      <c r="A149" s="46">
        <v>148</v>
      </c>
      <c r="B149" s="52" t="s">
        <v>309</v>
      </c>
      <c r="C149" s="52">
        <v>80</v>
      </c>
      <c r="D149" s="52">
        <v>1</v>
      </c>
      <c r="E149" s="52" t="s">
        <v>160</v>
      </c>
      <c r="F149" s="52">
        <v>3</v>
      </c>
      <c r="G149" s="52">
        <v>320</v>
      </c>
      <c r="H149" s="52">
        <v>0</v>
      </c>
      <c r="I149" s="52">
        <v>529</v>
      </c>
      <c r="J149" s="52">
        <v>240</v>
      </c>
      <c r="K149" s="52">
        <v>400</v>
      </c>
      <c r="L149" s="52">
        <v>8.1000000000000003E-2</v>
      </c>
      <c r="N149" s="56">
        <f t="shared" si="8"/>
        <v>24</v>
      </c>
      <c r="O149" s="54">
        <f t="shared" si="9"/>
        <v>4660</v>
      </c>
      <c r="P149" s="57">
        <f t="shared" si="10"/>
        <v>4800</v>
      </c>
      <c r="Q149" s="58">
        <f t="shared" si="11"/>
        <v>2.9166666666666667E-2</v>
      </c>
    </row>
    <row r="150" spans="1:17" ht="15" hidden="1" x14ac:dyDescent="0.25">
      <c r="A150" s="46">
        <v>149</v>
      </c>
      <c r="B150" s="52" t="s">
        <v>310</v>
      </c>
      <c r="C150" s="52">
        <v>53</v>
      </c>
      <c r="D150" s="52">
        <v>1</v>
      </c>
      <c r="E150" s="52" t="s">
        <v>160</v>
      </c>
      <c r="F150" s="52">
        <v>3</v>
      </c>
      <c r="G150" s="52">
        <v>320</v>
      </c>
      <c r="H150" s="52">
        <v>0</v>
      </c>
      <c r="I150" s="52">
        <v>534</v>
      </c>
      <c r="J150" s="52">
        <v>240</v>
      </c>
      <c r="K150" s="52">
        <v>400</v>
      </c>
      <c r="L150" s="52">
        <v>8.1000000000000003E-2</v>
      </c>
      <c r="N150" s="56">
        <f t="shared" si="8"/>
        <v>24</v>
      </c>
      <c r="O150" s="54">
        <f t="shared" si="9"/>
        <v>3105</v>
      </c>
      <c r="P150" s="57">
        <f t="shared" si="10"/>
        <v>3180</v>
      </c>
      <c r="Q150" s="58">
        <f t="shared" si="11"/>
        <v>2.358490566037736E-2</v>
      </c>
    </row>
    <row r="151" spans="1:17" ht="15" hidden="1" x14ac:dyDescent="0.25">
      <c r="A151" s="46">
        <v>150</v>
      </c>
      <c r="B151" s="52" t="s">
        <v>311</v>
      </c>
      <c r="C151" s="52">
        <v>88</v>
      </c>
      <c r="D151" s="52">
        <v>1</v>
      </c>
      <c r="E151" s="52" t="s">
        <v>160</v>
      </c>
      <c r="F151" s="52">
        <v>3</v>
      </c>
      <c r="G151" s="52">
        <v>350</v>
      </c>
      <c r="H151" s="52">
        <v>0</v>
      </c>
      <c r="I151" s="52">
        <v>578</v>
      </c>
      <c r="J151" s="52">
        <v>260</v>
      </c>
      <c r="K151" s="52">
        <v>440</v>
      </c>
      <c r="L151" s="52">
        <v>8.1000000000000003E-2</v>
      </c>
      <c r="N151" s="56">
        <f t="shared" si="8"/>
        <v>24</v>
      </c>
      <c r="O151" s="54">
        <f t="shared" si="9"/>
        <v>5095</v>
      </c>
      <c r="P151" s="57">
        <f t="shared" si="10"/>
        <v>5280</v>
      </c>
      <c r="Q151" s="58">
        <f t="shared" si="11"/>
        <v>3.5037878787878785E-2</v>
      </c>
    </row>
    <row r="152" spans="1:17" ht="15" hidden="1" x14ac:dyDescent="0.25">
      <c r="A152" s="46">
        <v>151</v>
      </c>
      <c r="B152" s="52" t="s">
        <v>312</v>
      </c>
      <c r="C152" s="52">
        <v>75</v>
      </c>
      <c r="D152" s="52">
        <v>1</v>
      </c>
      <c r="E152" s="52" t="s">
        <v>160</v>
      </c>
      <c r="F152" s="52">
        <v>3</v>
      </c>
      <c r="G152" s="52">
        <v>450</v>
      </c>
      <c r="H152" s="52">
        <v>0</v>
      </c>
      <c r="I152" s="52">
        <v>752</v>
      </c>
      <c r="J152" s="52">
        <v>338</v>
      </c>
      <c r="K152" s="52">
        <v>563</v>
      </c>
      <c r="L152" s="52">
        <v>8.1000000000000003E-2</v>
      </c>
      <c r="N152" s="56">
        <f t="shared" si="8"/>
        <v>24</v>
      </c>
      <c r="O152" s="54">
        <f t="shared" si="9"/>
        <v>4370</v>
      </c>
      <c r="P152" s="57">
        <f t="shared" si="10"/>
        <v>4500</v>
      </c>
      <c r="Q152" s="58">
        <f t="shared" si="11"/>
        <v>2.8888888888888888E-2</v>
      </c>
    </row>
    <row r="153" spans="1:17" ht="15" hidden="1" x14ac:dyDescent="0.25">
      <c r="A153" s="46">
        <v>152</v>
      </c>
      <c r="B153" s="52" t="s">
        <v>313</v>
      </c>
      <c r="C153" s="52">
        <v>83</v>
      </c>
      <c r="D153" s="52">
        <v>1</v>
      </c>
      <c r="E153" s="52" t="s">
        <v>160</v>
      </c>
      <c r="F153" s="52">
        <v>3</v>
      </c>
      <c r="G153" s="52">
        <v>500</v>
      </c>
      <c r="H153" s="52">
        <v>0</v>
      </c>
      <c r="I153" s="52">
        <v>835</v>
      </c>
      <c r="J153" s="52">
        <v>375</v>
      </c>
      <c r="K153" s="52">
        <v>625</v>
      </c>
      <c r="L153" s="52">
        <v>8.1000000000000003E-2</v>
      </c>
      <c r="N153" s="56">
        <f t="shared" si="8"/>
        <v>24</v>
      </c>
      <c r="O153" s="54">
        <f t="shared" si="9"/>
        <v>4855</v>
      </c>
      <c r="P153" s="57">
        <f t="shared" si="10"/>
        <v>4980</v>
      </c>
      <c r="Q153" s="58">
        <f t="shared" si="11"/>
        <v>2.5100401606425703E-2</v>
      </c>
    </row>
    <row r="154" spans="1:17" ht="15" hidden="1" x14ac:dyDescent="0.25">
      <c r="A154" s="46">
        <v>153</v>
      </c>
      <c r="B154" s="52" t="s">
        <v>314</v>
      </c>
      <c r="C154" s="52">
        <v>45</v>
      </c>
      <c r="D154" s="52">
        <v>1</v>
      </c>
      <c r="E154" s="52" t="s">
        <v>160</v>
      </c>
      <c r="F154" s="52">
        <v>3</v>
      </c>
      <c r="G154" s="52">
        <v>80</v>
      </c>
      <c r="H154" s="52">
        <v>0</v>
      </c>
      <c r="I154" s="52">
        <v>130</v>
      </c>
      <c r="J154" s="52">
        <v>60</v>
      </c>
      <c r="K154" s="52">
        <v>100</v>
      </c>
      <c r="L154" s="52">
        <v>8.1000000000000003E-2</v>
      </c>
      <c r="N154" s="56">
        <f t="shared" si="8"/>
        <v>23</v>
      </c>
      <c r="O154" s="54">
        <f t="shared" si="9"/>
        <v>2590</v>
      </c>
      <c r="P154" s="57">
        <f t="shared" si="10"/>
        <v>2700</v>
      </c>
      <c r="Q154" s="58">
        <f t="shared" si="11"/>
        <v>4.0740740740740744E-2</v>
      </c>
    </row>
    <row r="155" spans="1:17" ht="15" hidden="1" x14ac:dyDescent="0.25">
      <c r="A155" s="46">
        <v>154</v>
      </c>
      <c r="B155" s="52" t="s">
        <v>315</v>
      </c>
      <c r="C155" s="52">
        <v>45</v>
      </c>
      <c r="D155" s="52">
        <v>1</v>
      </c>
      <c r="E155" s="52" t="s">
        <v>160</v>
      </c>
      <c r="F155" s="52">
        <v>3</v>
      </c>
      <c r="G155" s="52">
        <v>80</v>
      </c>
      <c r="H155" s="52">
        <v>0</v>
      </c>
      <c r="I155" s="52">
        <v>130</v>
      </c>
      <c r="J155" s="52">
        <v>60</v>
      </c>
      <c r="K155" s="52">
        <v>100</v>
      </c>
      <c r="L155" s="52">
        <v>8.1000000000000003E-2</v>
      </c>
      <c r="N155" s="56">
        <f t="shared" si="8"/>
        <v>23</v>
      </c>
      <c r="O155" s="54">
        <f t="shared" si="9"/>
        <v>2590</v>
      </c>
      <c r="P155" s="57">
        <f t="shared" si="10"/>
        <v>2700</v>
      </c>
      <c r="Q155" s="58">
        <f t="shared" si="11"/>
        <v>4.0740740740740744E-2</v>
      </c>
    </row>
    <row r="156" spans="1:17" ht="15" hidden="1" x14ac:dyDescent="0.25">
      <c r="A156" s="46">
        <v>155</v>
      </c>
      <c r="B156" s="52" t="s">
        <v>316</v>
      </c>
      <c r="C156" s="52">
        <v>50</v>
      </c>
      <c r="D156" s="52">
        <v>1</v>
      </c>
      <c r="E156" s="52" t="s">
        <v>160</v>
      </c>
      <c r="F156" s="52">
        <v>4</v>
      </c>
      <c r="G156" s="52">
        <v>100</v>
      </c>
      <c r="H156" s="52">
        <v>0</v>
      </c>
      <c r="I156" s="52">
        <v>160</v>
      </c>
      <c r="J156" s="52">
        <v>75</v>
      </c>
      <c r="K156" s="52">
        <v>125</v>
      </c>
      <c r="L156" s="52">
        <v>8.5999999999999993E-2</v>
      </c>
      <c r="N156" s="56">
        <f t="shared" si="8"/>
        <v>0</v>
      </c>
      <c r="O156" s="54">
        <f t="shared" si="9"/>
        <v>2910</v>
      </c>
      <c r="P156" s="57">
        <f t="shared" si="10"/>
        <v>3000</v>
      </c>
      <c r="Q156" s="58">
        <f t="shared" si="11"/>
        <v>0.03</v>
      </c>
    </row>
    <row r="157" spans="1:17" ht="15" hidden="1" x14ac:dyDescent="0.25">
      <c r="A157" s="46">
        <v>156</v>
      </c>
      <c r="B157" s="52" t="s">
        <v>317</v>
      </c>
      <c r="C157" s="52">
        <v>50</v>
      </c>
      <c r="D157" s="52">
        <v>1</v>
      </c>
      <c r="E157" s="52" t="s">
        <v>160</v>
      </c>
      <c r="F157" s="52">
        <v>4</v>
      </c>
      <c r="G157" s="52">
        <v>70</v>
      </c>
      <c r="H157" s="52">
        <v>0</v>
      </c>
      <c r="I157" s="52">
        <v>130</v>
      </c>
      <c r="J157" s="52">
        <v>55</v>
      </c>
      <c r="K157" s="52">
        <v>100</v>
      </c>
      <c r="L157" s="52">
        <v>8.5999999999999993E-2</v>
      </c>
      <c r="N157" s="56">
        <f t="shared" si="8"/>
        <v>0</v>
      </c>
      <c r="O157" s="54">
        <f t="shared" si="9"/>
        <v>2910</v>
      </c>
      <c r="P157" s="57">
        <f t="shared" si="10"/>
        <v>3000</v>
      </c>
      <c r="Q157" s="58">
        <f t="shared" si="11"/>
        <v>0.03</v>
      </c>
    </row>
    <row r="158" spans="1:17" ht="15" hidden="1" x14ac:dyDescent="0.25">
      <c r="A158" s="46">
        <v>157</v>
      </c>
      <c r="B158" s="52" t="s">
        <v>318</v>
      </c>
      <c r="C158" s="52">
        <v>50</v>
      </c>
      <c r="D158" s="52">
        <v>1</v>
      </c>
      <c r="E158" s="52" t="s">
        <v>160</v>
      </c>
      <c r="F158" s="52">
        <v>4</v>
      </c>
      <c r="G158" s="52">
        <v>80</v>
      </c>
      <c r="H158" s="52">
        <v>0</v>
      </c>
      <c r="I158" s="52">
        <v>134</v>
      </c>
      <c r="J158" s="52">
        <v>55</v>
      </c>
      <c r="K158" s="52">
        <v>100</v>
      </c>
      <c r="L158" s="52">
        <v>8.5999999999999993E-2</v>
      </c>
      <c r="N158" s="56">
        <f t="shared" si="8"/>
        <v>0</v>
      </c>
      <c r="O158" s="54">
        <f t="shared" si="9"/>
        <v>2910</v>
      </c>
      <c r="P158" s="57">
        <f t="shared" si="10"/>
        <v>3000</v>
      </c>
      <c r="Q158" s="58">
        <f t="shared" si="11"/>
        <v>0.03</v>
      </c>
    </row>
    <row r="159" spans="1:17" s="112" customFormat="1" ht="15" hidden="1" x14ac:dyDescent="0.25">
      <c r="A159" s="110">
        <v>158</v>
      </c>
      <c r="B159" s="111" t="s">
        <v>319</v>
      </c>
      <c r="C159" s="111">
        <v>50</v>
      </c>
      <c r="D159" s="111">
        <v>1</v>
      </c>
      <c r="E159" s="111" t="s">
        <v>160</v>
      </c>
      <c r="F159" s="111">
        <v>5</v>
      </c>
      <c r="G159" s="111">
        <v>140</v>
      </c>
      <c r="H159" s="111">
        <v>0</v>
      </c>
      <c r="I159" s="111">
        <v>230</v>
      </c>
      <c r="J159" s="111">
        <v>80</v>
      </c>
      <c r="K159" s="111">
        <v>180</v>
      </c>
      <c r="L159" s="111">
        <v>9.1999999999999998E-2</v>
      </c>
      <c r="N159" s="113">
        <f t="shared" si="8"/>
        <v>23</v>
      </c>
      <c r="O159" s="114">
        <f t="shared" si="9"/>
        <v>2910</v>
      </c>
      <c r="P159" s="112">
        <f t="shared" si="10"/>
        <v>3000</v>
      </c>
      <c r="Q159" s="115">
        <f t="shared" si="11"/>
        <v>0.03</v>
      </c>
    </row>
    <row r="160" spans="1:17" ht="15" hidden="1" x14ac:dyDescent="0.25">
      <c r="A160" s="46">
        <v>159</v>
      </c>
      <c r="B160" s="52" t="s">
        <v>320</v>
      </c>
      <c r="C160" s="52">
        <v>57</v>
      </c>
      <c r="D160" s="52">
        <v>1</v>
      </c>
      <c r="E160" s="52" t="s">
        <v>160</v>
      </c>
      <c r="F160" s="52">
        <v>5</v>
      </c>
      <c r="G160" s="52">
        <v>160</v>
      </c>
      <c r="H160" s="52">
        <v>0</v>
      </c>
      <c r="I160" s="52">
        <v>260</v>
      </c>
      <c r="J160" s="52">
        <v>91</v>
      </c>
      <c r="K160" s="52">
        <v>205</v>
      </c>
      <c r="L160" s="52">
        <v>9.1999999999999998E-2</v>
      </c>
      <c r="N160" s="56">
        <f t="shared" si="8"/>
        <v>23</v>
      </c>
      <c r="O160" s="54">
        <f t="shared" si="9"/>
        <v>3330</v>
      </c>
      <c r="P160" s="57">
        <f t="shared" si="10"/>
        <v>3420</v>
      </c>
      <c r="Q160" s="58">
        <f t="shared" si="11"/>
        <v>2.6315789473684209E-2</v>
      </c>
    </row>
    <row r="161" spans="1:17" ht="15" hidden="1" x14ac:dyDescent="0.25">
      <c r="A161" s="46">
        <v>160</v>
      </c>
      <c r="B161" s="52" t="s">
        <v>321</v>
      </c>
      <c r="C161" s="52">
        <v>64</v>
      </c>
      <c r="D161" s="52">
        <v>1</v>
      </c>
      <c r="E161" s="52" t="s">
        <v>160</v>
      </c>
      <c r="F161" s="52">
        <v>5</v>
      </c>
      <c r="G161" s="52">
        <v>180</v>
      </c>
      <c r="H161" s="52">
        <v>0</v>
      </c>
      <c r="I161" s="52">
        <v>295</v>
      </c>
      <c r="J161" s="52">
        <v>103</v>
      </c>
      <c r="K161" s="52">
        <v>231</v>
      </c>
      <c r="L161" s="52">
        <v>9.1999999999999998E-2</v>
      </c>
      <c r="N161" s="56">
        <f t="shared" si="8"/>
        <v>23</v>
      </c>
      <c r="O161" s="54">
        <f t="shared" si="9"/>
        <v>3740</v>
      </c>
      <c r="P161" s="57">
        <f t="shared" si="10"/>
        <v>3840</v>
      </c>
      <c r="Q161" s="58">
        <f t="shared" si="11"/>
        <v>2.6041666666666668E-2</v>
      </c>
    </row>
    <row r="162" spans="1:17" s="112" customFormat="1" ht="15" hidden="1" x14ac:dyDescent="0.25">
      <c r="A162" s="110">
        <v>161</v>
      </c>
      <c r="B162" s="111" t="s">
        <v>322</v>
      </c>
      <c r="C162" s="111">
        <v>50</v>
      </c>
      <c r="D162" s="111">
        <v>1</v>
      </c>
      <c r="E162" s="111" t="s">
        <v>160</v>
      </c>
      <c r="F162" s="111">
        <v>5</v>
      </c>
      <c r="G162" s="111">
        <v>200</v>
      </c>
      <c r="H162" s="111">
        <v>0</v>
      </c>
      <c r="I162" s="111">
        <v>300</v>
      </c>
      <c r="J162" s="111">
        <v>140</v>
      </c>
      <c r="K162" s="111">
        <v>250</v>
      </c>
      <c r="L162" s="111">
        <v>9.1999999999999998E-2</v>
      </c>
      <c r="N162" s="113">
        <f t="shared" si="8"/>
        <v>0</v>
      </c>
      <c r="O162" s="114">
        <f t="shared" si="9"/>
        <v>2910</v>
      </c>
      <c r="P162" s="112">
        <f t="shared" si="10"/>
        <v>3000</v>
      </c>
      <c r="Q162" s="115">
        <f t="shared" si="11"/>
        <v>0.03</v>
      </c>
    </row>
    <row r="163" spans="1:17" ht="15" hidden="1" x14ac:dyDescent="0.25">
      <c r="A163" s="46">
        <v>162</v>
      </c>
      <c r="B163" s="52" t="s">
        <v>323</v>
      </c>
      <c r="C163" s="52">
        <v>71</v>
      </c>
      <c r="D163" s="52">
        <v>1</v>
      </c>
      <c r="E163" s="52" t="s">
        <v>160</v>
      </c>
      <c r="F163" s="52">
        <v>5</v>
      </c>
      <c r="G163" s="52">
        <v>200</v>
      </c>
      <c r="H163" s="52">
        <v>0</v>
      </c>
      <c r="I163" s="52">
        <v>330</v>
      </c>
      <c r="J163" s="52">
        <v>114</v>
      </c>
      <c r="K163" s="52">
        <v>257</v>
      </c>
      <c r="L163" s="52">
        <v>9.1999999999999998E-2</v>
      </c>
      <c r="N163" s="56">
        <f t="shared" si="8"/>
        <v>23</v>
      </c>
      <c r="O163" s="54">
        <f t="shared" si="9"/>
        <v>4160</v>
      </c>
      <c r="P163" s="57">
        <f t="shared" si="10"/>
        <v>4260</v>
      </c>
      <c r="Q163" s="58">
        <f t="shared" si="11"/>
        <v>2.3474178403755867E-2</v>
      </c>
    </row>
    <row r="164" spans="1:17" ht="15" hidden="1" x14ac:dyDescent="0.25">
      <c r="A164" s="46">
        <v>163</v>
      </c>
      <c r="B164" s="52" t="s">
        <v>324</v>
      </c>
      <c r="C164" s="52">
        <v>50</v>
      </c>
      <c r="D164" s="52">
        <v>1</v>
      </c>
      <c r="E164" s="52" t="s">
        <v>160</v>
      </c>
      <c r="F164" s="52">
        <v>5</v>
      </c>
      <c r="G164" s="52">
        <v>210</v>
      </c>
      <c r="H164" s="52">
        <v>0</v>
      </c>
      <c r="I164" s="52">
        <v>314</v>
      </c>
      <c r="J164" s="52">
        <v>150</v>
      </c>
      <c r="K164" s="52">
        <v>250</v>
      </c>
      <c r="L164" s="52">
        <v>9.1999999999999998E-2</v>
      </c>
      <c r="N164" s="56">
        <f t="shared" si="8"/>
        <v>24</v>
      </c>
      <c r="O164" s="54">
        <f t="shared" si="9"/>
        <v>2910</v>
      </c>
      <c r="P164" s="57">
        <f t="shared" si="10"/>
        <v>3000</v>
      </c>
      <c r="Q164" s="58">
        <f t="shared" si="11"/>
        <v>0.03</v>
      </c>
    </row>
    <row r="165" spans="1:17" ht="15" hidden="1" x14ac:dyDescent="0.25">
      <c r="A165" s="46">
        <v>164</v>
      </c>
      <c r="B165" s="52" t="s">
        <v>325</v>
      </c>
      <c r="C165" s="52">
        <v>78</v>
      </c>
      <c r="D165" s="52">
        <v>1</v>
      </c>
      <c r="E165" s="52" t="s">
        <v>160</v>
      </c>
      <c r="F165" s="52">
        <v>5</v>
      </c>
      <c r="G165" s="52">
        <v>220</v>
      </c>
      <c r="H165" s="52">
        <v>0</v>
      </c>
      <c r="I165" s="52">
        <v>360</v>
      </c>
      <c r="J165" s="52">
        <v>126</v>
      </c>
      <c r="K165" s="52">
        <v>283</v>
      </c>
      <c r="L165" s="52">
        <v>9.1999999999999998E-2</v>
      </c>
      <c r="N165" s="56">
        <f t="shared" si="8"/>
        <v>23</v>
      </c>
      <c r="O165" s="54">
        <f t="shared" si="9"/>
        <v>4570</v>
      </c>
      <c r="P165" s="57">
        <f t="shared" si="10"/>
        <v>4680</v>
      </c>
      <c r="Q165" s="58">
        <f t="shared" si="11"/>
        <v>2.3504273504273504E-2</v>
      </c>
    </row>
    <row r="166" spans="1:17" ht="15" hidden="1" x14ac:dyDescent="0.25">
      <c r="A166" s="46">
        <v>165</v>
      </c>
      <c r="B166" s="52" t="s">
        <v>326</v>
      </c>
      <c r="C166" s="52">
        <v>60</v>
      </c>
      <c r="D166" s="52">
        <v>1</v>
      </c>
      <c r="E166" s="52" t="s">
        <v>160</v>
      </c>
      <c r="F166" s="52">
        <v>5</v>
      </c>
      <c r="G166" s="52">
        <v>250</v>
      </c>
      <c r="H166" s="52">
        <v>0</v>
      </c>
      <c r="I166" s="52">
        <v>375</v>
      </c>
      <c r="J166" s="52">
        <v>179</v>
      </c>
      <c r="K166" s="52">
        <v>298</v>
      </c>
      <c r="L166" s="52">
        <v>9.1999999999999998E-2</v>
      </c>
      <c r="N166" s="56">
        <f t="shared" si="8"/>
        <v>24</v>
      </c>
      <c r="O166" s="54">
        <f t="shared" si="9"/>
        <v>3470</v>
      </c>
      <c r="P166" s="57">
        <f t="shared" si="10"/>
        <v>3600</v>
      </c>
      <c r="Q166" s="58">
        <f t="shared" si="11"/>
        <v>3.6111111111111108E-2</v>
      </c>
    </row>
    <row r="167" spans="1:17" s="112" customFormat="1" ht="15" hidden="1" x14ac:dyDescent="0.25">
      <c r="A167" s="110">
        <v>166</v>
      </c>
      <c r="B167" s="111" t="s">
        <v>327</v>
      </c>
      <c r="C167" s="111">
        <v>50</v>
      </c>
      <c r="D167" s="111">
        <v>1</v>
      </c>
      <c r="E167" s="111" t="s">
        <v>160</v>
      </c>
      <c r="F167" s="111">
        <v>5</v>
      </c>
      <c r="G167" s="111">
        <v>320</v>
      </c>
      <c r="H167" s="111">
        <v>0</v>
      </c>
      <c r="I167" s="111">
        <v>500</v>
      </c>
      <c r="J167" s="111">
        <v>240</v>
      </c>
      <c r="K167" s="111">
        <v>400</v>
      </c>
      <c r="L167" s="111">
        <v>9.1999999999999998E-2</v>
      </c>
      <c r="N167" s="113">
        <f t="shared" si="8"/>
        <v>24</v>
      </c>
      <c r="O167" s="114">
        <f t="shared" si="9"/>
        <v>2910</v>
      </c>
      <c r="P167" s="112">
        <f t="shared" si="10"/>
        <v>3000</v>
      </c>
      <c r="Q167" s="115">
        <f t="shared" si="11"/>
        <v>0.03</v>
      </c>
    </row>
    <row r="168" spans="1:17" ht="15" hidden="1" x14ac:dyDescent="0.25">
      <c r="A168" s="46">
        <v>167</v>
      </c>
      <c r="B168" s="52" t="s">
        <v>328</v>
      </c>
      <c r="C168" s="52">
        <v>76</v>
      </c>
      <c r="D168" s="52">
        <v>1</v>
      </c>
      <c r="E168" s="52" t="s">
        <v>160</v>
      </c>
      <c r="F168" s="52">
        <v>5</v>
      </c>
      <c r="G168" s="52">
        <v>320</v>
      </c>
      <c r="H168" s="52">
        <v>0</v>
      </c>
      <c r="I168" s="52">
        <v>479</v>
      </c>
      <c r="J168" s="52">
        <v>229</v>
      </c>
      <c r="K168" s="52">
        <v>381</v>
      </c>
      <c r="L168" s="52">
        <v>9.1999999999999998E-2</v>
      </c>
      <c r="N168" s="56">
        <f t="shared" si="8"/>
        <v>24</v>
      </c>
      <c r="O168" s="54">
        <f t="shared" si="9"/>
        <v>4430</v>
      </c>
      <c r="P168" s="57">
        <f t="shared" si="10"/>
        <v>4560</v>
      </c>
      <c r="Q168" s="58">
        <f t="shared" si="11"/>
        <v>2.850877192982456E-2</v>
      </c>
    </row>
    <row r="169" spans="1:17" s="112" customFormat="1" ht="15" hidden="1" x14ac:dyDescent="0.25">
      <c r="A169" s="110">
        <v>168</v>
      </c>
      <c r="B169" s="111" t="s">
        <v>329</v>
      </c>
      <c r="C169" s="111">
        <v>50</v>
      </c>
      <c r="D169" s="111">
        <v>1</v>
      </c>
      <c r="E169" s="111" t="s">
        <v>160</v>
      </c>
      <c r="F169" s="111">
        <v>5</v>
      </c>
      <c r="G169" s="111">
        <v>400</v>
      </c>
      <c r="H169" s="111">
        <v>0</v>
      </c>
      <c r="I169" s="111">
        <v>700</v>
      </c>
      <c r="J169" s="111">
        <v>320</v>
      </c>
      <c r="K169" s="111">
        <v>480</v>
      </c>
      <c r="L169" s="111">
        <v>9.1999999999999998E-2</v>
      </c>
      <c r="N169" s="113">
        <f t="shared" si="8"/>
        <v>24</v>
      </c>
      <c r="O169" s="114">
        <f t="shared" si="9"/>
        <v>2910</v>
      </c>
      <c r="P169" s="112">
        <f t="shared" si="10"/>
        <v>3000</v>
      </c>
      <c r="Q169" s="115">
        <f t="shared" si="11"/>
        <v>0.03</v>
      </c>
    </row>
    <row r="170" spans="1:17" ht="15" hidden="1" x14ac:dyDescent="0.25">
      <c r="A170" s="46">
        <v>169</v>
      </c>
      <c r="B170" s="52" t="s">
        <v>330</v>
      </c>
      <c r="C170" s="52">
        <v>63</v>
      </c>
      <c r="D170" s="52">
        <v>1</v>
      </c>
      <c r="E170" s="52" t="s">
        <v>160</v>
      </c>
      <c r="F170" s="52">
        <v>5</v>
      </c>
      <c r="G170" s="52">
        <v>400</v>
      </c>
      <c r="H170" s="52">
        <v>0</v>
      </c>
      <c r="I170" s="52">
        <v>625</v>
      </c>
      <c r="J170" s="52">
        <v>300</v>
      </c>
      <c r="K170" s="52">
        <v>500</v>
      </c>
      <c r="L170" s="52">
        <v>9.1999999999999998E-2</v>
      </c>
      <c r="N170" s="56">
        <f t="shared" si="8"/>
        <v>24</v>
      </c>
      <c r="O170" s="54">
        <f t="shared" si="9"/>
        <v>3640</v>
      </c>
      <c r="P170" s="57">
        <f t="shared" si="10"/>
        <v>3780</v>
      </c>
      <c r="Q170" s="58">
        <f t="shared" si="11"/>
        <v>3.7037037037037035E-2</v>
      </c>
    </row>
    <row r="171" spans="1:17" ht="15" hidden="1" x14ac:dyDescent="0.25">
      <c r="A171" s="46">
        <v>170</v>
      </c>
      <c r="B171" s="52" t="s">
        <v>331</v>
      </c>
      <c r="C171" s="52">
        <v>78</v>
      </c>
      <c r="D171" s="52">
        <v>1</v>
      </c>
      <c r="E171" s="52" t="s">
        <v>160</v>
      </c>
      <c r="F171" s="52">
        <v>5</v>
      </c>
      <c r="G171" s="52">
        <v>500</v>
      </c>
      <c r="H171" s="52">
        <v>0</v>
      </c>
      <c r="I171" s="52">
        <v>780</v>
      </c>
      <c r="J171" s="52">
        <v>375</v>
      </c>
      <c r="K171" s="52">
        <v>625</v>
      </c>
      <c r="L171" s="52">
        <v>9.1999999999999998E-2</v>
      </c>
      <c r="N171" s="56">
        <f t="shared" si="8"/>
        <v>24</v>
      </c>
      <c r="O171" s="54">
        <f t="shared" si="9"/>
        <v>4550</v>
      </c>
      <c r="P171" s="57">
        <f t="shared" si="10"/>
        <v>4680</v>
      </c>
      <c r="Q171" s="58">
        <f t="shared" si="11"/>
        <v>2.7777777777777776E-2</v>
      </c>
    </row>
    <row r="172" spans="1:17" ht="15" hidden="1" x14ac:dyDescent="0.25">
      <c r="A172" s="46">
        <v>171</v>
      </c>
      <c r="B172" s="52" t="s">
        <v>332</v>
      </c>
      <c r="C172" s="52">
        <v>63</v>
      </c>
      <c r="D172" s="52">
        <v>1</v>
      </c>
      <c r="E172" s="52" t="s">
        <v>160</v>
      </c>
      <c r="F172" s="52">
        <v>5</v>
      </c>
      <c r="G172" s="52">
        <v>500</v>
      </c>
      <c r="H172" s="52">
        <v>0</v>
      </c>
      <c r="I172" s="52">
        <v>875</v>
      </c>
      <c r="J172" s="52">
        <v>400</v>
      </c>
      <c r="K172" s="52">
        <v>600</v>
      </c>
      <c r="L172" s="52">
        <v>9.1999999999999998E-2</v>
      </c>
      <c r="N172" s="56">
        <f t="shared" si="8"/>
        <v>24</v>
      </c>
      <c r="O172" s="54">
        <f t="shared" si="9"/>
        <v>3640</v>
      </c>
      <c r="P172" s="57">
        <f t="shared" si="10"/>
        <v>3780</v>
      </c>
      <c r="Q172" s="58">
        <f t="shared" si="11"/>
        <v>3.7037037037037035E-2</v>
      </c>
    </row>
    <row r="173" spans="1:17" ht="15" hidden="1" x14ac:dyDescent="0.25">
      <c r="A173" s="46">
        <v>172</v>
      </c>
      <c r="B173" s="52" t="s">
        <v>333</v>
      </c>
      <c r="C173" s="52">
        <v>75</v>
      </c>
      <c r="D173" s="52">
        <v>1</v>
      </c>
      <c r="E173" s="52" t="s">
        <v>160</v>
      </c>
      <c r="F173" s="52">
        <v>5</v>
      </c>
      <c r="G173" s="52">
        <v>600</v>
      </c>
      <c r="H173" s="52">
        <v>0</v>
      </c>
      <c r="I173" s="52">
        <v>1050</v>
      </c>
      <c r="J173" s="52">
        <v>480</v>
      </c>
      <c r="K173" s="52">
        <v>720</v>
      </c>
      <c r="L173" s="52">
        <v>9.1999999999999998E-2</v>
      </c>
      <c r="N173" s="56">
        <f t="shared" si="8"/>
        <v>24</v>
      </c>
      <c r="O173" s="54">
        <f t="shared" si="9"/>
        <v>4365</v>
      </c>
      <c r="P173" s="57">
        <f t="shared" si="10"/>
        <v>4500</v>
      </c>
      <c r="Q173" s="58">
        <f t="shared" si="11"/>
        <v>0.03</v>
      </c>
    </row>
    <row r="174" spans="1:17" ht="15" hidden="1" x14ac:dyDescent="0.25">
      <c r="A174" s="46">
        <v>173</v>
      </c>
      <c r="B174" s="52" t="s">
        <v>334</v>
      </c>
      <c r="C174" s="52">
        <v>50</v>
      </c>
      <c r="D174" s="52">
        <v>1</v>
      </c>
      <c r="E174" s="52" t="s">
        <v>160</v>
      </c>
      <c r="F174" s="52">
        <v>5</v>
      </c>
      <c r="G174" s="52">
        <v>60</v>
      </c>
      <c r="H174" s="52">
        <v>0</v>
      </c>
      <c r="I174" s="52">
        <v>97</v>
      </c>
      <c r="J174" s="52">
        <v>40</v>
      </c>
      <c r="K174" s="52">
        <v>75</v>
      </c>
      <c r="L174" s="52">
        <v>9.1999999999999998E-2</v>
      </c>
      <c r="N174" s="56">
        <f t="shared" si="8"/>
        <v>0</v>
      </c>
      <c r="O174" s="54">
        <f t="shared" si="9"/>
        <v>2910</v>
      </c>
      <c r="P174" s="57">
        <f t="shared" si="10"/>
        <v>3000</v>
      </c>
      <c r="Q174" s="58">
        <f t="shared" si="11"/>
        <v>0.03</v>
      </c>
    </row>
    <row r="175" spans="1:17" ht="15" x14ac:dyDescent="0.25">
      <c r="A175" s="46">
        <v>174</v>
      </c>
      <c r="B175" s="52" t="s">
        <v>335</v>
      </c>
      <c r="C175" s="52">
        <v>50</v>
      </c>
      <c r="D175" s="52">
        <v>1</v>
      </c>
      <c r="E175" s="52" t="s">
        <v>160</v>
      </c>
      <c r="F175" s="52" t="s">
        <v>228</v>
      </c>
      <c r="G175" s="52">
        <v>165</v>
      </c>
      <c r="H175" s="52">
        <v>0</v>
      </c>
      <c r="I175" s="52">
        <v>292</v>
      </c>
      <c r="J175" s="52">
        <v>130</v>
      </c>
      <c r="K175" s="52">
        <v>200</v>
      </c>
      <c r="L175" s="52">
        <v>0.10299999999999999</v>
      </c>
      <c r="N175" s="56">
        <f t="shared" si="8"/>
        <v>24</v>
      </c>
      <c r="O175" s="54">
        <f t="shared" si="9"/>
        <v>2910</v>
      </c>
      <c r="P175" s="57">
        <f t="shared" si="10"/>
        <v>3000</v>
      </c>
      <c r="Q175" s="58">
        <f t="shared" si="11"/>
        <v>0.03</v>
      </c>
    </row>
    <row r="176" spans="1:17" ht="15" x14ac:dyDescent="0.25">
      <c r="A176" s="46">
        <v>175</v>
      </c>
      <c r="B176" s="52" t="s">
        <v>336</v>
      </c>
      <c r="C176" s="52">
        <v>50</v>
      </c>
      <c r="D176" s="52">
        <v>1</v>
      </c>
      <c r="E176" s="52" t="s">
        <v>160</v>
      </c>
      <c r="F176" s="52" t="s">
        <v>228</v>
      </c>
      <c r="G176" s="52">
        <v>165</v>
      </c>
      <c r="H176" s="52">
        <v>0</v>
      </c>
      <c r="I176" s="52">
        <v>276</v>
      </c>
      <c r="J176" s="52">
        <v>130</v>
      </c>
      <c r="K176" s="52">
        <v>200</v>
      </c>
      <c r="L176" s="52">
        <v>0.10299999999999999</v>
      </c>
      <c r="N176" s="56">
        <f t="shared" si="8"/>
        <v>24</v>
      </c>
      <c r="O176" s="54">
        <f t="shared" si="9"/>
        <v>2910</v>
      </c>
      <c r="P176" s="57">
        <f t="shared" si="10"/>
        <v>3000</v>
      </c>
      <c r="Q176" s="58">
        <f t="shared" si="11"/>
        <v>0.03</v>
      </c>
    </row>
    <row r="177" spans="1:17" ht="15" hidden="1" x14ac:dyDescent="0.25">
      <c r="A177" s="46">
        <v>176</v>
      </c>
      <c r="B177" s="52" t="s">
        <v>337</v>
      </c>
      <c r="C177" s="52">
        <v>55</v>
      </c>
      <c r="D177" s="52">
        <v>1</v>
      </c>
      <c r="E177" s="52" t="s">
        <v>160</v>
      </c>
      <c r="F177" s="52" t="s">
        <v>228</v>
      </c>
      <c r="G177" s="52">
        <v>180</v>
      </c>
      <c r="H177" s="52">
        <v>0</v>
      </c>
      <c r="I177" s="52">
        <v>300</v>
      </c>
      <c r="J177" s="52">
        <v>142</v>
      </c>
      <c r="K177" s="52">
        <v>218</v>
      </c>
      <c r="L177" s="52">
        <v>0.10299999999999999</v>
      </c>
      <c r="N177" s="56">
        <f t="shared" si="8"/>
        <v>24</v>
      </c>
      <c r="O177" s="54">
        <f t="shared" si="9"/>
        <v>3175</v>
      </c>
      <c r="P177" s="57">
        <f t="shared" si="10"/>
        <v>3300</v>
      </c>
      <c r="Q177" s="58">
        <f t="shared" si="11"/>
        <v>3.787878787878788E-2</v>
      </c>
    </row>
    <row r="178" spans="1:17" ht="15" x14ac:dyDescent="0.25">
      <c r="A178" s="46">
        <v>177</v>
      </c>
      <c r="B178" s="52" t="s">
        <v>338</v>
      </c>
      <c r="C178" s="52">
        <v>50</v>
      </c>
      <c r="D178" s="52">
        <v>1</v>
      </c>
      <c r="E178" s="52" t="s">
        <v>160</v>
      </c>
      <c r="F178" s="52" t="s">
        <v>228</v>
      </c>
      <c r="G178" s="52">
        <v>200</v>
      </c>
      <c r="H178" s="52">
        <v>0</v>
      </c>
      <c r="I178" s="52">
        <v>336</v>
      </c>
      <c r="J178" s="52">
        <v>150</v>
      </c>
      <c r="K178" s="52">
        <v>250</v>
      </c>
      <c r="L178" s="52">
        <v>0.10299999999999999</v>
      </c>
      <c r="N178" s="56">
        <f t="shared" si="8"/>
        <v>0</v>
      </c>
      <c r="O178" s="54">
        <f t="shared" si="9"/>
        <v>2910</v>
      </c>
      <c r="P178" s="57">
        <f t="shared" si="10"/>
        <v>3000</v>
      </c>
      <c r="Q178" s="58">
        <f t="shared" si="11"/>
        <v>0.03</v>
      </c>
    </row>
    <row r="179" spans="1:17" ht="15" x14ac:dyDescent="0.25">
      <c r="A179" s="46">
        <v>178</v>
      </c>
      <c r="B179" s="52" t="s">
        <v>339</v>
      </c>
      <c r="C179" s="52">
        <v>50</v>
      </c>
      <c r="D179" s="52">
        <v>1</v>
      </c>
      <c r="E179" s="52" t="s">
        <v>160</v>
      </c>
      <c r="F179" s="52" t="s">
        <v>228</v>
      </c>
      <c r="G179" s="52">
        <v>200</v>
      </c>
      <c r="H179" s="52">
        <v>0</v>
      </c>
      <c r="I179" s="52">
        <v>330</v>
      </c>
      <c r="J179" s="52">
        <v>135</v>
      </c>
      <c r="K179" s="52">
        <v>245</v>
      </c>
      <c r="L179" s="52">
        <v>0.10299999999999999</v>
      </c>
      <c r="N179" s="56">
        <f t="shared" si="8"/>
        <v>24</v>
      </c>
      <c r="O179" s="54">
        <f t="shared" si="9"/>
        <v>2910</v>
      </c>
      <c r="P179" s="57">
        <f t="shared" si="10"/>
        <v>3000</v>
      </c>
      <c r="Q179" s="58">
        <f t="shared" si="11"/>
        <v>0.03</v>
      </c>
    </row>
    <row r="180" spans="1:17" ht="15" x14ac:dyDescent="0.25">
      <c r="A180" s="46">
        <v>179</v>
      </c>
      <c r="B180" s="52" t="s">
        <v>340</v>
      </c>
      <c r="C180" s="52">
        <v>50</v>
      </c>
      <c r="D180" s="52">
        <v>1</v>
      </c>
      <c r="E180" s="52" t="s">
        <v>160</v>
      </c>
      <c r="F180" s="52" t="s">
        <v>228</v>
      </c>
      <c r="G180" s="52">
        <v>200</v>
      </c>
      <c r="H180" s="52">
        <v>0</v>
      </c>
      <c r="I180" s="52">
        <v>324</v>
      </c>
      <c r="J180" s="52">
        <v>135</v>
      </c>
      <c r="K180" s="52">
        <v>245</v>
      </c>
      <c r="L180" s="52">
        <v>0.10299999999999999</v>
      </c>
      <c r="N180" s="56">
        <f t="shared" si="8"/>
        <v>24</v>
      </c>
      <c r="O180" s="54">
        <f t="shared" si="9"/>
        <v>2910</v>
      </c>
      <c r="P180" s="57">
        <f t="shared" si="10"/>
        <v>3000</v>
      </c>
      <c r="Q180" s="58">
        <f t="shared" si="11"/>
        <v>0.03</v>
      </c>
    </row>
    <row r="181" spans="1:17" ht="15" hidden="1" x14ac:dyDescent="0.25">
      <c r="A181" s="46">
        <v>180</v>
      </c>
      <c r="B181" s="52" t="s">
        <v>341</v>
      </c>
      <c r="C181" s="52">
        <v>61</v>
      </c>
      <c r="D181" s="52">
        <v>1</v>
      </c>
      <c r="E181" s="52" t="s">
        <v>160</v>
      </c>
      <c r="F181" s="52" t="s">
        <v>228</v>
      </c>
      <c r="G181" s="52">
        <v>200</v>
      </c>
      <c r="H181" s="52">
        <v>0</v>
      </c>
      <c r="I181" s="52">
        <v>337</v>
      </c>
      <c r="J181" s="52">
        <v>157</v>
      </c>
      <c r="K181" s="52">
        <v>242</v>
      </c>
      <c r="L181" s="52">
        <v>0.10299999999999999</v>
      </c>
      <c r="N181" s="56">
        <f t="shared" si="8"/>
        <v>24</v>
      </c>
      <c r="O181" s="54">
        <f t="shared" si="9"/>
        <v>3530</v>
      </c>
      <c r="P181" s="57">
        <f t="shared" si="10"/>
        <v>3660</v>
      </c>
      <c r="Q181" s="58">
        <f t="shared" si="11"/>
        <v>3.5519125683060107E-2</v>
      </c>
    </row>
    <row r="182" spans="1:17" ht="15" hidden="1" x14ac:dyDescent="0.25">
      <c r="A182" s="46">
        <v>181</v>
      </c>
      <c r="B182" s="52" t="s">
        <v>342</v>
      </c>
      <c r="C182" s="52">
        <v>68</v>
      </c>
      <c r="D182" s="52">
        <v>1</v>
      </c>
      <c r="E182" s="52" t="s">
        <v>160</v>
      </c>
      <c r="F182" s="52" t="s">
        <v>228</v>
      </c>
      <c r="G182" s="52">
        <v>225</v>
      </c>
      <c r="H182" s="52">
        <v>0</v>
      </c>
      <c r="I182" s="52">
        <v>379</v>
      </c>
      <c r="J182" s="52">
        <v>177</v>
      </c>
      <c r="K182" s="52">
        <v>273</v>
      </c>
      <c r="L182" s="52">
        <v>0.10299999999999999</v>
      </c>
      <c r="N182" s="56">
        <f t="shared" si="8"/>
        <v>24</v>
      </c>
      <c r="O182" s="54">
        <f t="shared" si="9"/>
        <v>3970</v>
      </c>
      <c r="P182" s="57">
        <f t="shared" si="10"/>
        <v>4080</v>
      </c>
      <c r="Q182" s="58">
        <f t="shared" si="11"/>
        <v>2.6960784313725492E-2</v>
      </c>
    </row>
    <row r="183" spans="1:17" ht="15" hidden="1" x14ac:dyDescent="0.25">
      <c r="A183" s="46">
        <v>182</v>
      </c>
      <c r="B183" s="52" t="s">
        <v>343</v>
      </c>
      <c r="C183" s="52">
        <v>56</v>
      </c>
      <c r="D183" s="52">
        <v>1</v>
      </c>
      <c r="E183" s="52" t="s">
        <v>160</v>
      </c>
      <c r="F183" s="52" t="s">
        <v>228</v>
      </c>
      <c r="G183" s="52">
        <v>225</v>
      </c>
      <c r="H183" s="52">
        <v>0</v>
      </c>
      <c r="I183" s="52">
        <v>370</v>
      </c>
      <c r="J183" s="52">
        <v>162</v>
      </c>
      <c r="K183" s="52">
        <v>276</v>
      </c>
      <c r="L183" s="52">
        <v>0.10299999999999999</v>
      </c>
      <c r="N183" s="56">
        <f t="shared" si="8"/>
        <v>24</v>
      </c>
      <c r="O183" s="54">
        <f t="shared" si="9"/>
        <v>3275</v>
      </c>
      <c r="P183" s="57">
        <f t="shared" si="10"/>
        <v>3360</v>
      </c>
      <c r="Q183" s="58">
        <f t="shared" si="11"/>
        <v>2.5297619047619048E-2</v>
      </c>
    </row>
    <row r="184" spans="1:17" ht="15" x14ac:dyDescent="0.25">
      <c r="A184" s="46">
        <v>183</v>
      </c>
      <c r="B184" s="52" t="s">
        <v>344</v>
      </c>
      <c r="C184" s="52">
        <v>50</v>
      </c>
      <c r="D184" s="52">
        <v>1</v>
      </c>
      <c r="E184" s="52" t="s">
        <v>160</v>
      </c>
      <c r="F184" s="52" t="s">
        <v>228</v>
      </c>
      <c r="G184" s="52">
        <v>250</v>
      </c>
      <c r="H184" s="52">
        <v>0</v>
      </c>
      <c r="I184" s="52">
        <v>350</v>
      </c>
      <c r="J184" s="52">
        <v>190</v>
      </c>
      <c r="K184" s="52">
        <v>300</v>
      </c>
      <c r="L184" s="52">
        <v>0.10299999999999999</v>
      </c>
      <c r="N184" s="56">
        <f t="shared" si="8"/>
        <v>0</v>
      </c>
      <c r="O184" s="54">
        <f t="shared" si="9"/>
        <v>2910</v>
      </c>
      <c r="P184" s="57">
        <f t="shared" si="10"/>
        <v>3000</v>
      </c>
      <c r="Q184" s="58">
        <f t="shared" si="11"/>
        <v>0.03</v>
      </c>
    </row>
    <row r="185" spans="1:17" ht="15" x14ac:dyDescent="0.25">
      <c r="A185" s="46">
        <v>184</v>
      </c>
      <c r="B185" s="52" t="s">
        <v>345</v>
      </c>
      <c r="C185" s="52">
        <v>50</v>
      </c>
      <c r="D185" s="52">
        <v>1</v>
      </c>
      <c r="E185" s="52" t="s">
        <v>160</v>
      </c>
      <c r="F185" s="52" t="s">
        <v>228</v>
      </c>
      <c r="G185" s="52">
        <v>250</v>
      </c>
      <c r="H185" s="52">
        <v>0</v>
      </c>
      <c r="I185" s="52">
        <v>403</v>
      </c>
      <c r="J185" s="52">
        <v>190</v>
      </c>
      <c r="K185" s="52">
        <v>300</v>
      </c>
      <c r="L185" s="52">
        <v>0.10299999999999999</v>
      </c>
      <c r="N185" s="56">
        <f t="shared" si="8"/>
        <v>0</v>
      </c>
      <c r="O185" s="54">
        <f t="shared" si="9"/>
        <v>2910</v>
      </c>
      <c r="P185" s="57">
        <f t="shared" si="10"/>
        <v>3000</v>
      </c>
      <c r="Q185" s="58">
        <f t="shared" si="11"/>
        <v>0.03</v>
      </c>
    </row>
    <row r="186" spans="1:17" ht="15" x14ac:dyDescent="0.25">
      <c r="A186" s="46">
        <v>185</v>
      </c>
      <c r="B186" s="52" t="s">
        <v>346</v>
      </c>
      <c r="C186" s="52">
        <v>50</v>
      </c>
      <c r="D186" s="52">
        <v>1</v>
      </c>
      <c r="E186" s="52" t="s">
        <v>160</v>
      </c>
      <c r="F186" s="52" t="s">
        <v>228</v>
      </c>
      <c r="G186" s="52">
        <v>250</v>
      </c>
      <c r="H186" s="52">
        <v>0</v>
      </c>
      <c r="I186" s="52">
        <v>392</v>
      </c>
      <c r="J186" s="52">
        <v>190</v>
      </c>
      <c r="K186" s="52">
        <v>315</v>
      </c>
      <c r="L186" s="52">
        <v>0.10299999999999999</v>
      </c>
      <c r="N186" s="56">
        <f t="shared" si="8"/>
        <v>0</v>
      </c>
      <c r="O186" s="54">
        <f t="shared" si="9"/>
        <v>2910</v>
      </c>
      <c r="P186" s="57">
        <f t="shared" si="10"/>
        <v>3000</v>
      </c>
      <c r="Q186" s="58">
        <f t="shared" si="11"/>
        <v>0.03</v>
      </c>
    </row>
    <row r="187" spans="1:17" ht="15" hidden="1" x14ac:dyDescent="0.25">
      <c r="A187" s="46">
        <v>186</v>
      </c>
      <c r="B187" s="52" t="s">
        <v>347</v>
      </c>
      <c r="C187" s="52">
        <v>76</v>
      </c>
      <c r="D187" s="52">
        <v>1</v>
      </c>
      <c r="E187" s="52" t="s">
        <v>160</v>
      </c>
      <c r="F187" s="52" t="s">
        <v>228</v>
      </c>
      <c r="G187" s="52">
        <v>250</v>
      </c>
      <c r="H187" s="52">
        <v>0</v>
      </c>
      <c r="I187" s="52">
        <v>421</v>
      </c>
      <c r="J187" s="52">
        <v>197</v>
      </c>
      <c r="K187" s="52">
        <v>303</v>
      </c>
      <c r="L187" s="52">
        <v>0.10299999999999999</v>
      </c>
      <c r="N187" s="56">
        <f t="shared" si="8"/>
        <v>24</v>
      </c>
      <c r="O187" s="54">
        <f t="shared" si="9"/>
        <v>4410</v>
      </c>
      <c r="P187" s="57">
        <f t="shared" si="10"/>
        <v>4560</v>
      </c>
      <c r="Q187" s="58">
        <f t="shared" si="11"/>
        <v>3.2894736842105261E-2</v>
      </c>
    </row>
    <row r="188" spans="1:17" ht="15" x14ac:dyDescent="0.25">
      <c r="A188" s="46">
        <v>187</v>
      </c>
      <c r="B188" s="52" t="s">
        <v>348</v>
      </c>
      <c r="C188" s="52">
        <v>50</v>
      </c>
      <c r="D188" s="52">
        <v>1</v>
      </c>
      <c r="E188" s="52" t="s">
        <v>160</v>
      </c>
      <c r="F188" s="52" t="s">
        <v>228</v>
      </c>
      <c r="G188" s="52">
        <v>280</v>
      </c>
      <c r="H188" s="52">
        <v>0</v>
      </c>
      <c r="I188" s="52">
        <v>490</v>
      </c>
      <c r="J188" s="52">
        <v>84</v>
      </c>
      <c r="K188" s="52">
        <v>350</v>
      </c>
      <c r="L188" s="52">
        <v>0.10299999999999999</v>
      </c>
      <c r="N188" s="56">
        <f t="shared" si="8"/>
        <v>0</v>
      </c>
      <c r="O188" s="54">
        <f t="shared" si="9"/>
        <v>2910</v>
      </c>
      <c r="P188" s="57">
        <f t="shared" si="10"/>
        <v>3000</v>
      </c>
      <c r="Q188" s="58">
        <f t="shared" si="11"/>
        <v>0.03</v>
      </c>
    </row>
    <row r="189" spans="1:17" ht="15" x14ac:dyDescent="0.25">
      <c r="A189" s="46">
        <v>188</v>
      </c>
      <c r="B189" s="52" t="s">
        <v>349</v>
      </c>
      <c r="C189" s="52">
        <v>50</v>
      </c>
      <c r="D189" s="52">
        <v>1</v>
      </c>
      <c r="E189" s="52" t="s">
        <v>160</v>
      </c>
      <c r="F189" s="52" t="s">
        <v>228</v>
      </c>
      <c r="G189" s="52">
        <v>280</v>
      </c>
      <c r="H189" s="52">
        <v>0</v>
      </c>
      <c r="I189" s="52">
        <v>494</v>
      </c>
      <c r="J189" s="52">
        <v>220</v>
      </c>
      <c r="K189" s="52">
        <v>350</v>
      </c>
      <c r="L189" s="52">
        <v>0.10299999999999999</v>
      </c>
      <c r="N189" s="56">
        <f t="shared" si="8"/>
        <v>0</v>
      </c>
      <c r="O189" s="54">
        <f t="shared" si="9"/>
        <v>2910</v>
      </c>
      <c r="P189" s="57">
        <f t="shared" si="10"/>
        <v>3000</v>
      </c>
      <c r="Q189" s="58">
        <f t="shared" si="11"/>
        <v>0.03</v>
      </c>
    </row>
    <row r="190" spans="1:17" ht="15" hidden="1" x14ac:dyDescent="0.25">
      <c r="A190" s="46">
        <v>189</v>
      </c>
      <c r="B190" s="52" t="s">
        <v>350</v>
      </c>
      <c r="C190" s="52">
        <v>85</v>
      </c>
      <c r="D190" s="52">
        <v>1</v>
      </c>
      <c r="E190" s="52" t="s">
        <v>160</v>
      </c>
      <c r="F190" s="52" t="s">
        <v>228</v>
      </c>
      <c r="G190" s="52">
        <v>280</v>
      </c>
      <c r="H190" s="52">
        <v>0</v>
      </c>
      <c r="I190" s="52">
        <v>472</v>
      </c>
      <c r="J190" s="52">
        <v>221</v>
      </c>
      <c r="K190" s="52">
        <v>339</v>
      </c>
      <c r="L190" s="52">
        <v>0.10299999999999999</v>
      </c>
      <c r="N190" s="56">
        <f t="shared" si="8"/>
        <v>24</v>
      </c>
      <c r="O190" s="54">
        <f t="shared" si="9"/>
        <v>4940</v>
      </c>
      <c r="P190" s="57">
        <f t="shared" si="10"/>
        <v>5100</v>
      </c>
      <c r="Q190" s="58">
        <f t="shared" si="11"/>
        <v>3.1372549019607843E-2</v>
      </c>
    </row>
    <row r="191" spans="1:17" ht="15" x14ac:dyDescent="0.25">
      <c r="A191" s="46">
        <v>190</v>
      </c>
      <c r="B191" s="52" t="s">
        <v>351</v>
      </c>
      <c r="C191" s="52">
        <v>50</v>
      </c>
      <c r="D191" s="52">
        <v>1</v>
      </c>
      <c r="E191" s="52" t="s">
        <v>160</v>
      </c>
      <c r="F191" s="52" t="s">
        <v>228</v>
      </c>
      <c r="G191" s="52">
        <v>320</v>
      </c>
      <c r="H191" s="52">
        <v>0</v>
      </c>
      <c r="I191" s="52">
        <v>557</v>
      </c>
      <c r="J191" s="52">
        <v>240</v>
      </c>
      <c r="K191" s="52">
        <v>400</v>
      </c>
      <c r="L191" s="52">
        <v>0.10299999999999999</v>
      </c>
      <c r="N191" s="56">
        <f t="shared" si="8"/>
        <v>0</v>
      </c>
      <c r="O191" s="54">
        <f t="shared" si="9"/>
        <v>2910</v>
      </c>
      <c r="P191" s="57">
        <f t="shared" si="10"/>
        <v>3000</v>
      </c>
      <c r="Q191" s="58">
        <f t="shared" si="11"/>
        <v>0.03</v>
      </c>
    </row>
    <row r="192" spans="1:17" s="112" customFormat="1" ht="15" x14ac:dyDescent="0.25">
      <c r="A192" s="110">
        <v>191</v>
      </c>
      <c r="B192" s="111" t="s">
        <v>352</v>
      </c>
      <c r="C192" s="111">
        <v>50</v>
      </c>
      <c r="D192" s="111">
        <v>1</v>
      </c>
      <c r="E192" s="111" t="s">
        <v>160</v>
      </c>
      <c r="F192" s="111" t="s">
        <v>228</v>
      </c>
      <c r="G192" s="111">
        <v>320</v>
      </c>
      <c r="H192" s="111">
        <v>0</v>
      </c>
      <c r="I192" s="111">
        <v>540</v>
      </c>
      <c r="J192" s="111">
        <v>240</v>
      </c>
      <c r="K192" s="111">
        <v>400</v>
      </c>
      <c r="L192" s="111">
        <v>0.10299999999999999</v>
      </c>
      <c r="N192" s="113">
        <f t="shared" si="8"/>
        <v>24</v>
      </c>
      <c r="O192" s="114">
        <f t="shared" si="9"/>
        <v>2910</v>
      </c>
      <c r="P192" s="112">
        <f t="shared" si="10"/>
        <v>3000</v>
      </c>
      <c r="Q192" s="115">
        <f t="shared" si="11"/>
        <v>0.03</v>
      </c>
    </row>
    <row r="193" spans="1:17" ht="15" hidden="1" x14ac:dyDescent="0.25">
      <c r="A193" s="46">
        <v>192</v>
      </c>
      <c r="B193" s="52" t="s">
        <v>353</v>
      </c>
      <c r="C193" s="52">
        <v>80</v>
      </c>
      <c r="D193" s="52">
        <v>1</v>
      </c>
      <c r="E193" s="52" t="s">
        <v>160</v>
      </c>
      <c r="F193" s="52" t="s">
        <v>228</v>
      </c>
      <c r="G193" s="52">
        <v>320</v>
      </c>
      <c r="H193" s="52">
        <v>0</v>
      </c>
      <c r="I193" s="52">
        <v>528</v>
      </c>
      <c r="J193" s="52">
        <v>216</v>
      </c>
      <c r="K193" s="52">
        <v>392</v>
      </c>
      <c r="L193" s="52">
        <v>0.10299999999999999</v>
      </c>
      <c r="N193" s="56">
        <f t="shared" si="8"/>
        <v>24</v>
      </c>
      <c r="O193" s="54">
        <f t="shared" si="9"/>
        <v>4660</v>
      </c>
      <c r="P193" s="57">
        <f t="shared" si="10"/>
        <v>4800</v>
      </c>
      <c r="Q193" s="58">
        <f t="shared" si="11"/>
        <v>2.9166666666666667E-2</v>
      </c>
    </row>
    <row r="194" spans="1:17" ht="15" x14ac:dyDescent="0.25">
      <c r="A194" s="46">
        <v>193</v>
      </c>
      <c r="B194" s="52" t="s">
        <v>354</v>
      </c>
      <c r="C194" s="52">
        <v>50</v>
      </c>
      <c r="D194" s="52">
        <v>1</v>
      </c>
      <c r="E194" s="52" t="s">
        <v>160</v>
      </c>
      <c r="F194" s="52" t="s">
        <v>228</v>
      </c>
      <c r="G194" s="52">
        <v>400</v>
      </c>
      <c r="H194" s="52">
        <v>0</v>
      </c>
      <c r="I194" s="52">
        <v>677</v>
      </c>
      <c r="J194" s="52">
        <v>320</v>
      </c>
      <c r="K194" s="52">
        <v>480</v>
      </c>
      <c r="L194" s="52">
        <v>0.10299999999999999</v>
      </c>
      <c r="N194" s="56">
        <f t="shared" ref="N194:N257" si="12">IFERROR(SEARCH("@",B194),0)</f>
        <v>0</v>
      </c>
      <c r="O194" s="54">
        <f t="shared" ref="O194:O257" si="13">IF(N194&gt;0,MID(B194,N194+2,5)*1,C194*60*0.97)</f>
        <v>2910</v>
      </c>
      <c r="P194" s="57">
        <f t="shared" ref="P194:P257" si="14">C194*60</f>
        <v>3000</v>
      </c>
      <c r="Q194" s="58">
        <f t="shared" ref="Q194:Q257" si="15">IF(O194&lt;&gt;"",(P194-O194)/P194,"")</f>
        <v>0.03</v>
      </c>
    </row>
    <row r="195" spans="1:17" ht="15" hidden="1" x14ac:dyDescent="0.25">
      <c r="A195" s="46">
        <v>194</v>
      </c>
      <c r="B195" s="52" t="s">
        <v>355</v>
      </c>
      <c r="C195" s="52">
        <v>100</v>
      </c>
      <c r="D195" s="52">
        <v>1</v>
      </c>
      <c r="E195" s="52" t="s">
        <v>160</v>
      </c>
      <c r="F195" s="52" t="s">
        <v>228</v>
      </c>
      <c r="G195" s="52">
        <v>400</v>
      </c>
      <c r="H195" s="52">
        <v>0</v>
      </c>
      <c r="I195" s="52">
        <v>659</v>
      </c>
      <c r="J195" s="52">
        <v>270</v>
      </c>
      <c r="K195" s="52">
        <v>490</v>
      </c>
      <c r="L195" s="52">
        <v>0.10299999999999999</v>
      </c>
      <c r="N195" s="56">
        <f t="shared" si="12"/>
        <v>24</v>
      </c>
      <c r="O195" s="54">
        <f t="shared" si="13"/>
        <v>5820</v>
      </c>
      <c r="P195" s="57">
        <f t="shared" si="14"/>
        <v>6000</v>
      </c>
      <c r="Q195" s="58">
        <f t="shared" si="15"/>
        <v>0.03</v>
      </c>
    </row>
    <row r="196" spans="1:17" ht="15" x14ac:dyDescent="0.25">
      <c r="A196" s="46">
        <v>195</v>
      </c>
      <c r="B196" s="52" t="s">
        <v>356</v>
      </c>
      <c r="C196" s="52">
        <v>50</v>
      </c>
      <c r="D196" s="52">
        <v>1</v>
      </c>
      <c r="E196" s="52" t="s">
        <v>160</v>
      </c>
      <c r="F196" s="52" t="s">
        <v>228</v>
      </c>
      <c r="G196" s="52">
        <v>410</v>
      </c>
      <c r="H196" s="52">
        <v>0</v>
      </c>
      <c r="I196" s="52">
        <v>650</v>
      </c>
      <c r="J196" s="52">
        <v>300</v>
      </c>
      <c r="K196" s="52">
        <v>500</v>
      </c>
      <c r="L196" s="52">
        <v>0.10299999999999999</v>
      </c>
      <c r="N196" s="56">
        <f t="shared" si="12"/>
        <v>24</v>
      </c>
      <c r="O196" s="54">
        <f t="shared" si="13"/>
        <v>2910</v>
      </c>
      <c r="P196" s="57">
        <f t="shared" si="14"/>
        <v>3000</v>
      </c>
      <c r="Q196" s="58">
        <f t="shared" si="15"/>
        <v>0.03</v>
      </c>
    </row>
    <row r="197" spans="1:17" ht="15" x14ac:dyDescent="0.25">
      <c r="A197" s="46">
        <v>196</v>
      </c>
      <c r="B197" s="52" t="s">
        <v>357</v>
      </c>
      <c r="C197" s="52">
        <v>50</v>
      </c>
      <c r="D197" s="52">
        <v>1</v>
      </c>
      <c r="E197" s="52" t="s">
        <v>160</v>
      </c>
      <c r="F197" s="52" t="s">
        <v>228</v>
      </c>
      <c r="G197" s="52">
        <v>500</v>
      </c>
      <c r="H197" s="52">
        <v>0</v>
      </c>
      <c r="I197" s="52">
        <v>762</v>
      </c>
      <c r="J197" s="52">
        <v>350</v>
      </c>
      <c r="K197" s="52">
        <v>600</v>
      </c>
      <c r="L197" s="52">
        <v>0.10299999999999999</v>
      </c>
      <c r="N197" s="56">
        <f t="shared" si="12"/>
        <v>24</v>
      </c>
      <c r="O197" s="54">
        <f t="shared" si="13"/>
        <v>2910</v>
      </c>
      <c r="P197" s="57">
        <f t="shared" si="14"/>
        <v>3000</v>
      </c>
      <c r="Q197" s="58">
        <f t="shared" si="15"/>
        <v>0.03</v>
      </c>
    </row>
    <row r="198" spans="1:17" ht="15" hidden="1" x14ac:dyDescent="0.25">
      <c r="A198" s="46">
        <v>197</v>
      </c>
      <c r="B198" s="52" t="s">
        <v>358</v>
      </c>
      <c r="C198" s="52">
        <v>78</v>
      </c>
      <c r="D198" s="52">
        <v>1</v>
      </c>
      <c r="E198" s="52" t="s">
        <v>160</v>
      </c>
      <c r="F198" s="52" t="s">
        <v>228</v>
      </c>
      <c r="G198" s="52">
        <v>500</v>
      </c>
      <c r="H198" s="52">
        <v>0</v>
      </c>
      <c r="I198" s="52">
        <v>844</v>
      </c>
      <c r="J198" s="52">
        <v>375</v>
      </c>
      <c r="K198" s="52">
        <v>625</v>
      </c>
      <c r="L198" s="52">
        <v>0.10299999999999999</v>
      </c>
      <c r="N198" s="56">
        <f t="shared" si="12"/>
        <v>24</v>
      </c>
      <c r="O198" s="54">
        <f t="shared" si="13"/>
        <v>4550</v>
      </c>
      <c r="P198" s="57">
        <f t="shared" si="14"/>
        <v>4680</v>
      </c>
      <c r="Q198" s="58">
        <f t="shared" si="15"/>
        <v>2.7777777777777776E-2</v>
      </c>
    </row>
    <row r="199" spans="1:17" ht="15" hidden="1" x14ac:dyDescent="0.25">
      <c r="A199" s="46">
        <v>198</v>
      </c>
      <c r="B199" s="52" t="s">
        <v>359</v>
      </c>
      <c r="C199" s="52">
        <v>70</v>
      </c>
      <c r="D199" s="52">
        <v>1</v>
      </c>
      <c r="E199" s="52" t="s">
        <v>160</v>
      </c>
      <c r="F199" s="52" t="s">
        <v>228</v>
      </c>
      <c r="G199" s="52">
        <v>700</v>
      </c>
      <c r="H199" s="52">
        <v>0</v>
      </c>
      <c r="I199" s="52">
        <v>1068</v>
      </c>
      <c r="J199" s="52">
        <v>490</v>
      </c>
      <c r="K199" s="52">
        <v>840</v>
      </c>
      <c r="L199" s="52">
        <v>0.10299999999999999</v>
      </c>
      <c r="N199" s="56">
        <f t="shared" si="12"/>
        <v>24</v>
      </c>
      <c r="O199" s="54">
        <f t="shared" si="13"/>
        <v>4080</v>
      </c>
      <c r="P199" s="57">
        <f t="shared" si="14"/>
        <v>4200</v>
      </c>
      <c r="Q199" s="58">
        <f t="shared" si="15"/>
        <v>2.8571428571428571E-2</v>
      </c>
    </row>
    <row r="200" spans="1:17" ht="15" hidden="1" x14ac:dyDescent="0.25">
      <c r="A200" s="46">
        <v>199</v>
      </c>
      <c r="B200" s="52" t="s">
        <v>360</v>
      </c>
      <c r="C200" s="52">
        <v>80</v>
      </c>
      <c r="D200" s="52">
        <v>1</v>
      </c>
      <c r="E200" s="52" t="s">
        <v>160</v>
      </c>
      <c r="F200" s="52" t="s">
        <v>228</v>
      </c>
      <c r="G200" s="52">
        <v>800</v>
      </c>
      <c r="H200" s="52">
        <v>0</v>
      </c>
      <c r="I200" s="52">
        <v>1220</v>
      </c>
      <c r="J200" s="52">
        <v>560</v>
      </c>
      <c r="K200" s="52">
        <v>960</v>
      </c>
      <c r="L200" s="52">
        <v>0.10299999999999999</v>
      </c>
      <c r="N200" s="56">
        <f t="shared" si="12"/>
        <v>24</v>
      </c>
      <c r="O200" s="54">
        <f t="shared" si="13"/>
        <v>4660</v>
      </c>
      <c r="P200" s="57">
        <f t="shared" si="14"/>
        <v>4800</v>
      </c>
      <c r="Q200" s="58">
        <f t="shared" si="15"/>
        <v>2.9166666666666667E-2</v>
      </c>
    </row>
    <row r="201" spans="1:17" ht="15" hidden="1" x14ac:dyDescent="0.25">
      <c r="A201" s="46">
        <v>200</v>
      </c>
      <c r="B201" s="52" t="s">
        <v>361</v>
      </c>
      <c r="C201" s="52">
        <v>50</v>
      </c>
      <c r="D201" s="52">
        <v>1</v>
      </c>
      <c r="E201" s="52" t="s">
        <v>160</v>
      </c>
      <c r="F201" s="52">
        <v>6</v>
      </c>
      <c r="G201" s="52">
        <v>1250</v>
      </c>
      <c r="H201" s="52">
        <v>0</v>
      </c>
      <c r="I201" s="52">
        <v>2080</v>
      </c>
      <c r="J201" s="52">
        <v>1000</v>
      </c>
      <c r="K201" s="52">
        <v>1500</v>
      </c>
      <c r="L201" s="52">
        <v>0.114</v>
      </c>
      <c r="N201" s="56">
        <f t="shared" si="12"/>
        <v>0</v>
      </c>
      <c r="O201" s="54">
        <f t="shared" si="13"/>
        <v>2910</v>
      </c>
      <c r="P201" s="57">
        <f t="shared" si="14"/>
        <v>3000</v>
      </c>
      <c r="Q201" s="58">
        <f t="shared" si="15"/>
        <v>0.03</v>
      </c>
    </row>
    <row r="202" spans="1:17" ht="15" hidden="1" x14ac:dyDescent="0.25">
      <c r="A202" s="46">
        <v>201</v>
      </c>
      <c r="B202" s="52" t="s">
        <v>362</v>
      </c>
      <c r="C202" s="52">
        <v>50</v>
      </c>
      <c r="D202" s="52">
        <v>1</v>
      </c>
      <c r="E202" s="52" t="s">
        <v>160</v>
      </c>
      <c r="F202" s="52" t="s">
        <v>256</v>
      </c>
      <c r="G202" s="52">
        <v>1000</v>
      </c>
      <c r="H202" s="52">
        <v>0</v>
      </c>
      <c r="I202" s="52">
        <v>1650</v>
      </c>
      <c r="J202" s="52">
        <v>700</v>
      </c>
      <c r="K202" s="52">
        <v>1300</v>
      </c>
      <c r="L202" s="52">
        <v>0.13600000000000001</v>
      </c>
      <c r="N202" s="56">
        <f t="shared" si="12"/>
        <v>25</v>
      </c>
      <c r="O202" s="54">
        <f t="shared" si="13"/>
        <v>2910</v>
      </c>
      <c r="P202" s="57">
        <f t="shared" si="14"/>
        <v>3000</v>
      </c>
      <c r="Q202" s="58">
        <f t="shared" si="15"/>
        <v>0.03</v>
      </c>
    </row>
    <row r="203" spans="1:17" ht="15" hidden="1" x14ac:dyDescent="0.25">
      <c r="A203" s="46">
        <v>202</v>
      </c>
      <c r="B203" s="52" t="s">
        <v>363</v>
      </c>
      <c r="C203" s="52">
        <v>67</v>
      </c>
      <c r="D203" s="52">
        <v>1</v>
      </c>
      <c r="E203" s="52" t="s">
        <v>160</v>
      </c>
      <c r="F203" s="52" t="s">
        <v>256</v>
      </c>
      <c r="G203" s="52">
        <v>1000</v>
      </c>
      <c r="H203" s="52">
        <v>0</v>
      </c>
      <c r="I203" s="52">
        <v>1830</v>
      </c>
      <c r="J203" s="52">
        <v>734</v>
      </c>
      <c r="K203" s="52">
        <v>1200</v>
      </c>
      <c r="L203" s="52">
        <v>0.13600000000000001</v>
      </c>
      <c r="N203" s="56">
        <f t="shared" si="12"/>
        <v>24</v>
      </c>
      <c r="O203" s="54">
        <f t="shared" si="13"/>
        <v>3880</v>
      </c>
      <c r="P203" s="57">
        <f t="shared" si="14"/>
        <v>4020</v>
      </c>
      <c r="Q203" s="58">
        <f t="shared" si="15"/>
        <v>3.482587064676617E-2</v>
      </c>
    </row>
    <row r="204" spans="1:17" ht="15" hidden="1" x14ac:dyDescent="0.25">
      <c r="A204" s="46">
        <v>203</v>
      </c>
      <c r="B204" s="52" t="s">
        <v>364</v>
      </c>
      <c r="C204" s="52">
        <v>50</v>
      </c>
      <c r="D204" s="52">
        <v>1</v>
      </c>
      <c r="E204" s="52" t="s">
        <v>160</v>
      </c>
      <c r="F204" s="52" t="s">
        <v>256</v>
      </c>
      <c r="G204" s="52">
        <v>1000</v>
      </c>
      <c r="H204" s="52">
        <v>0</v>
      </c>
      <c r="I204" s="52">
        <v>1730</v>
      </c>
      <c r="J204" s="52">
        <v>700</v>
      </c>
      <c r="K204" s="52">
        <v>1300</v>
      </c>
      <c r="L204" s="52">
        <v>0.13600000000000001</v>
      </c>
      <c r="N204" s="56">
        <f t="shared" si="12"/>
        <v>27</v>
      </c>
      <c r="O204" s="54">
        <f t="shared" si="13"/>
        <v>2910</v>
      </c>
      <c r="P204" s="57">
        <f t="shared" si="14"/>
        <v>3000</v>
      </c>
      <c r="Q204" s="58">
        <f t="shared" si="15"/>
        <v>0.03</v>
      </c>
    </row>
    <row r="205" spans="1:17" ht="15" hidden="1" x14ac:dyDescent="0.25">
      <c r="A205" s="46">
        <v>204</v>
      </c>
      <c r="B205" s="52" t="s">
        <v>365</v>
      </c>
      <c r="C205" s="52">
        <v>63</v>
      </c>
      <c r="D205" s="52">
        <v>1</v>
      </c>
      <c r="E205" s="52" t="s">
        <v>160</v>
      </c>
      <c r="F205" s="52" t="s">
        <v>256</v>
      </c>
      <c r="G205" s="52">
        <v>1250</v>
      </c>
      <c r="H205" s="52">
        <v>0</v>
      </c>
      <c r="I205" s="52">
        <v>2060</v>
      </c>
      <c r="J205" s="52">
        <v>875</v>
      </c>
      <c r="K205" s="52">
        <v>1625</v>
      </c>
      <c r="L205" s="52">
        <v>0.13600000000000001</v>
      </c>
      <c r="N205" s="56">
        <f t="shared" si="12"/>
        <v>25</v>
      </c>
      <c r="O205" s="54">
        <f t="shared" si="13"/>
        <v>3640</v>
      </c>
      <c r="P205" s="57">
        <f t="shared" si="14"/>
        <v>3780</v>
      </c>
      <c r="Q205" s="58">
        <f t="shared" si="15"/>
        <v>3.7037037037037035E-2</v>
      </c>
    </row>
    <row r="206" spans="1:17" ht="15" hidden="1" x14ac:dyDescent="0.25">
      <c r="A206" s="46">
        <v>205</v>
      </c>
      <c r="B206" s="52" t="s">
        <v>366</v>
      </c>
      <c r="C206" s="52">
        <v>50</v>
      </c>
      <c r="D206" s="52">
        <v>1</v>
      </c>
      <c r="E206" s="52" t="s">
        <v>160</v>
      </c>
      <c r="F206" s="52" t="s">
        <v>256</v>
      </c>
      <c r="G206" s="52">
        <v>150</v>
      </c>
      <c r="H206" s="52">
        <v>0</v>
      </c>
      <c r="I206" s="52">
        <v>301</v>
      </c>
      <c r="J206" s="52">
        <v>110</v>
      </c>
      <c r="K206" s="52">
        <v>200</v>
      </c>
      <c r="L206" s="52">
        <v>0.13600000000000001</v>
      </c>
      <c r="N206" s="56">
        <f t="shared" si="12"/>
        <v>23</v>
      </c>
      <c r="O206" s="54">
        <f t="shared" si="13"/>
        <v>2910</v>
      </c>
      <c r="P206" s="57">
        <f t="shared" si="14"/>
        <v>3000</v>
      </c>
      <c r="Q206" s="58">
        <f t="shared" si="15"/>
        <v>0.03</v>
      </c>
    </row>
    <row r="207" spans="1:17" ht="15" hidden="1" x14ac:dyDescent="0.25">
      <c r="A207" s="46">
        <v>206</v>
      </c>
      <c r="B207" s="52" t="s">
        <v>367</v>
      </c>
      <c r="C207" s="52">
        <v>50</v>
      </c>
      <c r="D207" s="52">
        <v>1</v>
      </c>
      <c r="E207" s="52" t="s">
        <v>160</v>
      </c>
      <c r="F207" s="52" t="s">
        <v>256</v>
      </c>
      <c r="G207" s="52">
        <v>1600</v>
      </c>
      <c r="H207" s="52">
        <v>0</v>
      </c>
      <c r="I207" s="52">
        <v>2720</v>
      </c>
      <c r="J207" s="52">
        <v>1200</v>
      </c>
      <c r="K207" s="52">
        <v>2000</v>
      </c>
      <c r="L207" s="52">
        <v>0.13600000000000001</v>
      </c>
      <c r="N207" s="56">
        <f t="shared" si="12"/>
        <v>26</v>
      </c>
      <c r="O207" s="54">
        <f t="shared" si="13"/>
        <v>2910</v>
      </c>
      <c r="P207" s="57">
        <f t="shared" si="14"/>
        <v>3000</v>
      </c>
      <c r="Q207" s="58">
        <f t="shared" si="15"/>
        <v>0.03</v>
      </c>
    </row>
    <row r="208" spans="1:17" ht="15" hidden="1" x14ac:dyDescent="0.25">
      <c r="A208" s="46">
        <v>207</v>
      </c>
      <c r="B208" s="52" t="s">
        <v>368</v>
      </c>
      <c r="C208" s="52">
        <v>80</v>
      </c>
      <c r="D208" s="52">
        <v>1</v>
      </c>
      <c r="E208" s="52" t="s">
        <v>160</v>
      </c>
      <c r="F208" s="52" t="s">
        <v>256</v>
      </c>
      <c r="G208" s="52">
        <v>1600</v>
      </c>
      <c r="H208" s="52">
        <v>0</v>
      </c>
      <c r="I208" s="52">
        <v>2640</v>
      </c>
      <c r="J208" s="52">
        <v>1120</v>
      </c>
      <c r="K208" s="52">
        <v>2080</v>
      </c>
      <c r="L208" s="52">
        <v>0.13600000000000001</v>
      </c>
      <c r="N208" s="56">
        <f t="shared" si="12"/>
        <v>25</v>
      </c>
      <c r="O208" s="54">
        <f t="shared" si="13"/>
        <v>4660</v>
      </c>
      <c r="P208" s="57">
        <f t="shared" si="14"/>
        <v>4800</v>
      </c>
      <c r="Q208" s="58">
        <f t="shared" si="15"/>
        <v>2.9166666666666667E-2</v>
      </c>
    </row>
    <row r="209" spans="1:17" ht="15" hidden="1" x14ac:dyDescent="0.25">
      <c r="A209" s="46">
        <v>208</v>
      </c>
      <c r="B209" s="52" t="s">
        <v>369</v>
      </c>
      <c r="C209" s="52">
        <v>56</v>
      </c>
      <c r="D209" s="52">
        <v>1</v>
      </c>
      <c r="E209" s="52" t="s">
        <v>160</v>
      </c>
      <c r="F209" s="52" t="s">
        <v>256</v>
      </c>
      <c r="G209" s="52">
        <v>1800</v>
      </c>
      <c r="H209" s="52">
        <v>0</v>
      </c>
      <c r="I209" s="52">
        <v>3150</v>
      </c>
      <c r="J209" s="52">
        <v>1350</v>
      </c>
      <c r="K209" s="52">
        <v>2250</v>
      </c>
      <c r="L209" s="52">
        <v>0.13600000000000001</v>
      </c>
      <c r="N209" s="56">
        <f t="shared" si="12"/>
        <v>26</v>
      </c>
      <c r="O209" s="54">
        <f t="shared" si="13"/>
        <v>3270</v>
      </c>
      <c r="P209" s="57">
        <f t="shared" si="14"/>
        <v>3360</v>
      </c>
      <c r="Q209" s="58">
        <f t="shared" si="15"/>
        <v>2.6785714285714284E-2</v>
      </c>
    </row>
    <row r="210" spans="1:17" ht="15" hidden="1" x14ac:dyDescent="0.25">
      <c r="A210" s="46">
        <v>209</v>
      </c>
      <c r="B210" s="52" t="s">
        <v>370</v>
      </c>
      <c r="C210" s="52">
        <v>60</v>
      </c>
      <c r="D210" s="52">
        <v>1</v>
      </c>
      <c r="E210" s="52" t="s">
        <v>160</v>
      </c>
      <c r="F210" s="52" t="s">
        <v>256</v>
      </c>
      <c r="G210" s="52">
        <v>180</v>
      </c>
      <c r="H210" s="52">
        <v>0</v>
      </c>
      <c r="I210" s="52">
        <v>361</v>
      </c>
      <c r="J210" s="52">
        <v>135</v>
      </c>
      <c r="K210" s="52">
        <v>225</v>
      </c>
      <c r="L210" s="52">
        <v>0.13600000000000001</v>
      </c>
      <c r="N210" s="56">
        <f t="shared" si="12"/>
        <v>23</v>
      </c>
      <c r="O210" s="54">
        <f t="shared" si="13"/>
        <v>3495</v>
      </c>
      <c r="P210" s="57">
        <f t="shared" si="14"/>
        <v>3600</v>
      </c>
      <c r="Q210" s="58">
        <f t="shared" si="15"/>
        <v>2.9166666666666667E-2</v>
      </c>
    </row>
    <row r="211" spans="1:17" ht="15" hidden="1" x14ac:dyDescent="0.25">
      <c r="A211" s="46">
        <v>210</v>
      </c>
      <c r="B211" s="52" t="s">
        <v>371</v>
      </c>
      <c r="C211" s="52">
        <v>63</v>
      </c>
      <c r="D211" s="52">
        <v>1</v>
      </c>
      <c r="E211" s="52" t="s">
        <v>160</v>
      </c>
      <c r="F211" s="52" t="s">
        <v>256</v>
      </c>
      <c r="G211" s="52">
        <v>2000</v>
      </c>
      <c r="H211" s="52">
        <v>0</v>
      </c>
      <c r="I211" s="52">
        <v>3500</v>
      </c>
      <c r="J211" s="52">
        <v>1500</v>
      </c>
      <c r="K211" s="52">
        <v>2500</v>
      </c>
      <c r="L211" s="52">
        <v>0.13600000000000001</v>
      </c>
      <c r="N211" s="56">
        <f t="shared" si="12"/>
        <v>26</v>
      </c>
      <c r="O211" s="54">
        <f t="shared" si="13"/>
        <v>3640</v>
      </c>
      <c r="P211" s="57">
        <f t="shared" si="14"/>
        <v>3780</v>
      </c>
      <c r="Q211" s="58">
        <f t="shared" si="15"/>
        <v>3.7037037037037035E-2</v>
      </c>
    </row>
    <row r="212" spans="1:17" ht="15" hidden="1" x14ac:dyDescent="0.25">
      <c r="A212" s="46">
        <v>211</v>
      </c>
      <c r="B212" s="52" t="s">
        <v>372</v>
      </c>
      <c r="C212" s="52">
        <v>67</v>
      </c>
      <c r="D212" s="52">
        <v>1</v>
      </c>
      <c r="E212" s="52" t="s">
        <v>160</v>
      </c>
      <c r="F212" s="52" t="s">
        <v>256</v>
      </c>
      <c r="G212" s="52">
        <v>200</v>
      </c>
      <c r="H212" s="52">
        <v>0</v>
      </c>
      <c r="I212" s="52">
        <v>401</v>
      </c>
      <c r="J212" s="52">
        <v>150</v>
      </c>
      <c r="K212" s="52">
        <v>250</v>
      </c>
      <c r="L212" s="52">
        <v>0.13600000000000001</v>
      </c>
      <c r="N212" s="56">
        <f t="shared" si="12"/>
        <v>23</v>
      </c>
      <c r="O212" s="54">
        <f t="shared" si="13"/>
        <v>3880</v>
      </c>
      <c r="P212" s="57">
        <f t="shared" si="14"/>
        <v>4020</v>
      </c>
      <c r="Q212" s="58">
        <f t="shared" si="15"/>
        <v>3.482587064676617E-2</v>
      </c>
    </row>
    <row r="213" spans="1:17" ht="15" hidden="1" x14ac:dyDescent="0.25">
      <c r="A213" s="46">
        <v>212</v>
      </c>
      <c r="B213" s="52" t="s">
        <v>373</v>
      </c>
      <c r="C213" s="52">
        <v>67</v>
      </c>
      <c r="D213" s="52">
        <v>1</v>
      </c>
      <c r="E213" s="52" t="s">
        <v>160</v>
      </c>
      <c r="F213" s="52" t="s">
        <v>256</v>
      </c>
      <c r="G213" s="52">
        <v>2200</v>
      </c>
      <c r="H213" s="52">
        <v>0</v>
      </c>
      <c r="I213" s="52">
        <v>3850</v>
      </c>
      <c r="J213" s="52">
        <v>1650</v>
      </c>
      <c r="K213" s="52">
        <v>2750</v>
      </c>
      <c r="L213" s="52">
        <v>0.13600000000000001</v>
      </c>
      <c r="N213" s="56">
        <f t="shared" si="12"/>
        <v>26</v>
      </c>
      <c r="O213" s="54">
        <f t="shared" si="13"/>
        <v>4000</v>
      </c>
      <c r="P213" s="57">
        <f t="shared" si="14"/>
        <v>4020</v>
      </c>
      <c r="Q213" s="58">
        <f t="shared" si="15"/>
        <v>4.9751243781094526E-3</v>
      </c>
    </row>
    <row r="214" spans="1:17" ht="15" hidden="1" x14ac:dyDescent="0.25">
      <c r="A214" s="46">
        <v>213</v>
      </c>
      <c r="B214" s="52" t="s">
        <v>374</v>
      </c>
      <c r="C214" s="52">
        <v>50</v>
      </c>
      <c r="D214" s="52">
        <v>1</v>
      </c>
      <c r="E214" s="52" t="s">
        <v>160</v>
      </c>
      <c r="F214" s="52" t="s">
        <v>256</v>
      </c>
      <c r="G214" s="52">
        <v>2250</v>
      </c>
      <c r="H214" s="52">
        <v>0</v>
      </c>
      <c r="I214" s="52">
        <v>3500</v>
      </c>
      <c r="J214" s="52">
        <v>1500</v>
      </c>
      <c r="K214" s="52">
        <v>3000</v>
      </c>
      <c r="L214" s="52">
        <v>0.13600000000000001</v>
      </c>
      <c r="N214" s="56">
        <f t="shared" si="12"/>
        <v>26</v>
      </c>
      <c r="O214" s="54">
        <f t="shared" si="13"/>
        <v>2910</v>
      </c>
      <c r="P214" s="57">
        <f t="shared" si="14"/>
        <v>3000</v>
      </c>
      <c r="Q214" s="58">
        <f t="shared" si="15"/>
        <v>0.03</v>
      </c>
    </row>
    <row r="215" spans="1:17" ht="15" hidden="1" x14ac:dyDescent="0.25">
      <c r="A215" s="46">
        <v>214</v>
      </c>
      <c r="B215" s="52" t="s">
        <v>375</v>
      </c>
      <c r="C215" s="52">
        <v>75</v>
      </c>
      <c r="D215" s="52">
        <v>1</v>
      </c>
      <c r="E215" s="52" t="s">
        <v>160</v>
      </c>
      <c r="F215" s="52" t="s">
        <v>256</v>
      </c>
      <c r="G215" s="52">
        <v>2400</v>
      </c>
      <c r="H215" s="52">
        <v>0</v>
      </c>
      <c r="I215" s="52">
        <v>4200</v>
      </c>
      <c r="J215" s="52">
        <v>1800</v>
      </c>
      <c r="K215" s="52">
        <v>3000</v>
      </c>
      <c r="L215" s="52">
        <v>0.13600000000000001</v>
      </c>
      <c r="N215" s="56">
        <f t="shared" si="12"/>
        <v>26</v>
      </c>
      <c r="O215" s="54">
        <f t="shared" si="13"/>
        <v>4370</v>
      </c>
      <c r="P215" s="57">
        <f t="shared" si="14"/>
        <v>4500</v>
      </c>
      <c r="Q215" s="58">
        <f t="shared" si="15"/>
        <v>2.8888888888888888E-2</v>
      </c>
    </row>
    <row r="216" spans="1:17" ht="15" hidden="1" x14ac:dyDescent="0.25">
      <c r="A216" s="46">
        <v>215</v>
      </c>
      <c r="B216" s="52" t="s">
        <v>376</v>
      </c>
      <c r="C216" s="52">
        <v>83</v>
      </c>
      <c r="D216" s="52">
        <v>1</v>
      </c>
      <c r="E216" s="52" t="s">
        <v>160</v>
      </c>
      <c r="F216" s="52" t="s">
        <v>256</v>
      </c>
      <c r="G216" s="52">
        <v>250</v>
      </c>
      <c r="H216" s="52">
        <v>0</v>
      </c>
      <c r="I216" s="52">
        <v>501</v>
      </c>
      <c r="J216" s="52">
        <v>190</v>
      </c>
      <c r="K216" s="52">
        <v>310</v>
      </c>
      <c r="L216" s="52">
        <v>0.13600000000000001</v>
      </c>
      <c r="N216" s="56">
        <f t="shared" si="12"/>
        <v>23</v>
      </c>
      <c r="O216" s="54">
        <f t="shared" si="13"/>
        <v>4850</v>
      </c>
      <c r="P216" s="57">
        <f t="shared" si="14"/>
        <v>4980</v>
      </c>
      <c r="Q216" s="58">
        <f t="shared" si="15"/>
        <v>2.6104417670682729E-2</v>
      </c>
    </row>
    <row r="217" spans="1:17" ht="15" hidden="1" x14ac:dyDescent="0.25">
      <c r="A217" s="46">
        <v>216</v>
      </c>
      <c r="B217" s="52" t="s">
        <v>377</v>
      </c>
      <c r="C217" s="52">
        <v>50</v>
      </c>
      <c r="D217" s="52">
        <v>1</v>
      </c>
      <c r="E217" s="52" t="s">
        <v>160</v>
      </c>
      <c r="F217" s="52" t="s">
        <v>256</v>
      </c>
      <c r="G217" s="52">
        <v>300</v>
      </c>
      <c r="H217" s="52">
        <v>0</v>
      </c>
      <c r="I217" s="52">
        <v>470</v>
      </c>
      <c r="J217" s="52">
        <v>160</v>
      </c>
      <c r="K217" s="52">
        <v>420</v>
      </c>
      <c r="L217" s="52">
        <v>0.13600000000000001</v>
      </c>
      <c r="N217" s="56">
        <f t="shared" si="12"/>
        <v>24</v>
      </c>
      <c r="O217" s="54">
        <f t="shared" si="13"/>
        <v>2910</v>
      </c>
      <c r="P217" s="57">
        <f t="shared" si="14"/>
        <v>3000</v>
      </c>
      <c r="Q217" s="58">
        <f t="shared" si="15"/>
        <v>0.03</v>
      </c>
    </row>
    <row r="218" spans="1:17" ht="15" hidden="1" x14ac:dyDescent="0.25">
      <c r="A218" s="46">
        <v>217</v>
      </c>
      <c r="B218" s="52" t="s">
        <v>378</v>
      </c>
      <c r="C218" s="52">
        <v>54</v>
      </c>
      <c r="D218" s="52">
        <v>1</v>
      </c>
      <c r="E218" s="52" t="s">
        <v>160</v>
      </c>
      <c r="F218" s="52" t="s">
        <v>256</v>
      </c>
      <c r="G218" s="52">
        <v>320</v>
      </c>
      <c r="H218" s="52">
        <v>0</v>
      </c>
      <c r="I218" s="52">
        <v>498</v>
      </c>
      <c r="J218" s="52">
        <v>170</v>
      </c>
      <c r="K218" s="52">
        <v>449</v>
      </c>
      <c r="L218" s="52">
        <v>0.13600000000000001</v>
      </c>
      <c r="N218" s="56">
        <f t="shared" si="12"/>
        <v>24</v>
      </c>
      <c r="O218" s="54">
        <f t="shared" si="13"/>
        <v>3110</v>
      </c>
      <c r="P218" s="57">
        <f t="shared" si="14"/>
        <v>3240</v>
      </c>
      <c r="Q218" s="58">
        <f t="shared" si="15"/>
        <v>4.0123456790123455E-2</v>
      </c>
    </row>
    <row r="219" spans="1:17" ht="15" hidden="1" x14ac:dyDescent="0.25">
      <c r="A219" s="46">
        <v>218</v>
      </c>
      <c r="B219" s="52" t="s">
        <v>379</v>
      </c>
      <c r="C219" s="52">
        <v>60</v>
      </c>
      <c r="D219" s="52">
        <v>1</v>
      </c>
      <c r="E219" s="52" t="s">
        <v>160</v>
      </c>
      <c r="F219" s="52" t="s">
        <v>256</v>
      </c>
      <c r="G219" s="52">
        <v>360</v>
      </c>
      <c r="H219" s="52">
        <v>0</v>
      </c>
      <c r="I219" s="52">
        <v>564</v>
      </c>
      <c r="J219" s="52">
        <v>192</v>
      </c>
      <c r="K219" s="52">
        <v>505</v>
      </c>
      <c r="L219" s="52">
        <v>0.13600000000000001</v>
      </c>
      <c r="N219" s="56">
        <f t="shared" si="12"/>
        <v>24</v>
      </c>
      <c r="O219" s="54">
        <f t="shared" si="13"/>
        <v>3500</v>
      </c>
      <c r="P219" s="57">
        <f t="shared" si="14"/>
        <v>3600</v>
      </c>
      <c r="Q219" s="58">
        <f t="shared" si="15"/>
        <v>2.7777777777777776E-2</v>
      </c>
    </row>
    <row r="220" spans="1:17" ht="15" hidden="1" x14ac:dyDescent="0.25">
      <c r="A220" s="46">
        <v>219</v>
      </c>
      <c r="B220" s="52" t="s">
        <v>380</v>
      </c>
      <c r="C220" s="52">
        <v>67</v>
      </c>
      <c r="D220" s="52">
        <v>1</v>
      </c>
      <c r="E220" s="52" t="s">
        <v>160</v>
      </c>
      <c r="F220" s="52" t="s">
        <v>256</v>
      </c>
      <c r="G220" s="52">
        <v>400</v>
      </c>
      <c r="H220" s="52">
        <v>0</v>
      </c>
      <c r="I220" s="52">
        <v>625</v>
      </c>
      <c r="J220" s="52">
        <v>213</v>
      </c>
      <c r="K220" s="52">
        <v>560</v>
      </c>
      <c r="L220" s="52">
        <v>0.13600000000000001</v>
      </c>
      <c r="N220" s="56">
        <f t="shared" si="12"/>
        <v>24</v>
      </c>
      <c r="O220" s="54">
        <f t="shared" si="13"/>
        <v>3880</v>
      </c>
      <c r="P220" s="57">
        <f t="shared" si="14"/>
        <v>4020</v>
      </c>
      <c r="Q220" s="58">
        <f t="shared" si="15"/>
        <v>3.482587064676617E-2</v>
      </c>
    </row>
    <row r="221" spans="1:17" ht="15" hidden="1" x14ac:dyDescent="0.25">
      <c r="A221" s="46">
        <v>220</v>
      </c>
      <c r="B221" s="52" t="s">
        <v>381</v>
      </c>
      <c r="C221" s="52">
        <v>50</v>
      </c>
      <c r="D221" s="52">
        <v>1</v>
      </c>
      <c r="E221" s="52" t="s">
        <v>160</v>
      </c>
      <c r="F221" s="52" t="s">
        <v>256</v>
      </c>
      <c r="G221" s="52">
        <v>500</v>
      </c>
      <c r="H221" s="52">
        <v>0</v>
      </c>
      <c r="I221" s="52">
        <v>805</v>
      </c>
      <c r="J221" s="52">
        <v>280</v>
      </c>
      <c r="K221" s="52">
        <v>720</v>
      </c>
      <c r="L221" s="52">
        <v>0.13600000000000001</v>
      </c>
      <c r="N221" s="56">
        <f t="shared" si="12"/>
        <v>24</v>
      </c>
      <c r="O221" s="54">
        <f t="shared" si="13"/>
        <v>2910</v>
      </c>
      <c r="P221" s="57">
        <f t="shared" si="14"/>
        <v>3000</v>
      </c>
      <c r="Q221" s="58">
        <f t="shared" si="15"/>
        <v>0.03</v>
      </c>
    </row>
    <row r="222" spans="1:17" ht="15" hidden="1" x14ac:dyDescent="0.25">
      <c r="A222" s="46">
        <v>221</v>
      </c>
      <c r="B222" s="52" t="s">
        <v>382</v>
      </c>
      <c r="C222" s="52">
        <v>50</v>
      </c>
      <c r="D222" s="52">
        <v>1</v>
      </c>
      <c r="E222" s="52" t="s">
        <v>160</v>
      </c>
      <c r="F222" s="52" t="s">
        <v>256</v>
      </c>
      <c r="G222" s="52">
        <v>500</v>
      </c>
      <c r="H222" s="52">
        <v>0</v>
      </c>
      <c r="I222" s="52">
        <v>862</v>
      </c>
      <c r="J222" s="52">
        <v>375</v>
      </c>
      <c r="K222" s="52">
        <v>625</v>
      </c>
      <c r="L222" s="52">
        <v>0.13600000000000001</v>
      </c>
      <c r="N222" s="56">
        <f t="shared" si="12"/>
        <v>25</v>
      </c>
      <c r="O222" s="54">
        <f t="shared" si="13"/>
        <v>2910</v>
      </c>
      <c r="P222" s="57">
        <f t="shared" si="14"/>
        <v>3000</v>
      </c>
      <c r="Q222" s="58">
        <f t="shared" si="15"/>
        <v>0.03</v>
      </c>
    </row>
    <row r="223" spans="1:17" ht="15" hidden="1" x14ac:dyDescent="0.25">
      <c r="A223" s="46">
        <v>222</v>
      </c>
      <c r="B223" s="52" t="s">
        <v>383</v>
      </c>
      <c r="C223" s="52">
        <v>60</v>
      </c>
      <c r="D223" s="52">
        <v>1</v>
      </c>
      <c r="E223" s="52" t="s">
        <v>160</v>
      </c>
      <c r="F223" s="52" t="s">
        <v>256</v>
      </c>
      <c r="G223" s="52">
        <v>600</v>
      </c>
      <c r="H223" s="52">
        <v>0</v>
      </c>
      <c r="I223" s="52">
        <v>1010</v>
      </c>
      <c r="J223" s="52">
        <v>336</v>
      </c>
      <c r="K223" s="52">
        <v>866</v>
      </c>
      <c r="L223" s="52">
        <v>0.13600000000000001</v>
      </c>
      <c r="N223" s="56">
        <f t="shared" si="12"/>
        <v>24</v>
      </c>
      <c r="O223" s="54">
        <f t="shared" si="13"/>
        <v>3500</v>
      </c>
      <c r="P223" s="57">
        <f t="shared" si="14"/>
        <v>3600</v>
      </c>
      <c r="Q223" s="58">
        <f t="shared" si="15"/>
        <v>2.7777777777777776E-2</v>
      </c>
    </row>
    <row r="224" spans="1:17" ht="15" hidden="1" x14ac:dyDescent="0.25">
      <c r="A224" s="46">
        <v>223</v>
      </c>
      <c r="B224" s="52" t="s">
        <v>384</v>
      </c>
      <c r="C224" s="52">
        <v>60</v>
      </c>
      <c r="D224" s="52">
        <v>1</v>
      </c>
      <c r="E224" s="52" t="s">
        <v>160</v>
      </c>
      <c r="F224" s="52" t="s">
        <v>256</v>
      </c>
      <c r="G224" s="52">
        <v>600</v>
      </c>
      <c r="H224" s="52">
        <v>0</v>
      </c>
      <c r="I224" s="52">
        <v>1040</v>
      </c>
      <c r="J224" s="52">
        <v>450</v>
      </c>
      <c r="K224" s="52">
        <v>750</v>
      </c>
      <c r="L224" s="52">
        <v>0.13600000000000001</v>
      </c>
      <c r="N224" s="56">
        <f t="shared" si="12"/>
        <v>25</v>
      </c>
      <c r="O224" s="54">
        <f t="shared" si="13"/>
        <v>3500</v>
      </c>
      <c r="P224" s="57">
        <f t="shared" si="14"/>
        <v>3600</v>
      </c>
      <c r="Q224" s="58">
        <f t="shared" si="15"/>
        <v>2.7777777777777776E-2</v>
      </c>
    </row>
    <row r="225" spans="1:17" ht="15" hidden="1" x14ac:dyDescent="0.25">
      <c r="A225" s="46">
        <v>224</v>
      </c>
      <c r="B225" s="52" t="s">
        <v>385</v>
      </c>
      <c r="C225" s="52">
        <v>50</v>
      </c>
      <c r="D225" s="52">
        <v>1</v>
      </c>
      <c r="E225" s="52" t="s">
        <v>160</v>
      </c>
      <c r="F225" s="52" t="s">
        <v>256</v>
      </c>
      <c r="G225" s="52">
        <v>650</v>
      </c>
      <c r="H225" s="52">
        <v>0</v>
      </c>
      <c r="I225" s="52">
        <v>1250</v>
      </c>
      <c r="J225" s="52">
        <v>450</v>
      </c>
      <c r="K225" s="52">
        <v>800</v>
      </c>
      <c r="L225" s="52">
        <v>0.13600000000000001</v>
      </c>
      <c r="N225" s="56">
        <f t="shared" si="12"/>
        <v>24</v>
      </c>
      <c r="O225" s="54">
        <f t="shared" si="13"/>
        <v>2910</v>
      </c>
      <c r="P225" s="57">
        <f t="shared" si="14"/>
        <v>3000</v>
      </c>
      <c r="Q225" s="58">
        <f t="shared" si="15"/>
        <v>0.03</v>
      </c>
    </row>
    <row r="226" spans="1:17" ht="15" hidden="1" x14ac:dyDescent="0.25">
      <c r="A226" s="46">
        <v>225</v>
      </c>
      <c r="B226" s="52" t="s">
        <v>386</v>
      </c>
      <c r="C226" s="52">
        <v>50</v>
      </c>
      <c r="D226" s="52">
        <v>1</v>
      </c>
      <c r="E226" s="52" t="s">
        <v>160</v>
      </c>
      <c r="F226" s="52" t="s">
        <v>256</v>
      </c>
      <c r="G226" s="52">
        <v>650</v>
      </c>
      <c r="H226" s="52">
        <v>0</v>
      </c>
      <c r="I226" s="52">
        <v>1200</v>
      </c>
      <c r="J226" s="52">
        <v>450</v>
      </c>
      <c r="K226" s="52">
        <v>800</v>
      </c>
      <c r="L226" s="52">
        <v>0.13600000000000001</v>
      </c>
      <c r="N226" s="56">
        <f t="shared" si="12"/>
        <v>24</v>
      </c>
      <c r="O226" s="54">
        <f t="shared" si="13"/>
        <v>2910</v>
      </c>
      <c r="P226" s="57">
        <f t="shared" si="14"/>
        <v>3000</v>
      </c>
      <c r="Q226" s="58">
        <f t="shared" si="15"/>
        <v>0.03</v>
      </c>
    </row>
    <row r="227" spans="1:17" ht="15" hidden="1" x14ac:dyDescent="0.25">
      <c r="A227" s="46">
        <v>226</v>
      </c>
      <c r="B227" s="52" t="s">
        <v>387</v>
      </c>
      <c r="C227" s="52">
        <v>70</v>
      </c>
      <c r="D227" s="52">
        <v>1</v>
      </c>
      <c r="E227" s="52" t="s">
        <v>160</v>
      </c>
      <c r="F227" s="52" t="s">
        <v>256</v>
      </c>
      <c r="G227" s="52">
        <v>700</v>
      </c>
      <c r="H227" s="52">
        <v>0</v>
      </c>
      <c r="I227" s="52">
        <v>1170</v>
      </c>
      <c r="J227" s="52">
        <v>392</v>
      </c>
      <c r="K227" s="52">
        <v>1010</v>
      </c>
      <c r="L227" s="52">
        <v>0.13600000000000001</v>
      </c>
      <c r="N227" s="56">
        <f t="shared" si="12"/>
        <v>24</v>
      </c>
      <c r="O227" s="54">
        <f t="shared" si="13"/>
        <v>4080</v>
      </c>
      <c r="P227" s="57">
        <f t="shared" si="14"/>
        <v>4200</v>
      </c>
      <c r="Q227" s="58">
        <f t="shared" si="15"/>
        <v>2.8571428571428571E-2</v>
      </c>
    </row>
    <row r="228" spans="1:17" ht="15" hidden="1" x14ac:dyDescent="0.25">
      <c r="A228" s="46">
        <v>227</v>
      </c>
      <c r="B228" s="52" t="s">
        <v>388</v>
      </c>
      <c r="C228" s="52">
        <v>54</v>
      </c>
      <c r="D228" s="52">
        <v>1</v>
      </c>
      <c r="E228" s="52" t="s">
        <v>160</v>
      </c>
      <c r="F228" s="52" t="s">
        <v>256</v>
      </c>
      <c r="G228" s="52">
        <v>700</v>
      </c>
      <c r="H228" s="52">
        <v>0</v>
      </c>
      <c r="I228" s="52">
        <v>1350</v>
      </c>
      <c r="J228" s="52">
        <v>485</v>
      </c>
      <c r="K228" s="52">
        <v>863</v>
      </c>
      <c r="L228" s="52">
        <v>0.13600000000000001</v>
      </c>
      <c r="N228" s="56">
        <f t="shared" si="12"/>
        <v>24</v>
      </c>
      <c r="O228" s="54">
        <f t="shared" si="13"/>
        <v>3140</v>
      </c>
      <c r="P228" s="57">
        <f t="shared" si="14"/>
        <v>3240</v>
      </c>
      <c r="Q228" s="58">
        <f t="shared" si="15"/>
        <v>3.0864197530864196E-2</v>
      </c>
    </row>
    <row r="229" spans="1:17" ht="15" hidden="1" x14ac:dyDescent="0.25">
      <c r="A229" s="46">
        <v>228</v>
      </c>
      <c r="B229" s="52" t="s">
        <v>389</v>
      </c>
      <c r="C229" s="52">
        <v>70</v>
      </c>
      <c r="D229" s="52">
        <v>1</v>
      </c>
      <c r="E229" s="52" t="s">
        <v>160</v>
      </c>
      <c r="F229" s="52" t="s">
        <v>256</v>
      </c>
      <c r="G229" s="52">
        <v>700</v>
      </c>
      <c r="H229" s="52">
        <v>0</v>
      </c>
      <c r="I229" s="52">
        <v>1211</v>
      </c>
      <c r="J229" s="52">
        <v>525</v>
      </c>
      <c r="K229" s="52">
        <v>875</v>
      </c>
      <c r="L229" s="52">
        <v>0.13600000000000001</v>
      </c>
      <c r="N229" s="56">
        <f t="shared" si="12"/>
        <v>25</v>
      </c>
      <c r="O229" s="54">
        <f t="shared" si="13"/>
        <v>4080</v>
      </c>
      <c r="P229" s="57">
        <f t="shared" si="14"/>
        <v>4200</v>
      </c>
      <c r="Q229" s="58">
        <f t="shared" si="15"/>
        <v>2.8571428571428571E-2</v>
      </c>
    </row>
    <row r="230" spans="1:17" ht="15" hidden="1" x14ac:dyDescent="0.25">
      <c r="A230" s="46">
        <v>229</v>
      </c>
      <c r="B230" s="52" t="s">
        <v>390</v>
      </c>
      <c r="C230" s="52">
        <v>50</v>
      </c>
      <c r="D230" s="52">
        <v>1</v>
      </c>
      <c r="E230" s="52" t="s">
        <v>160</v>
      </c>
      <c r="F230" s="52" t="s">
        <v>256</v>
      </c>
      <c r="G230" s="52">
        <v>750</v>
      </c>
      <c r="H230" s="52">
        <v>0</v>
      </c>
      <c r="I230" s="52">
        <v>1370</v>
      </c>
      <c r="J230" s="52">
        <v>550</v>
      </c>
      <c r="K230" s="52">
        <v>900</v>
      </c>
      <c r="L230" s="52">
        <v>0.13600000000000001</v>
      </c>
      <c r="N230" s="56">
        <f t="shared" si="12"/>
        <v>24</v>
      </c>
      <c r="O230" s="54">
        <f t="shared" si="13"/>
        <v>2910</v>
      </c>
      <c r="P230" s="57">
        <f t="shared" si="14"/>
        <v>3000</v>
      </c>
      <c r="Q230" s="58">
        <f t="shared" si="15"/>
        <v>0.03</v>
      </c>
    </row>
    <row r="231" spans="1:17" ht="15" hidden="1" x14ac:dyDescent="0.25">
      <c r="A231" s="46">
        <v>230</v>
      </c>
      <c r="B231" s="52" t="s">
        <v>391</v>
      </c>
      <c r="C231" s="52">
        <v>62</v>
      </c>
      <c r="D231" s="52">
        <v>1</v>
      </c>
      <c r="E231" s="52" t="s">
        <v>160</v>
      </c>
      <c r="F231" s="52" t="s">
        <v>256</v>
      </c>
      <c r="G231" s="52">
        <v>800</v>
      </c>
      <c r="H231" s="52">
        <v>0</v>
      </c>
      <c r="I231" s="52">
        <v>1550</v>
      </c>
      <c r="J231" s="52">
        <v>555</v>
      </c>
      <c r="K231" s="52">
        <v>987</v>
      </c>
      <c r="L231" s="52">
        <v>0.13600000000000001</v>
      </c>
      <c r="N231" s="56">
        <f t="shared" si="12"/>
        <v>24</v>
      </c>
      <c r="O231" s="54">
        <f t="shared" si="13"/>
        <v>3590</v>
      </c>
      <c r="P231" s="57">
        <f t="shared" si="14"/>
        <v>3720</v>
      </c>
      <c r="Q231" s="58">
        <f t="shared" si="15"/>
        <v>3.4946236559139782E-2</v>
      </c>
    </row>
    <row r="232" spans="1:17" ht="15" hidden="1" x14ac:dyDescent="0.25">
      <c r="A232" s="46">
        <v>231</v>
      </c>
      <c r="B232" s="52" t="s">
        <v>392</v>
      </c>
      <c r="C232" s="52">
        <v>53</v>
      </c>
      <c r="D232" s="52">
        <v>1</v>
      </c>
      <c r="E232" s="52" t="s">
        <v>160</v>
      </c>
      <c r="F232" s="52" t="s">
        <v>256</v>
      </c>
      <c r="G232" s="52">
        <v>800</v>
      </c>
      <c r="H232" s="52">
        <v>0</v>
      </c>
      <c r="I232" s="52">
        <v>1460</v>
      </c>
      <c r="J232" s="52">
        <v>587</v>
      </c>
      <c r="K232" s="52">
        <v>960</v>
      </c>
      <c r="L232" s="52">
        <v>0.13600000000000001</v>
      </c>
      <c r="N232" s="56">
        <f t="shared" si="12"/>
        <v>24</v>
      </c>
      <c r="O232" s="54">
        <f t="shared" si="13"/>
        <v>3110</v>
      </c>
      <c r="P232" s="57">
        <f t="shared" si="14"/>
        <v>3180</v>
      </c>
      <c r="Q232" s="58">
        <f t="shared" si="15"/>
        <v>2.20125786163522E-2</v>
      </c>
    </row>
    <row r="233" spans="1:17" ht="15" hidden="1" x14ac:dyDescent="0.25">
      <c r="A233" s="46">
        <v>232</v>
      </c>
      <c r="B233" s="52" t="s">
        <v>393</v>
      </c>
      <c r="C233" s="52">
        <v>69</v>
      </c>
      <c r="D233" s="52">
        <v>1</v>
      </c>
      <c r="E233" s="52" t="s">
        <v>160</v>
      </c>
      <c r="F233" s="52" t="s">
        <v>256</v>
      </c>
      <c r="G233" s="52">
        <v>900</v>
      </c>
      <c r="H233" s="52">
        <v>0</v>
      </c>
      <c r="I233" s="52">
        <v>1740</v>
      </c>
      <c r="J233" s="52">
        <v>623</v>
      </c>
      <c r="K233" s="52">
        <v>1108</v>
      </c>
      <c r="L233" s="52">
        <v>0.13600000000000001</v>
      </c>
      <c r="N233" s="56">
        <f t="shared" si="12"/>
        <v>24</v>
      </c>
      <c r="O233" s="54">
        <f t="shared" si="13"/>
        <v>4030</v>
      </c>
      <c r="P233" s="57">
        <f t="shared" si="14"/>
        <v>4140</v>
      </c>
      <c r="Q233" s="58">
        <f t="shared" si="15"/>
        <v>2.6570048309178744E-2</v>
      </c>
    </row>
    <row r="234" spans="1:17" ht="15" hidden="1" x14ac:dyDescent="0.25">
      <c r="A234" s="46">
        <v>233</v>
      </c>
      <c r="B234" s="52" t="s">
        <v>394</v>
      </c>
      <c r="C234" s="52">
        <v>60</v>
      </c>
      <c r="D234" s="52">
        <v>1</v>
      </c>
      <c r="E234" s="52" t="s">
        <v>160</v>
      </c>
      <c r="F234" s="52" t="s">
        <v>256</v>
      </c>
      <c r="G234" s="52">
        <v>900</v>
      </c>
      <c r="H234" s="52">
        <v>0</v>
      </c>
      <c r="I234" s="52">
        <v>1640</v>
      </c>
      <c r="J234" s="52">
        <v>660</v>
      </c>
      <c r="K234" s="52">
        <v>1080</v>
      </c>
      <c r="L234" s="52">
        <v>0.13600000000000001</v>
      </c>
      <c r="N234" s="56">
        <f t="shared" si="12"/>
        <v>24</v>
      </c>
      <c r="O234" s="54">
        <f t="shared" si="13"/>
        <v>3500</v>
      </c>
      <c r="P234" s="57">
        <f t="shared" si="14"/>
        <v>3600</v>
      </c>
      <c r="Q234" s="58">
        <f t="shared" si="15"/>
        <v>2.7777777777777776E-2</v>
      </c>
    </row>
    <row r="235" spans="1:17" ht="15" hidden="1" x14ac:dyDescent="0.25">
      <c r="A235" s="46">
        <v>234</v>
      </c>
      <c r="B235" s="52" t="s">
        <v>395</v>
      </c>
      <c r="C235" s="52">
        <v>50</v>
      </c>
      <c r="D235" s="52">
        <v>1</v>
      </c>
      <c r="E235" s="52" t="s">
        <v>160</v>
      </c>
      <c r="F235" s="52">
        <v>8</v>
      </c>
      <c r="G235" s="52">
        <v>1600</v>
      </c>
      <c r="H235" s="52">
        <v>0</v>
      </c>
      <c r="I235" s="52">
        <v>2500</v>
      </c>
      <c r="J235" s="52">
        <v>1100</v>
      </c>
      <c r="K235" s="52">
        <v>1900</v>
      </c>
      <c r="L235" s="52">
        <v>0.17199999999999999</v>
      </c>
      <c r="N235" s="56">
        <f t="shared" si="12"/>
        <v>0</v>
      </c>
      <c r="O235" s="54">
        <f t="shared" si="13"/>
        <v>2910</v>
      </c>
      <c r="P235" s="57">
        <f t="shared" si="14"/>
        <v>3000</v>
      </c>
      <c r="Q235" s="58">
        <f t="shared" si="15"/>
        <v>0.03</v>
      </c>
    </row>
    <row r="236" spans="1:17" ht="15" hidden="1" x14ac:dyDescent="0.25">
      <c r="A236" s="46">
        <v>235</v>
      </c>
      <c r="B236" s="52" t="s">
        <v>396</v>
      </c>
      <c r="C236" s="52">
        <v>50</v>
      </c>
      <c r="D236" s="52">
        <v>1</v>
      </c>
      <c r="E236" s="52" t="s">
        <v>160</v>
      </c>
      <c r="F236" s="52">
        <v>8</v>
      </c>
      <c r="G236" s="52">
        <v>1600</v>
      </c>
      <c r="H236" s="52">
        <v>0</v>
      </c>
      <c r="I236" s="52">
        <v>3000</v>
      </c>
      <c r="J236" s="52">
        <v>1100</v>
      </c>
      <c r="K236" s="52">
        <v>1900</v>
      </c>
      <c r="L236" s="52">
        <v>0.17199999999999999</v>
      </c>
      <c r="N236" s="56">
        <f t="shared" si="12"/>
        <v>26</v>
      </c>
      <c r="O236" s="54">
        <f t="shared" si="13"/>
        <v>2910</v>
      </c>
      <c r="P236" s="57">
        <f t="shared" si="14"/>
        <v>3000</v>
      </c>
      <c r="Q236" s="58">
        <f t="shared" si="15"/>
        <v>0.03</v>
      </c>
    </row>
    <row r="237" spans="1:17" ht="15" hidden="1" x14ac:dyDescent="0.25">
      <c r="A237" s="46">
        <v>236</v>
      </c>
      <c r="B237" s="52" t="s">
        <v>397</v>
      </c>
      <c r="C237" s="52">
        <v>56</v>
      </c>
      <c r="D237" s="52">
        <v>1</v>
      </c>
      <c r="E237" s="52" t="s">
        <v>160</v>
      </c>
      <c r="F237" s="52">
        <v>8</v>
      </c>
      <c r="G237" s="52">
        <v>1800</v>
      </c>
      <c r="H237" s="52">
        <v>0</v>
      </c>
      <c r="I237" s="52">
        <v>3375</v>
      </c>
      <c r="J237" s="52">
        <v>1238</v>
      </c>
      <c r="K237" s="52">
        <v>2138</v>
      </c>
      <c r="L237" s="52">
        <v>0.17199999999999999</v>
      </c>
      <c r="N237" s="56">
        <f t="shared" si="12"/>
        <v>26</v>
      </c>
      <c r="O237" s="54">
        <f t="shared" si="13"/>
        <v>3280</v>
      </c>
      <c r="P237" s="57">
        <f t="shared" si="14"/>
        <v>3360</v>
      </c>
      <c r="Q237" s="58">
        <f t="shared" si="15"/>
        <v>2.3809523809523808E-2</v>
      </c>
    </row>
    <row r="238" spans="1:17" ht="15" hidden="1" x14ac:dyDescent="0.25">
      <c r="A238" s="46">
        <v>237</v>
      </c>
      <c r="B238" s="52" t="s">
        <v>398</v>
      </c>
      <c r="C238" s="52">
        <v>50</v>
      </c>
      <c r="D238" s="52">
        <v>1</v>
      </c>
      <c r="E238" s="52" t="s">
        <v>160</v>
      </c>
      <c r="F238" s="52">
        <v>8</v>
      </c>
      <c r="G238" s="52">
        <v>2000</v>
      </c>
      <c r="H238" s="52">
        <v>0</v>
      </c>
      <c r="I238" s="52">
        <v>3600</v>
      </c>
      <c r="J238" s="52">
        <v>1400</v>
      </c>
      <c r="K238" s="52">
        <v>2600</v>
      </c>
      <c r="L238" s="52">
        <v>0.17199999999999999</v>
      </c>
      <c r="N238" s="56">
        <f t="shared" si="12"/>
        <v>26</v>
      </c>
      <c r="O238" s="54">
        <f t="shared" si="13"/>
        <v>2910</v>
      </c>
      <c r="P238" s="57">
        <f t="shared" si="14"/>
        <v>3000</v>
      </c>
      <c r="Q238" s="58">
        <f t="shared" si="15"/>
        <v>0.03</v>
      </c>
    </row>
    <row r="239" spans="1:17" ht="15" hidden="1" x14ac:dyDescent="0.25">
      <c r="A239" s="46">
        <v>238</v>
      </c>
      <c r="B239" s="52" t="s">
        <v>399</v>
      </c>
      <c r="C239" s="52">
        <v>55</v>
      </c>
      <c r="D239" s="52">
        <v>1</v>
      </c>
      <c r="E239" s="52" t="s">
        <v>160</v>
      </c>
      <c r="F239" s="52">
        <v>8</v>
      </c>
      <c r="G239" s="52">
        <v>2200</v>
      </c>
      <c r="H239" s="52">
        <v>0</v>
      </c>
      <c r="I239" s="52">
        <v>3960</v>
      </c>
      <c r="J239" s="52">
        <v>1540</v>
      </c>
      <c r="K239" s="52">
        <v>2860</v>
      </c>
      <c r="L239" s="52">
        <v>0.17199999999999999</v>
      </c>
      <c r="N239" s="56">
        <f t="shared" si="12"/>
        <v>26</v>
      </c>
      <c r="O239" s="54">
        <f t="shared" si="13"/>
        <v>3200</v>
      </c>
      <c r="P239" s="57">
        <f t="shared" si="14"/>
        <v>3300</v>
      </c>
      <c r="Q239" s="58">
        <f t="shared" si="15"/>
        <v>3.0303030303030304E-2</v>
      </c>
    </row>
    <row r="240" spans="1:17" ht="15" hidden="1" x14ac:dyDescent="0.25">
      <c r="A240" s="46">
        <v>239</v>
      </c>
      <c r="B240" s="52" t="s">
        <v>400</v>
      </c>
      <c r="C240" s="52">
        <v>50</v>
      </c>
      <c r="D240" s="52">
        <v>1</v>
      </c>
      <c r="E240" s="52" t="s">
        <v>160</v>
      </c>
      <c r="F240" s="52">
        <v>8</v>
      </c>
      <c r="G240" s="52">
        <v>2500</v>
      </c>
      <c r="H240" s="52">
        <v>0</v>
      </c>
      <c r="I240" s="52">
        <v>4200</v>
      </c>
      <c r="J240" s="52">
        <v>1700</v>
      </c>
      <c r="K240" s="52">
        <v>3600</v>
      </c>
      <c r="L240" s="52">
        <v>0.17199999999999999</v>
      </c>
      <c r="N240" s="56">
        <f t="shared" si="12"/>
        <v>26</v>
      </c>
      <c r="O240" s="54">
        <f t="shared" si="13"/>
        <v>2910</v>
      </c>
      <c r="P240" s="57">
        <f t="shared" si="14"/>
        <v>3000</v>
      </c>
      <c r="Q240" s="58">
        <f t="shared" si="15"/>
        <v>0.03</v>
      </c>
    </row>
    <row r="241" spans="1:17" ht="15" hidden="1" x14ac:dyDescent="0.25">
      <c r="A241" s="46">
        <v>240</v>
      </c>
      <c r="B241" s="52" t="s">
        <v>401</v>
      </c>
      <c r="C241" s="52">
        <v>63</v>
      </c>
      <c r="D241" s="52">
        <v>1</v>
      </c>
      <c r="E241" s="52" t="s">
        <v>160</v>
      </c>
      <c r="F241" s="52">
        <v>8</v>
      </c>
      <c r="G241" s="52">
        <v>2500</v>
      </c>
      <c r="H241" s="52">
        <v>0</v>
      </c>
      <c r="I241" s="52">
        <v>4500</v>
      </c>
      <c r="J241" s="52">
        <v>1750</v>
      </c>
      <c r="K241" s="52">
        <v>3250</v>
      </c>
      <c r="L241" s="52">
        <v>0.17199999999999999</v>
      </c>
      <c r="N241" s="56">
        <f t="shared" si="12"/>
        <v>26</v>
      </c>
      <c r="O241" s="54">
        <f t="shared" si="13"/>
        <v>3640</v>
      </c>
      <c r="P241" s="57">
        <f t="shared" si="14"/>
        <v>3780</v>
      </c>
      <c r="Q241" s="58">
        <f t="shared" si="15"/>
        <v>3.7037037037037035E-2</v>
      </c>
    </row>
    <row r="242" spans="1:17" ht="15" hidden="1" x14ac:dyDescent="0.25">
      <c r="A242" s="46">
        <v>241</v>
      </c>
      <c r="B242" s="52" t="s">
        <v>402</v>
      </c>
      <c r="C242" s="52">
        <v>60</v>
      </c>
      <c r="D242" s="52">
        <v>1</v>
      </c>
      <c r="E242" s="52" t="s">
        <v>160</v>
      </c>
      <c r="F242" s="52">
        <v>8</v>
      </c>
      <c r="G242" s="52">
        <v>3000</v>
      </c>
      <c r="H242" s="52">
        <v>0</v>
      </c>
      <c r="I242" s="52">
        <v>5160</v>
      </c>
      <c r="J242" s="52">
        <v>2040</v>
      </c>
      <c r="K242" s="52">
        <v>4320</v>
      </c>
      <c r="L242" s="52">
        <v>0.17199999999999999</v>
      </c>
      <c r="N242" s="56">
        <f t="shared" si="12"/>
        <v>26</v>
      </c>
      <c r="O242" s="54">
        <f t="shared" si="13"/>
        <v>3500</v>
      </c>
      <c r="P242" s="57">
        <f t="shared" si="14"/>
        <v>3600</v>
      </c>
      <c r="Q242" s="58">
        <f t="shared" si="15"/>
        <v>2.7777777777777776E-2</v>
      </c>
    </row>
    <row r="243" spans="1:17" ht="15" hidden="1" x14ac:dyDescent="0.25">
      <c r="A243" s="46">
        <v>242</v>
      </c>
      <c r="B243" s="52" t="s">
        <v>403</v>
      </c>
      <c r="C243" s="52">
        <v>50</v>
      </c>
      <c r="D243" s="52">
        <v>1</v>
      </c>
      <c r="E243" s="52" t="s">
        <v>160</v>
      </c>
      <c r="F243" s="52">
        <v>8</v>
      </c>
      <c r="G243" s="52">
        <v>4000</v>
      </c>
      <c r="H243" s="52">
        <v>0</v>
      </c>
      <c r="I243" s="52">
        <v>6500</v>
      </c>
      <c r="J243" s="52">
        <v>2800</v>
      </c>
      <c r="K243" s="52">
        <v>4800</v>
      </c>
      <c r="L243" s="52">
        <v>0.17199999999999999</v>
      </c>
      <c r="N243" s="56">
        <f t="shared" si="12"/>
        <v>0</v>
      </c>
      <c r="O243" s="54">
        <f t="shared" si="13"/>
        <v>2910</v>
      </c>
      <c r="P243" s="57">
        <f t="shared" si="14"/>
        <v>3000</v>
      </c>
      <c r="Q243" s="58">
        <f t="shared" si="15"/>
        <v>0.03</v>
      </c>
    </row>
    <row r="244" spans="1:17" ht="15" hidden="1" x14ac:dyDescent="0.25">
      <c r="A244" s="46">
        <v>243</v>
      </c>
      <c r="B244" s="52" t="s">
        <v>404</v>
      </c>
      <c r="C244" s="52">
        <v>50</v>
      </c>
      <c r="D244" s="52">
        <v>1</v>
      </c>
      <c r="E244" s="52" t="s">
        <v>160</v>
      </c>
      <c r="F244" s="52">
        <v>9</v>
      </c>
      <c r="G244" s="52">
        <v>5000</v>
      </c>
      <c r="H244" s="52">
        <v>0</v>
      </c>
      <c r="I244" s="52">
        <v>8000</v>
      </c>
      <c r="J244" s="52">
        <v>4000</v>
      </c>
      <c r="K244" s="52">
        <v>6000</v>
      </c>
      <c r="L244" s="52">
        <v>0.185</v>
      </c>
      <c r="N244" s="56">
        <f t="shared" si="12"/>
        <v>0</v>
      </c>
      <c r="O244" s="54">
        <f t="shared" si="13"/>
        <v>2910</v>
      </c>
      <c r="P244" s="57">
        <f t="shared" si="14"/>
        <v>3000</v>
      </c>
      <c r="Q244" s="58">
        <f t="shared" si="15"/>
        <v>0.03</v>
      </c>
    </row>
    <row r="245" spans="1:17" ht="15" hidden="1" x14ac:dyDescent="0.25">
      <c r="A245" s="46">
        <v>244</v>
      </c>
      <c r="B245" s="52" t="s">
        <v>405</v>
      </c>
      <c r="C245" s="52">
        <v>50</v>
      </c>
      <c r="D245" s="52">
        <v>1</v>
      </c>
      <c r="E245" s="52" t="s">
        <v>160</v>
      </c>
      <c r="F245" s="52">
        <v>9</v>
      </c>
      <c r="G245" s="52">
        <v>6300</v>
      </c>
      <c r="H245" s="52">
        <v>0</v>
      </c>
      <c r="I245" s="52">
        <v>9006</v>
      </c>
      <c r="J245" s="52">
        <v>5000</v>
      </c>
      <c r="K245" s="52">
        <v>7000</v>
      </c>
      <c r="L245" s="52">
        <v>0.185</v>
      </c>
      <c r="N245" s="56">
        <f t="shared" si="12"/>
        <v>0</v>
      </c>
      <c r="O245" s="54">
        <f t="shared" si="13"/>
        <v>2910</v>
      </c>
      <c r="P245" s="57">
        <f t="shared" si="14"/>
        <v>3000</v>
      </c>
      <c r="Q245" s="58">
        <f t="shared" si="15"/>
        <v>0.03</v>
      </c>
    </row>
    <row r="246" spans="1:17" ht="15" hidden="1" x14ac:dyDescent="0.25">
      <c r="A246" s="46">
        <v>245</v>
      </c>
      <c r="B246" s="52" t="s">
        <v>406</v>
      </c>
      <c r="C246" s="52">
        <v>50</v>
      </c>
      <c r="D246" s="52">
        <v>1</v>
      </c>
      <c r="E246" s="52" t="s">
        <v>160</v>
      </c>
      <c r="F246" s="52">
        <v>5</v>
      </c>
      <c r="G246" s="52">
        <v>20</v>
      </c>
      <c r="H246" s="52">
        <v>0</v>
      </c>
      <c r="I246" s="52">
        <v>38</v>
      </c>
      <c r="J246" s="52">
        <v>10</v>
      </c>
      <c r="K246" s="52">
        <v>25</v>
      </c>
      <c r="L246" s="52">
        <v>9.1999999999999998E-2</v>
      </c>
      <c r="N246" s="56">
        <f t="shared" si="12"/>
        <v>0</v>
      </c>
      <c r="O246" s="54">
        <f t="shared" si="13"/>
        <v>2910</v>
      </c>
      <c r="P246" s="57">
        <f t="shared" si="14"/>
        <v>3000</v>
      </c>
      <c r="Q246" s="58">
        <f t="shared" si="15"/>
        <v>0.03</v>
      </c>
    </row>
    <row r="247" spans="1:17" ht="15" hidden="1" x14ac:dyDescent="0.25">
      <c r="A247" s="46">
        <v>246</v>
      </c>
      <c r="B247" s="52" t="s">
        <v>407</v>
      </c>
      <c r="C247" s="52">
        <v>50</v>
      </c>
      <c r="D247" s="52">
        <v>1</v>
      </c>
      <c r="E247" s="52" t="s">
        <v>160</v>
      </c>
      <c r="F247" s="52">
        <v>5</v>
      </c>
      <c r="G247" s="52">
        <v>140</v>
      </c>
      <c r="H247" s="52">
        <v>0</v>
      </c>
      <c r="I247" s="52">
        <v>220</v>
      </c>
      <c r="J247" s="52">
        <v>35</v>
      </c>
      <c r="K247" s="52">
        <v>180</v>
      </c>
      <c r="L247" s="52">
        <v>9.1999999999999998E-2</v>
      </c>
      <c r="N247" s="56">
        <f t="shared" si="12"/>
        <v>26</v>
      </c>
      <c r="O247" s="54">
        <f t="shared" si="13"/>
        <v>2910</v>
      </c>
      <c r="P247" s="57">
        <f t="shared" si="14"/>
        <v>3000</v>
      </c>
      <c r="Q247" s="58">
        <f t="shared" si="15"/>
        <v>0.03</v>
      </c>
    </row>
    <row r="248" spans="1:17" ht="15" hidden="1" x14ac:dyDescent="0.25">
      <c r="A248" s="46">
        <v>247</v>
      </c>
      <c r="B248" s="52" t="s">
        <v>408</v>
      </c>
      <c r="C248" s="52">
        <v>50</v>
      </c>
      <c r="D248" s="52">
        <v>1</v>
      </c>
      <c r="E248" s="52" t="s">
        <v>160</v>
      </c>
      <c r="F248" s="52">
        <v>5</v>
      </c>
      <c r="G248" s="52">
        <v>210</v>
      </c>
      <c r="H248" s="52">
        <v>0</v>
      </c>
      <c r="I248" s="52">
        <v>314</v>
      </c>
      <c r="J248" s="52">
        <v>55</v>
      </c>
      <c r="K248" s="52">
        <v>250</v>
      </c>
      <c r="L248" s="52">
        <v>9.1999999999999998E-2</v>
      </c>
      <c r="N248" s="56">
        <f t="shared" si="12"/>
        <v>27</v>
      </c>
      <c r="O248" s="54">
        <f t="shared" si="13"/>
        <v>2910</v>
      </c>
      <c r="P248" s="57">
        <f t="shared" si="14"/>
        <v>3000</v>
      </c>
      <c r="Q248" s="58">
        <f t="shared" si="15"/>
        <v>0.03</v>
      </c>
    </row>
    <row r="249" spans="1:17" ht="15" hidden="1" x14ac:dyDescent="0.25">
      <c r="A249" s="46">
        <v>248</v>
      </c>
      <c r="B249" s="52" t="s">
        <v>409</v>
      </c>
      <c r="C249" s="52">
        <v>50</v>
      </c>
      <c r="D249" s="52">
        <v>1</v>
      </c>
      <c r="E249" s="52" t="s">
        <v>160</v>
      </c>
      <c r="F249" s="52">
        <v>5</v>
      </c>
      <c r="G249" s="52">
        <v>320</v>
      </c>
      <c r="H249" s="52">
        <v>0</v>
      </c>
      <c r="I249" s="52">
        <v>500</v>
      </c>
      <c r="J249" s="52">
        <v>80</v>
      </c>
      <c r="K249" s="52">
        <v>400</v>
      </c>
      <c r="L249" s="52">
        <v>9.1999999999999998E-2</v>
      </c>
      <c r="N249" s="56">
        <f t="shared" si="12"/>
        <v>27</v>
      </c>
      <c r="O249" s="54">
        <f t="shared" si="13"/>
        <v>2910</v>
      </c>
      <c r="P249" s="57">
        <f t="shared" si="14"/>
        <v>3000</v>
      </c>
      <c r="Q249" s="58">
        <f t="shared" si="15"/>
        <v>0.03</v>
      </c>
    </row>
    <row r="250" spans="1:17" ht="15" hidden="1" x14ac:dyDescent="0.25">
      <c r="A250" s="46">
        <v>249</v>
      </c>
      <c r="B250" s="52" t="s">
        <v>410</v>
      </c>
      <c r="C250" s="52">
        <v>50</v>
      </c>
      <c r="D250" s="52">
        <v>1</v>
      </c>
      <c r="E250" s="52" t="s">
        <v>160</v>
      </c>
      <c r="F250" s="52">
        <v>5</v>
      </c>
      <c r="G250" s="52">
        <v>400</v>
      </c>
      <c r="H250" s="52">
        <v>0</v>
      </c>
      <c r="I250" s="52">
        <v>700</v>
      </c>
      <c r="J250" s="52">
        <v>100</v>
      </c>
      <c r="K250" s="52">
        <v>480</v>
      </c>
      <c r="L250" s="52">
        <v>9.1999999999999998E-2</v>
      </c>
      <c r="N250" s="56">
        <f t="shared" si="12"/>
        <v>27</v>
      </c>
      <c r="O250" s="54">
        <f t="shared" si="13"/>
        <v>2910</v>
      </c>
      <c r="P250" s="57">
        <f t="shared" si="14"/>
        <v>3000</v>
      </c>
      <c r="Q250" s="58">
        <f t="shared" si="15"/>
        <v>0.03</v>
      </c>
    </row>
    <row r="251" spans="1:17" ht="15" x14ac:dyDescent="0.25">
      <c r="A251" s="46">
        <v>250</v>
      </c>
      <c r="B251" s="52" t="s">
        <v>411</v>
      </c>
      <c r="C251" s="52">
        <v>50</v>
      </c>
      <c r="D251" s="52">
        <v>1</v>
      </c>
      <c r="E251" s="52" t="s">
        <v>160</v>
      </c>
      <c r="F251" s="52" t="s">
        <v>228</v>
      </c>
      <c r="G251" s="52">
        <v>165</v>
      </c>
      <c r="H251" s="52">
        <v>0</v>
      </c>
      <c r="I251" s="52">
        <v>275</v>
      </c>
      <c r="J251" s="52">
        <v>40</v>
      </c>
      <c r="K251" s="52">
        <v>200</v>
      </c>
      <c r="L251" s="52">
        <v>0.10299999999999999</v>
      </c>
      <c r="N251" s="56">
        <f t="shared" si="12"/>
        <v>27</v>
      </c>
      <c r="O251" s="54">
        <f t="shared" si="13"/>
        <v>2910</v>
      </c>
      <c r="P251" s="57">
        <f t="shared" si="14"/>
        <v>3000</v>
      </c>
      <c r="Q251" s="58">
        <f t="shared" si="15"/>
        <v>0.03</v>
      </c>
    </row>
    <row r="252" spans="1:17" ht="15" x14ac:dyDescent="0.25">
      <c r="A252" s="46">
        <v>251</v>
      </c>
      <c r="B252" s="52" t="s">
        <v>412</v>
      </c>
      <c r="C252" s="52">
        <v>50</v>
      </c>
      <c r="D252" s="52">
        <v>1</v>
      </c>
      <c r="E252" s="52" t="s">
        <v>160</v>
      </c>
      <c r="F252" s="52" t="s">
        <v>228</v>
      </c>
      <c r="G252" s="52">
        <v>200</v>
      </c>
      <c r="H252" s="52">
        <v>0</v>
      </c>
      <c r="I252" s="52">
        <v>330</v>
      </c>
      <c r="J252" s="52">
        <v>50</v>
      </c>
      <c r="K252" s="52">
        <v>245</v>
      </c>
      <c r="L252" s="52">
        <v>0.10299999999999999</v>
      </c>
      <c r="N252" s="56">
        <f t="shared" si="12"/>
        <v>31</v>
      </c>
      <c r="O252" s="54">
        <f t="shared" si="13"/>
        <v>2910</v>
      </c>
      <c r="P252" s="57">
        <f t="shared" si="14"/>
        <v>3000</v>
      </c>
      <c r="Q252" s="58">
        <f t="shared" si="15"/>
        <v>0.03</v>
      </c>
    </row>
    <row r="253" spans="1:17" ht="15" x14ac:dyDescent="0.25">
      <c r="A253" s="46">
        <v>252</v>
      </c>
      <c r="B253" s="52" t="s">
        <v>413</v>
      </c>
      <c r="C253" s="52">
        <v>50</v>
      </c>
      <c r="D253" s="52">
        <v>1</v>
      </c>
      <c r="E253" s="52" t="s">
        <v>160</v>
      </c>
      <c r="F253" s="52" t="s">
        <v>228</v>
      </c>
      <c r="G253" s="52">
        <v>320</v>
      </c>
      <c r="H253" s="52">
        <v>0</v>
      </c>
      <c r="I253" s="52">
        <v>540</v>
      </c>
      <c r="J253" s="52">
        <v>80</v>
      </c>
      <c r="K253" s="52">
        <v>400</v>
      </c>
      <c r="L253" s="52">
        <v>0.10299999999999999</v>
      </c>
      <c r="N253" s="56">
        <f t="shared" si="12"/>
        <v>27</v>
      </c>
      <c r="O253" s="54">
        <f t="shared" si="13"/>
        <v>2910</v>
      </c>
      <c r="P253" s="57">
        <f t="shared" si="14"/>
        <v>3000</v>
      </c>
      <c r="Q253" s="58">
        <f t="shared" si="15"/>
        <v>0.03</v>
      </c>
    </row>
    <row r="254" spans="1:17" ht="15" x14ac:dyDescent="0.25">
      <c r="A254" s="46">
        <v>253</v>
      </c>
      <c r="B254" s="52" t="s">
        <v>414</v>
      </c>
      <c r="C254" s="52">
        <v>50</v>
      </c>
      <c r="D254" s="52">
        <v>1</v>
      </c>
      <c r="E254" s="52" t="s">
        <v>160</v>
      </c>
      <c r="F254" s="52" t="s">
        <v>228</v>
      </c>
      <c r="G254" s="52">
        <v>410</v>
      </c>
      <c r="H254" s="52">
        <v>0</v>
      </c>
      <c r="I254" s="52">
        <v>648</v>
      </c>
      <c r="J254" s="52">
        <v>105</v>
      </c>
      <c r="K254" s="52">
        <v>500</v>
      </c>
      <c r="L254" s="52">
        <v>0.10299999999999999</v>
      </c>
      <c r="N254" s="56">
        <f t="shared" si="12"/>
        <v>27</v>
      </c>
      <c r="O254" s="54">
        <f t="shared" si="13"/>
        <v>2910</v>
      </c>
      <c r="P254" s="57">
        <f t="shared" si="14"/>
        <v>3000</v>
      </c>
      <c r="Q254" s="58">
        <f t="shared" si="15"/>
        <v>0.03</v>
      </c>
    </row>
    <row r="255" spans="1:17" ht="15" x14ac:dyDescent="0.25">
      <c r="A255" s="46">
        <v>254</v>
      </c>
      <c r="B255" s="52" t="s">
        <v>415</v>
      </c>
      <c r="C255" s="52">
        <v>50</v>
      </c>
      <c r="D255" s="52">
        <v>1</v>
      </c>
      <c r="E255" s="52" t="s">
        <v>160</v>
      </c>
      <c r="F255" s="52" t="s">
        <v>228</v>
      </c>
      <c r="G255" s="52">
        <v>500</v>
      </c>
      <c r="H255" s="52">
        <v>0</v>
      </c>
      <c r="I255" s="52">
        <v>762</v>
      </c>
      <c r="J255" s="52">
        <v>125</v>
      </c>
      <c r="K255" s="52">
        <v>600</v>
      </c>
      <c r="L255" s="52">
        <v>0.10299999999999999</v>
      </c>
      <c r="N255" s="56">
        <f t="shared" si="12"/>
        <v>27</v>
      </c>
      <c r="O255" s="54">
        <f t="shared" si="13"/>
        <v>2910</v>
      </c>
      <c r="P255" s="57">
        <f t="shared" si="14"/>
        <v>3000</v>
      </c>
      <c r="Q255" s="58">
        <f t="shared" si="15"/>
        <v>0.03</v>
      </c>
    </row>
    <row r="256" spans="1:17" ht="15" hidden="1" x14ac:dyDescent="0.25">
      <c r="A256" s="46">
        <v>255</v>
      </c>
      <c r="B256" s="52" t="s">
        <v>416</v>
      </c>
      <c r="C256" s="52">
        <v>50</v>
      </c>
      <c r="D256" s="52">
        <v>1</v>
      </c>
      <c r="E256" s="52" t="s">
        <v>160</v>
      </c>
      <c r="F256" s="52" t="s">
        <v>256</v>
      </c>
      <c r="G256" s="52">
        <v>150</v>
      </c>
      <c r="H256" s="52">
        <v>0</v>
      </c>
      <c r="I256" s="52">
        <v>301</v>
      </c>
      <c r="J256" s="52">
        <v>40</v>
      </c>
      <c r="K256" s="52">
        <v>200</v>
      </c>
      <c r="L256" s="52">
        <v>0.13600000000000001</v>
      </c>
      <c r="N256" s="56">
        <f t="shared" si="12"/>
        <v>26</v>
      </c>
      <c r="O256" s="54">
        <f t="shared" si="13"/>
        <v>2910</v>
      </c>
      <c r="P256" s="57">
        <f t="shared" si="14"/>
        <v>3000</v>
      </c>
      <c r="Q256" s="58">
        <f t="shared" si="15"/>
        <v>0.03</v>
      </c>
    </row>
    <row r="257" spans="1:17" ht="15" hidden="1" x14ac:dyDescent="0.25">
      <c r="A257" s="46">
        <v>256</v>
      </c>
      <c r="B257" s="52" t="s">
        <v>417</v>
      </c>
      <c r="C257" s="52">
        <v>50</v>
      </c>
      <c r="D257" s="52">
        <v>1</v>
      </c>
      <c r="E257" s="52" t="s">
        <v>160</v>
      </c>
      <c r="F257" s="52" t="s">
        <v>256</v>
      </c>
      <c r="G257" s="52">
        <v>500</v>
      </c>
      <c r="H257" s="52">
        <v>0</v>
      </c>
      <c r="I257" s="52">
        <v>862</v>
      </c>
      <c r="J257" s="52">
        <v>125</v>
      </c>
      <c r="K257" s="52">
        <v>625</v>
      </c>
      <c r="L257" s="52">
        <v>0.13600000000000001</v>
      </c>
      <c r="N257" s="56">
        <f t="shared" si="12"/>
        <v>28</v>
      </c>
      <c r="O257" s="54">
        <f t="shared" si="13"/>
        <v>2910</v>
      </c>
      <c r="P257" s="57">
        <f t="shared" si="14"/>
        <v>3000</v>
      </c>
      <c r="Q257" s="58">
        <f t="shared" si="15"/>
        <v>0.03</v>
      </c>
    </row>
    <row r="258" spans="1:17" ht="15" x14ac:dyDescent="0.25">
      <c r="A258" s="46">
        <v>257</v>
      </c>
      <c r="B258" s="52" t="s">
        <v>418</v>
      </c>
      <c r="C258" s="52">
        <v>50</v>
      </c>
      <c r="D258" s="52">
        <v>1</v>
      </c>
      <c r="E258" s="52" t="s">
        <v>160</v>
      </c>
      <c r="F258" s="52" t="s">
        <v>228</v>
      </c>
      <c r="G258" s="52">
        <v>200</v>
      </c>
      <c r="H258" s="52">
        <v>0</v>
      </c>
      <c r="I258" s="52">
        <v>324</v>
      </c>
      <c r="J258" s="52">
        <v>50</v>
      </c>
      <c r="K258" s="52">
        <v>245</v>
      </c>
      <c r="L258" s="52">
        <v>0.10299999999999999</v>
      </c>
      <c r="N258" s="56">
        <f t="shared" ref="N258:N263" si="16">IFERROR(SEARCH("@",B258),0)</f>
        <v>27</v>
      </c>
      <c r="O258" s="54">
        <f t="shared" ref="O258:O263" si="17">IF(N258&gt;0,MID(B258,N258+2,5)*1,C258*60*0.97)</f>
        <v>2910</v>
      </c>
      <c r="P258" s="57">
        <f t="shared" ref="P258:P263" si="18">C258*60</f>
        <v>3000</v>
      </c>
      <c r="Q258" s="58">
        <f t="shared" ref="Q258:Q263" si="19">IF(O258&lt;&gt;"",(P258-O258)/P258,"")</f>
        <v>0.03</v>
      </c>
    </row>
    <row r="259" spans="1:17" ht="15" hidden="1" x14ac:dyDescent="0.25">
      <c r="A259" s="46">
        <v>258</v>
      </c>
      <c r="B259" s="52" t="s">
        <v>419</v>
      </c>
      <c r="C259" s="52">
        <v>50</v>
      </c>
      <c r="D259" s="52">
        <v>1</v>
      </c>
      <c r="E259" s="52" t="s">
        <v>160</v>
      </c>
      <c r="F259" s="52" t="s">
        <v>256</v>
      </c>
      <c r="G259" s="52">
        <v>1000</v>
      </c>
      <c r="H259" s="52">
        <v>0</v>
      </c>
      <c r="I259" s="52">
        <v>1650</v>
      </c>
      <c r="J259" s="52">
        <v>250</v>
      </c>
      <c r="K259" s="52">
        <v>1300</v>
      </c>
      <c r="L259" s="52">
        <v>0.13600000000000001</v>
      </c>
      <c r="N259" s="56">
        <f t="shared" si="16"/>
        <v>28</v>
      </c>
      <c r="O259" s="54">
        <f t="shared" si="17"/>
        <v>2910</v>
      </c>
      <c r="P259" s="57">
        <f t="shared" si="18"/>
        <v>3000</v>
      </c>
      <c r="Q259" s="58">
        <f t="shared" si="19"/>
        <v>0.03</v>
      </c>
    </row>
    <row r="260" spans="1:17" ht="15" hidden="1" x14ac:dyDescent="0.25">
      <c r="A260" s="46">
        <v>259</v>
      </c>
      <c r="B260" s="52" t="s">
        <v>420</v>
      </c>
      <c r="C260" s="52">
        <v>50</v>
      </c>
      <c r="D260" s="52">
        <v>1</v>
      </c>
      <c r="E260" s="52" t="s">
        <v>160</v>
      </c>
      <c r="F260" s="52" t="s">
        <v>256</v>
      </c>
      <c r="G260" s="52">
        <v>1600</v>
      </c>
      <c r="H260" s="52">
        <v>0</v>
      </c>
      <c r="I260" s="52">
        <v>2673</v>
      </c>
      <c r="J260" s="52">
        <v>400</v>
      </c>
      <c r="K260" s="52">
        <v>2000</v>
      </c>
      <c r="L260" s="52">
        <v>0.13600000000000001</v>
      </c>
      <c r="N260" s="56">
        <f t="shared" si="16"/>
        <v>29</v>
      </c>
      <c r="O260" s="54">
        <f t="shared" si="17"/>
        <v>2910</v>
      </c>
      <c r="P260" s="57">
        <f t="shared" si="18"/>
        <v>3000</v>
      </c>
      <c r="Q260" s="58">
        <f t="shared" si="19"/>
        <v>0.03</v>
      </c>
    </row>
    <row r="261" spans="1:17" ht="15" hidden="1" x14ac:dyDescent="0.25">
      <c r="A261" s="46">
        <v>260</v>
      </c>
      <c r="B261" s="52" t="s">
        <v>421</v>
      </c>
      <c r="C261" s="52">
        <v>50</v>
      </c>
      <c r="D261" s="52">
        <v>1</v>
      </c>
      <c r="E261" s="52" t="s">
        <v>160</v>
      </c>
      <c r="F261" s="52" t="s">
        <v>256</v>
      </c>
      <c r="G261" s="52">
        <v>300</v>
      </c>
      <c r="H261" s="52">
        <v>0</v>
      </c>
      <c r="I261" s="52">
        <v>470</v>
      </c>
      <c r="J261" s="52">
        <v>75</v>
      </c>
      <c r="K261" s="52">
        <v>420</v>
      </c>
      <c r="L261" s="52">
        <v>0.13600000000000001</v>
      </c>
      <c r="N261" s="56">
        <f t="shared" si="16"/>
        <v>27</v>
      </c>
      <c r="O261" s="54">
        <f t="shared" si="17"/>
        <v>2910</v>
      </c>
      <c r="P261" s="57">
        <f t="shared" si="18"/>
        <v>3000</v>
      </c>
      <c r="Q261" s="58">
        <f t="shared" si="19"/>
        <v>0.03</v>
      </c>
    </row>
    <row r="262" spans="1:17" ht="15" hidden="1" x14ac:dyDescent="0.25">
      <c r="A262" s="46">
        <v>261</v>
      </c>
      <c r="B262" s="52" t="s">
        <v>422</v>
      </c>
      <c r="C262" s="52">
        <v>50</v>
      </c>
      <c r="D262" s="52">
        <v>1</v>
      </c>
      <c r="E262" s="52" t="s">
        <v>160</v>
      </c>
      <c r="F262" s="52" t="s">
        <v>256</v>
      </c>
      <c r="G262" s="52">
        <v>500</v>
      </c>
      <c r="H262" s="52">
        <v>0</v>
      </c>
      <c r="I262" s="52">
        <v>805</v>
      </c>
      <c r="J262" s="52">
        <v>125</v>
      </c>
      <c r="K262" s="52">
        <v>720</v>
      </c>
      <c r="L262" s="52">
        <v>0.13600000000000001</v>
      </c>
      <c r="N262" s="56">
        <f t="shared" si="16"/>
        <v>27</v>
      </c>
      <c r="O262" s="54">
        <f t="shared" si="17"/>
        <v>2910</v>
      </c>
      <c r="P262" s="57">
        <f t="shared" si="18"/>
        <v>3000</v>
      </c>
      <c r="Q262" s="58">
        <f t="shared" si="19"/>
        <v>0.03</v>
      </c>
    </row>
    <row r="263" spans="1:17" ht="15" hidden="1" x14ac:dyDescent="0.25">
      <c r="A263" s="46">
        <v>262</v>
      </c>
      <c r="B263" s="52" t="s">
        <v>423</v>
      </c>
      <c r="C263" s="52">
        <v>50</v>
      </c>
      <c r="D263" s="52">
        <v>1</v>
      </c>
      <c r="E263" s="52" t="s">
        <v>160</v>
      </c>
      <c r="F263" s="52" t="s">
        <v>256</v>
      </c>
      <c r="G263" s="52">
        <v>750</v>
      </c>
      <c r="H263" s="52">
        <v>0</v>
      </c>
      <c r="I263" s="52">
        <v>1370</v>
      </c>
      <c r="J263" s="52">
        <v>200</v>
      </c>
      <c r="K263" s="52">
        <v>900</v>
      </c>
      <c r="L263" s="52">
        <v>0.13600000000000001</v>
      </c>
      <c r="N263" s="59">
        <f t="shared" si="16"/>
        <v>27</v>
      </c>
      <c r="O263" s="54">
        <f t="shared" si="17"/>
        <v>2910</v>
      </c>
      <c r="P263" s="60">
        <f t="shared" si="18"/>
        <v>3000</v>
      </c>
      <c r="Q263" s="61">
        <f t="shared" si="19"/>
        <v>0.03</v>
      </c>
    </row>
  </sheetData>
  <autoFilter ref="A1:WVS263" xr:uid="{6A0F9ED2-5988-4713-A0F0-810F8583C46C}">
    <filterColumn colId="2">
      <filters>
        <filter val="50"/>
      </filters>
    </filterColumn>
    <filterColumn colId="5">
      <filters>
        <filter val="5А"/>
      </filters>
    </filterColumn>
  </autoFilter>
  <conditionalFormatting sqref="Q2:Q26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{1A76D1FB-8D05-4203-9B85-DA2DBA0EEDA5}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76D1FB-8D05-4203-9B85-DA2DBA0EED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Q2:Q263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DC43-E3AB-4435-96A3-EE1FB9F4AE0D}">
  <sheetPr codeName="Лист5"/>
  <dimension ref="A1:AU91"/>
  <sheetViews>
    <sheetView zoomScale="55" zoomScaleNormal="55" workbookViewId="0">
      <selection activeCell="BE44" sqref="BE44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NFV(310-630)H @ 5820 RPM</v>
      </c>
      <c r="C1" s="64"/>
      <c r="D1" s="64"/>
      <c r="E1" s="65">
        <v>1</v>
      </c>
      <c r="G1" s="64" t="s">
        <v>424</v>
      </c>
      <c r="H1" s="66">
        <f>VLOOKUP(num,'tnav 254'!A1:Q263,7,1)</f>
        <v>100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100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f=100 Hz</v>
      </c>
      <c r="AR1" s="47" t="str" cm="1">
        <f t="array" ref="AR1">[1]!encode_linspace(0,B91,10)</f>
        <v>[0,18,36,54,72,90,108,126,144,162,180]</v>
      </c>
    </row>
    <row r="2" spans="1:47" x14ac:dyDescent="0.2">
      <c r="A2" s="67" t="s">
        <v>144</v>
      </c>
      <c r="B2" s="68" t="str">
        <f>"ЭЦН"&amp;L1&amp;"-"&amp;H1&amp;"@"&amp;f_nom&amp;"Гц"</f>
        <v>ЭЦН5-100@100Гц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[0,9,18,27,36,45,54,63,72,81,90]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24.357800309999998</v>
      </c>
      <c r="C5" s="73">
        <f>Напор0*(f_50_hz/f_nom)^2</f>
        <v>6.0894500774999996</v>
      </c>
      <c r="R5" s="47">
        <f>S1+num</f>
        <v>2001</v>
      </c>
      <c r="S5" s="47" t="s">
        <v>478</v>
      </c>
      <c r="T5" s="47" t="s">
        <v>479</v>
      </c>
      <c r="U5" s="47" t="str">
        <f>B2</f>
        <v>ЭЦН5-100@100Гц</v>
      </c>
      <c r="V5" s="47">
        <v>1000</v>
      </c>
      <c r="W5" s="47">
        <f>q_nom</f>
        <v>100</v>
      </c>
      <c r="X5" s="47">
        <f>VLOOKUP(num,'tnav 254'!A1:Q263,10,1)</f>
        <v>70</v>
      </c>
      <c r="Y5" s="47">
        <f>VLOOKUP(num,'tnav 254'!A1:Q263,11,1)</f>
        <v>140</v>
      </c>
      <c r="Z5" s="47">
        <f>VLOOKUP(num,'tnav 254'!A1:Q263,9,1)</f>
        <v>180</v>
      </c>
      <c r="AA5" s="47">
        <f>VLOOKUP(num,'tnav 254'!A1:Q263,15,1)</f>
        <v>5820</v>
      </c>
      <c r="AB5" s="47">
        <f>f_nom</f>
        <v>100</v>
      </c>
      <c r="AC5" s="87">
        <f>MAX(КПД)</f>
        <v>0.56047666173822697</v>
      </c>
      <c r="AE5" s="47">
        <f>L1</f>
        <v>5</v>
      </c>
      <c r="AF5" s="47">
        <f>VLOOKUP(num,'tnav 254'!A1:Q263,12,1)*1000</f>
        <v>92</v>
      </c>
      <c r="AQ5" s="98">
        <f>$R$5</f>
        <v>2001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24.357800309999998</v>
      </c>
      <c r="AT5" s="104" cm="1">
        <f t="array" ref="AT5">[1]!crv_interpolation(Подача_пласт_м3_сут,$I$42:$I$91,AR5,2)</f>
        <v>0.35854094120000002</v>
      </c>
      <c r="AU5" s="105">
        <v>0</v>
      </c>
    </row>
    <row r="6" spans="1:47" x14ac:dyDescent="0.2">
      <c r="A6" s="74" t="s">
        <v>431</v>
      </c>
      <c r="B6" s="75">
        <v>5.251123882E-2</v>
      </c>
      <c r="C6" s="76">
        <f>Напор1/(f_50_hz/f_nom)*(f_50_hz/f_nom)^2</f>
        <v>2.625561941E-2</v>
      </c>
      <c r="R6" s="47">
        <f>T1+num</f>
        <v>3001</v>
      </c>
      <c r="S6" s="47" t="s">
        <v>480</v>
      </c>
      <c r="T6" s="47" t="s">
        <v>481</v>
      </c>
      <c r="U6" s="47" t="str">
        <f>"ЭЦН"&amp;L1&amp;"-"&amp;H1&amp;"@"&amp;f_50_hz&amp;"Гц"</f>
        <v>ЭЦН5-100@50Гц</v>
      </c>
      <c r="V6" s="47">
        <v>1000</v>
      </c>
      <c r="W6" s="47">
        <f>W5*f_50_hz/f_nom</f>
        <v>50</v>
      </c>
      <c r="X6" s="47">
        <f>X5*f_50_hz/f_nom</f>
        <v>35</v>
      </c>
      <c r="Y6" s="47">
        <f>Y5*f_50_hz/f_nom</f>
        <v>70</v>
      </c>
      <c r="Z6" s="47">
        <f>Z5*f_50_hz/f_nom</f>
        <v>90</v>
      </c>
      <c r="AA6" s="47">
        <f>AA5*f_50_hz/f_nom</f>
        <v>2910</v>
      </c>
      <c r="AB6" s="47">
        <f>f_50_hz</f>
        <v>50</v>
      </c>
      <c r="AC6" s="87">
        <f>AC5</f>
        <v>0.56047666173822697</v>
      </c>
      <c r="AE6" s="47">
        <f>AE5</f>
        <v>5</v>
      </c>
      <c r="AF6" s="47">
        <f>AF5</f>
        <v>92</v>
      </c>
      <c r="AQ6" s="100">
        <f t="shared" ref="AQ6:AQ15" si="0">$R$5</f>
        <v>2001</v>
      </c>
      <c r="AR6" s="101">
        <v>18</v>
      </c>
      <c r="AS6" s="106" cm="1">
        <f t="array" ref="AS6">[1]!crv_interpolation(Подача_пласт_м3_сут,Напор_м,AR6,2)</f>
        <v>24.727571785231017</v>
      </c>
      <c r="AT6" s="106" cm="1">
        <f t="array" ref="AT6">[1]!crv_interpolation(Подача_пласт_м3_сут,$I$42:$I$91,AR6,2)</f>
        <v>0.35764794185779786</v>
      </c>
      <c r="AU6" s="107" cm="1">
        <f t="array" ref="AU6">[1]!crv_interpolation(Подача_пласт_м3_сут,КПД,AR6,2)</f>
        <v>0.14314875836725277</v>
      </c>
    </row>
    <row r="7" spans="1:47" x14ac:dyDescent="0.2">
      <c r="A7" s="74" t="s">
        <v>432</v>
      </c>
      <c r="B7" s="75">
        <v>-2.1957965429999999E-3</v>
      </c>
      <c r="C7" s="76">
        <f>Напор2/((f_50_hz/f_nom)^2)*(f_50_hz/f_nom)^2</f>
        <v>-2.1957965429999999E-3</v>
      </c>
      <c r="AQ7" s="100">
        <f t="shared" si="0"/>
        <v>2001</v>
      </c>
      <c r="AR7" s="101">
        <v>36</v>
      </c>
      <c r="AS7" s="106" cm="1">
        <f t="array" ref="AS7">[1]!crv_interpolation(Подача_пласт_м3_сут,Напор_м,AR7,2)</f>
        <v>24.343985564899459</v>
      </c>
      <c r="AT7" s="106" cm="1">
        <f t="array" ref="AT7">[1]!crv_interpolation(Подача_пласт_м3_сут,$I$42:$I$91,AR7,2)</f>
        <v>0.37119675646979738</v>
      </c>
      <c r="AU7" s="107" cm="1">
        <f t="array" ref="AU7">[1]!crv_interpolation(Подача_пласт_м3_сут,КПД,AR7,2)</f>
        <v>0.26615883923872907</v>
      </c>
    </row>
    <row r="8" spans="1:47" x14ac:dyDescent="0.2">
      <c r="A8" s="74" t="s">
        <v>433</v>
      </c>
      <c r="B8" s="75">
        <v>2.6847892430000002E-5</v>
      </c>
      <c r="C8" s="76">
        <f>Напор3/((f_50_hz/f_nom)^3)*(f_50_hz/f_nom)^2</f>
        <v>5.3695784860000003E-5</v>
      </c>
      <c r="AQ8" s="100">
        <f t="shared" si="0"/>
        <v>2001</v>
      </c>
      <c r="AR8" s="101">
        <v>54</v>
      </c>
      <c r="AS8" s="106" cm="1">
        <f t="array" ref="AS8">[1]!crv_interpolation(Подача_пласт_м3_сут,Напор_м,AR8,2)</f>
        <v>23.536758588908963</v>
      </c>
      <c r="AT8" s="106" cm="1">
        <f t="array" ref="AT8">[1]!crv_interpolation(Подача_пласт_м3_сут,$I$42:$I$91,AR8,2)</f>
        <v>0.38128379332574663</v>
      </c>
      <c r="AU8" s="107" cm="1">
        <f t="array" ref="AU8">[1]!crv_interpolation(Подача_пласт_м3_сут,КПД,AR8,2)</f>
        <v>0.37765114418455764</v>
      </c>
    </row>
    <row r="9" spans="1:47" x14ac:dyDescent="0.2">
      <c r="A9" s="74" t="s">
        <v>434</v>
      </c>
      <c r="B9" s="75">
        <v>-2.0905486760000001E-7</v>
      </c>
      <c r="C9" s="76">
        <f>Напор4/((f_50_hz/f_nom)^4)*(f_50_hz/f_nom)^2</f>
        <v>-8.3621947040000002E-7</v>
      </c>
      <c r="AQ9" s="100">
        <f t="shared" si="0"/>
        <v>2001</v>
      </c>
      <c r="AR9" s="101">
        <v>72</v>
      </c>
      <c r="AS9" s="106" cm="1">
        <f t="array" ref="AS9">[1]!crv_interpolation(Подача_пласт_м3_сут,Напор_м,AR9,2)</f>
        <v>22.375577298249542</v>
      </c>
      <c r="AT9" s="106" cm="1">
        <f t="array" ref="AT9">[1]!crv_interpolation(Подача_пласт_м3_сут,$I$42:$I$91,AR9,2)</f>
        <v>0.38791015222054243</v>
      </c>
      <c r="AU9" s="107" cm="1">
        <f t="array" ref="AU9">[1]!crv_interpolation(Подача_пласт_м3_сут,КПД,AR9,2)</f>
        <v>0.47192153179695667</v>
      </c>
    </row>
    <row r="10" spans="1:47" x14ac:dyDescent="0.2">
      <c r="A10" s="74" t="s">
        <v>435</v>
      </c>
      <c r="B10" s="75">
        <v>6.9433705749999998E-10</v>
      </c>
      <c r="C10" s="76">
        <f>Напор5/((f_50_hz/f_nom)^5)*(f_50_hz/f_nom)^2</f>
        <v>5.5546964599999998E-9</v>
      </c>
      <c r="AQ10" s="100">
        <f t="shared" si="0"/>
        <v>2001</v>
      </c>
      <c r="AR10" s="101">
        <v>90</v>
      </c>
      <c r="AS10" s="106" cm="1">
        <f t="array" ref="AS10">[1]!crv_interpolation(Подача_пласт_м3_сут,Напор_м,AR10,2)</f>
        <v>20.772094087316177</v>
      </c>
      <c r="AT10" s="106" cm="1">
        <f t="array" ref="AT10">[1]!crv_interpolation(Подача_пласт_м3_сут,$I$42:$I$91,AR10,2)</f>
        <v>0.39573294645834456</v>
      </c>
      <c r="AU10" s="107" cm="1">
        <f t="array" ref="AU10">[1]!crv_interpolation(Подача_пласт_м3_сут,КПД,AR10,2)</f>
        <v>0.53694063855753171</v>
      </c>
    </row>
    <row r="11" spans="1:47" x14ac:dyDescent="0.2">
      <c r="A11" s="74" t="s">
        <v>436</v>
      </c>
      <c r="B11" s="75">
        <v>-9.0655239979999999E-13</v>
      </c>
      <c r="C11" s="76">
        <f>Напор6/((f_50_hz/f_nom)^6)*(f_50_hz/f_nom)^2</f>
        <v>-1.45048383968E-11</v>
      </c>
      <c r="AQ11" s="100">
        <f t="shared" si="0"/>
        <v>2001</v>
      </c>
      <c r="AR11" s="101">
        <v>108</v>
      </c>
      <c r="AS11" s="106" cm="1">
        <f t="array" ref="AS11">[1]!crv_interpolation(Подача_пласт_м3_сут,Напор_м,AR11,2)</f>
        <v>18.559702557098717</v>
      </c>
      <c r="AT11" s="106" cm="1">
        <f t="array" ref="AT11">[1]!crv_interpolation(Подача_пласт_м3_сут,$I$42:$I$91,AR11,2)</f>
        <v>0.40649995820505708</v>
      </c>
      <c r="AU11" s="107" cm="1">
        <f t="array" ref="AU11">[1]!crv_interpolation(Подача_пласт_м3_сут,КПД,AR11,2)</f>
        <v>0.56060847286755611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2001</v>
      </c>
      <c r="AR12" s="101">
        <v>126</v>
      </c>
      <c r="AS12" s="106" cm="1">
        <f t="array" ref="AS12">[1]!crv_interpolation(Подача_пласт_м3_сут,Напор_м,AR12,2)</f>
        <v>15.551100588191181</v>
      </c>
      <c r="AT12" s="106" cm="1">
        <f t="array" ref="AT12">[1]!crv_interpolation(Подача_пласт_м3_сут,$I$42:$I$91,AR12,2)</f>
        <v>0.41716586789060328</v>
      </c>
      <c r="AU12" s="107" cm="1">
        <f t="array" ref="AU12">[1]!crv_interpolation(Подача_пласт_м3_сут,КПД,AR12,2)</f>
        <v>0.53292413746247391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2001</v>
      </c>
      <c r="AR13" s="101">
        <v>144</v>
      </c>
      <c r="AS13" s="106" cm="1">
        <f t="array" ref="AS13">[1]!crv_interpolation(Подача_пласт_м3_сут,Напор_м,AR13,2)</f>
        <v>11.57363670242416</v>
      </c>
      <c r="AT13" s="106" cm="1">
        <f t="array" ref="AT13">[1]!crv_interpolation(Подача_пласт_м3_сут,$I$42:$I$91,AR13,2)</f>
        <v>0.42368227681577242</v>
      </c>
      <c r="AU13" s="107" cm="1">
        <f t="array" ref="AU13">[1]!crv_interpolation(Подача_пласт_м3_сут,КПД,AR13,2)</f>
        <v>0.44407054804676954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2001</v>
      </c>
      <c r="AR14" s="101">
        <v>162</v>
      </c>
      <c r="AS14" s="106" cm="1">
        <f t="array" ref="AS14">[1]!crv_interpolation(Подача_пласт_м3_сут,Напор_м,AR14,2)</f>
        <v>6.4824396032827583</v>
      </c>
      <c r="AT14" s="106" cm="1">
        <f t="array" ref="AT14">[1]!crv_interpolation(Подача_пласт_м3_сут,$I$42:$I$91,AR14,2)</f>
        <v>0.43048739220339016</v>
      </c>
      <c r="AU14" s="107" cm="1">
        <f t="array" ref="AU14">[1]!crv_interpolation(Подача_пласт_м3_сут,КПД,AR14,2)</f>
        <v>0.27841435546781468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2001</v>
      </c>
      <c r="AR15" s="103">
        <v>180</v>
      </c>
      <c r="AS15" s="108">
        <v>0</v>
      </c>
      <c r="AT15" s="108" cm="1">
        <f t="array" ref="AT15">[1]!crv_interpolation(Подача_пласт_м3_сут,$I$42:$I$91,AR15,2)</f>
        <v>0.46566508850130506</v>
      </c>
      <c r="AU15" s="109">
        <v>0</v>
      </c>
    </row>
    <row r="16" spans="1:47" x14ac:dyDescent="0.2">
      <c r="A16" s="71" t="s">
        <v>441</v>
      </c>
      <c r="B16" s="72">
        <v>358.54094120000002</v>
      </c>
      <c r="C16" s="73">
        <f>Мощность0*(f_50_hz/f_nom)^3</f>
        <v>44.817617650000003</v>
      </c>
      <c r="AQ16" s="98">
        <f>$R$6</f>
        <v>3001</v>
      </c>
      <c r="AR16" s="99">
        <f t="array" ref="AR16:AR26">[1]!decode_json($AR$2)</f>
        <v>0</v>
      </c>
      <c r="AS16" s="104" cm="1">
        <f t="array" ref="AS16">[1]!crv_interpolation(Подача_f50_,$Q$42:$Q$91,AR16,2)</f>
        <v>6.0894500774999996</v>
      </c>
      <c r="AT16" s="104" cm="1">
        <f t="array" ref="AT16">[1]!crv_interpolation(Подача_f50_,$S$42:$S$91,AR16,2)</f>
        <v>4.4817617650000002E-2</v>
      </c>
      <c r="AU16" s="105">
        <v>0</v>
      </c>
    </row>
    <row r="17" spans="1:47" x14ac:dyDescent="0.2">
      <c r="A17" s="74" t="s">
        <v>442</v>
      </c>
      <c r="B17" s="75">
        <v>-1.229733038</v>
      </c>
      <c r="C17" s="76">
        <f>Мощность1/(f_50_hz/f_nom)*(f_50_hz/f_nom)^3</f>
        <v>-0.3074332595</v>
      </c>
      <c r="AQ17" s="100">
        <f t="shared" ref="AQ17:AQ26" si="1">$R$6</f>
        <v>3001</v>
      </c>
      <c r="AR17" s="101">
        <v>9</v>
      </c>
      <c r="AS17" s="106" cm="1">
        <f t="array" ref="AS17">[1]!crv_interpolation(Подача_f50_,$Q$42:$Q$91,AR17,2)</f>
        <v>6.1818929463077543</v>
      </c>
      <c r="AT17" s="106" cm="1">
        <f t="array" ref="AT17">[1]!crv_interpolation(Подача_f50_,$S$42:$S$91,AR17,2)</f>
        <v>4.4705992732224732E-2</v>
      </c>
      <c r="AU17" s="107" cm="1">
        <f t="array" ref="AU17">[1]!crv_interpolation(Подача_f50_,$R$42:$R$91,AR17,2)</f>
        <v>0.14314875836725277</v>
      </c>
    </row>
    <row r="18" spans="1:47" x14ac:dyDescent="0.2">
      <c r="A18" s="74" t="s">
        <v>443</v>
      </c>
      <c r="B18" s="75">
        <v>9.8890993420000003E-2</v>
      </c>
      <c r="C18" s="76">
        <f>Мощность2/((f_50_hz/f_nom)^2)*(f_50_hz/f_nom)^3</f>
        <v>4.9445496710000002E-2</v>
      </c>
      <c r="AQ18" s="100">
        <f t="shared" si="1"/>
        <v>3001</v>
      </c>
      <c r="AR18" s="101">
        <v>18</v>
      </c>
      <c r="AS18" s="106" cm="1">
        <f t="array" ref="AS18">[1]!crv_interpolation(Подача_f50_,$Q$42:$Q$91,AR18,2)</f>
        <v>6.0859963912248647</v>
      </c>
      <c r="AT18" s="106" cm="1">
        <f t="array" ref="AT18">[1]!crv_interpolation(Подача_f50_,$S$42:$S$91,AR18,2)</f>
        <v>4.6399594558724673E-2</v>
      </c>
      <c r="AU18" s="107" cm="1">
        <f t="array" ref="AU18">[1]!crv_interpolation(Подача_f50_,$R$42:$R$91,AR18,2)</f>
        <v>0.26615883923872907</v>
      </c>
    </row>
    <row r="19" spans="1:47" x14ac:dyDescent="0.2">
      <c r="A19" s="74" t="s">
        <v>444</v>
      </c>
      <c r="B19" s="75">
        <v>-2.244789014E-3</v>
      </c>
      <c r="C19" s="76">
        <f>Мощность3/((f_50_hz/f_nom)^3)*(f_50_hz/f_nom)^3</f>
        <v>-2.244789014E-3</v>
      </c>
      <c r="AQ19" s="100">
        <f t="shared" si="1"/>
        <v>3001</v>
      </c>
      <c r="AR19" s="101">
        <v>27</v>
      </c>
      <c r="AS19" s="106" cm="1">
        <f t="array" ref="AS19">[1]!crv_interpolation(Подача_f50_,$Q$42:$Q$91,AR19,2)</f>
        <v>5.8841896472272408</v>
      </c>
      <c r="AT19" s="106" cm="1">
        <f t="array" ref="AT19">[1]!crv_interpolation(Подача_f50_,$S$42:$S$91,AR19,2)</f>
        <v>4.7660474165718329E-2</v>
      </c>
      <c r="AU19" s="107" cm="1">
        <f t="array" ref="AU19">[1]!crv_interpolation(Подача_f50_,$R$42:$R$91,AR19,2)</f>
        <v>0.37765114418455764</v>
      </c>
    </row>
    <row r="20" spans="1:47" x14ac:dyDescent="0.2">
      <c r="A20" s="74" t="s">
        <v>445</v>
      </c>
      <c r="B20" s="75">
        <v>2.399898468E-5</v>
      </c>
      <c r="C20" s="76">
        <f>Мощность4/((f_50_hz/f_nom)^4)*(f_50_hz/f_nom)^3</f>
        <v>4.7997969359999999E-5</v>
      </c>
      <c r="AQ20" s="100">
        <f t="shared" si="1"/>
        <v>3001</v>
      </c>
      <c r="AR20" s="101">
        <v>36</v>
      </c>
      <c r="AS20" s="106" cm="1">
        <f t="array" ref="AS20">[1]!crv_interpolation(Подача_f50_,$Q$42:$Q$91,AR20,2)</f>
        <v>5.5938943245623856</v>
      </c>
      <c r="AT20" s="106" cm="1">
        <f t="array" ref="AT20">[1]!crv_interpolation(Подача_f50_,$S$42:$S$91,AR20,2)</f>
        <v>4.8488769027567803E-2</v>
      </c>
      <c r="AU20" s="107" cm="1">
        <f t="array" ref="AU20">[1]!crv_interpolation(Подача_f50_,$R$42:$R$91,AR20,2)</f>
        <v>0.47192153179695667</v>
      </c>
    </row>
    <row r="21" spans="1:47" x14ac:dyDescent="0.2">
      <c r="A21" s="74" t="s">
        <v>446</v>
      </c>
      <c r="B21" s="75">
        <v>-1.2100214500000001E-7</v>
      </c>
      <c r="C21" s="76">
        <f>Мощность5/((f_50_hz/f_nom)^5)*(f_50_hz/f_nom)^3</f>
        <v>-4.8400858000000004E-7</v>
      </c>
      <c r="AQ21" s="100">
        <f t="shared" si="1"/>
        <v>3001</v>
      </c>
      <c r="AR21" s="101">
        <v>45</v>
      </c>
      <c r="AS21" s="106" cm="1">
        <f t="array" ref="AS21">[1]!crv_interpolation(Подача_f50_,$Q$42:$Q$91,AR21,2)</f>
        <v>5.1930235218290441</v>
      </c>
      <c r="AT21" s="106" cm="1">
        <f t="array" ref="AT21">[1]!crv_interpolation(Подача_f50_,$S$42:$S$91,AR21,2)</f>
        <v>4.946661830729307E-2</v>
      </c>
      <c r="AU21" s="107" cm="1">
        <f t="array" ref="AU21">[1]!crv_interpolation(Подача_f50_,$R$42:$R$91,AR21,2)</f>
        <v>0.53694063855753171</v>
      </c>
    </row>
    <row r="22" spans="1:47" x14ac:dyDescent="0.2">
      <c r="A22" s="74" t="s">
        <v>447</v>
      </c>
      <c r="B22" s="75">
        <v>2.3188784690000001E-10</v>
      </c>
      <c r="C22" s="76">
        <f>Мощность6/((f_50_hz/f_nom)^6)*(f_50_hz/f_nom)^3</f>
        <v>1.8551027752000001E-9</v>
      </c>
      <c r="AQ22" s="100">
        <f t="shared" si="1"/>
        <v>3001</v>
      </c>
      <c r="AR22" s="101">
        <v>54</v>
      </c>
      <c r="AS22" s="106" cm="1">
        <f t="array" ref="AS22">[1]!crv_interpolation(Подача_f50_,$Q$42:$Q$91,AR22,2)</f>
        <v>4.6399256392746793</v>
      </c>
      <c r="AT22" s="106" cm="1">
        <f t="array" ref="AT22">[1]!crv_interpolation(Подача_f50_,$S$42:$S$91,AR22,2)</f>
        <v>5.0812494775632135E-2</v>
      </c>
      <c r="AU22" s="107" cm="1">
        <f t="array" ref="AU22">[1]!crv_interpolation(Подача_f50_,$R$42:$R$91,AR22,2)</f>
        <v>0.56060847286755611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3001</v>
      </c>
      <c r="AR23" s="101">
        <v>63</v>
      </c>
      <c r="AS23" s="106" cm="1">
        <f t="array" ref="AS23">[1]!crv_interpolation(Подача_f50_,$Q$42:$Q$91,AR23,2)</f>
        <v>3.8877751470477953</v>
      </c>
      <c r="AT23" s="106" cm="1">
        <f t="array" ref="AT23">[1]!crv_interpolation(Подача_f50_,$S$42:$S$91,AR23,2)</f>
        <v>5.214573348632541E-2</v>
      </c>
      <c r="AU23" s="107" cm="1">
        <f t="array" ref="AU23">[1]!crv_interpolation(Подача_f50_,$R$42:$R$91,AR23,2)</f>
        <v>0.53292413746247391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3001</v>
      </c>
      <c r="AR24" s="101">
        <v>72</v>
      </c>
      <c r="AS24" s="106" cm="1">
        <f t="array" ref="AS24">[1]!crv_interpolation(Подача_f50_,$Q$42:$Q$91,AR24,2)</f>
        <v>2.8934091756060401</v>
      </c>
      <c r="AT24" s="106" cm="1">
        <f t="array" ref="AT24">[1]!crv_interpolation(Подача_f50_,$S$42:$S$91,AR24,2)</f>
        <v>5.2960284601971552E-2</v>
      </c>
      <c r="AU24" s="107" cm="1">
        <f t="array" ref="AU24">[1]!crv_interpolation(Подача_f50_,$R$42:$R$91,AR24,2)</f>
        <v>0.44407054804676954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3001</v>
      </c>
      <c r="AR25" s="101">
        <v>81</v>
      </c>
      <c r="AS25" s="106" cm="1">
        <f t="array" ref="AS25">[1]!crv_interpolation(Подача_f50_,$Q$42:$Q$91,AR25,2)</f>
        <v>1.6206099008206896</v>
      </c>
      <c r="AT25" s="106" cm="1">
        <f t="array" ref="AT25">[1]!crv_interpolation(Подача_f50_,$S$42:$S$91,AR25,2)</f>
        <v>5.381092402542377E-2</v>
      </c>
      <c r="AU25" s="107" cm="1">
        <f t="array" ref="AU25">[1]!crv_interpolation(Подача_f50_,$R$42:$R$91,AR25,2)</f>
        <v>0.27841435546781468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3001</v>
      </c>
      <c r="AR26" s="103">
        <v>90</v>
      </c>
      <c r="AS26" s="108">
        <v>0</v>
      </c>
      <c r="AT26" s="108" cm="1">
        <f t="array" ref="AT26">[1]!crv_interpolation(Подача_f50_,$S$42:$S$91,AR26,2)</f>
        <v>5.8208136062663132E-2</v>
      </c>
      <c r="AU26" s="109">
        <v>0</v>
      </c>
    </row>
    <row r="27" spans="1:47" x14ac:dyDescent="0.2">
      <c r="A27" s="74" t="s">
        <v>452</v>
      </c>
      <c r="B27" s="75">
        <v>-0.23384264490000001</v>
      </c>
      <c r="C27" s="73">
        <f>К.П.Д.0</f>
        <v>-0.23384264490000001</v>
      </c>
    </row>
    <row r="28" spans="1:47" x14ac:dyDescent="0.2">
      <c r="A28" s="74" t="s">
        <v>453</v>
      </c>
      <c r="B28" s="75">
        <v>0.92931506350000004</v>
      </c>
      <c r="C28" s="76">
        <f>К.П.Д.1/(f_50_hz/f_nom)</f>
        <v>1.8586301270000001</v>
      </c>
    </row>
    <row r="29" spans="1:47" x14ac:dyDescent="0.2">
      <c r="A29" s="74" t="s">
        <v>454</v>
      </c>
      <c r="B29" s="75">
        <v>-9.3208373939999995E-3</v>
      </c>
      <c r="C29" s="76">
        <f>К.П.Д.2/((f_50_hz/f_nom)^2)</f>
        <v>-3.7283349575999998E-2</v>
      </c>
    </row>
    <row r="30" spans="1:47" x14ac:dyDescent="0.2">
      <c r="A30" s="74" t="s">
        <v>455</v>
      </c>
      <c r="B30" s="75">
        <v>1.762202793E-4</v>
      </c>
      <c r="C30" s="76">
        <f>К.П.Д.3/((f_50_hz/f_nom)^3)</f>
        <v>1.4097622344E-3</v>
      </c>
    </row>
    <row r="31" spans="1:47" x14ac:dyDescent="0.2">
      <c r="A31" s="74" t="s">
        <v>456</v>
      </c>
      <c r="B31" s="75">
        <v>-1.94023891E-6</v>
      </c>
      <c r="C31" s="76">
        <f>К.П.Д.4/((f_50_hz/f_nom)^4)</f>
        <v>-3.104382256E-5</v>
      </c>
    </row>
    <row r="32" spans="1:47" x14ac:dyDescent="0.2">
      <c r="A32" s="74" t="s">
        <v>457</v>
      </c>
      <c r="B32" s="75">
        <v>9.0570792780000001E-9</v>
      </c>
      <c r="C32" s="76">
        <f>К.П.Д.5/((f_50_hz/f_nom)^5)</f>
        <v>2.89826536896E-7</v>
      </c>
    </row>
    <row r="33" spans="1:22" x14ac:dyDescent="0.2">
      <c r="A33" s="74" t="s">
        <v>458</v>
      </c>
      <c r="B33" s="75">
        <v>-1.6668531200000001E-11</v>
      </c>
      <c r="C33" s="76">
        <f>К.П.Д.6/((f_50_hz/f_nom)^6)</f>
        <v>-1.0667859968000001E-9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24.357800309999998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24.357800309999998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358.54094120000002</v>
      </c>
      <c r="I42" s="84">
        <f>H42/1000</f>
        <v>0.35854094120000002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-0.23384264490000001</v>
      </c>
      <c r="K42" s="84">
        <f>J42/100</f>
        <v>-2.3384264490000002E-3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6.0894500774999996</v>
      </c>
      <c r="R42" s="87">
        <f>D42</f>
        <v>1E-3</v>
      </c>
      <c r="S42" s="47">
        <f t="shared" ref="S42:S73" si="8">I42*(f_50_hz/f_nom)^3</f>
        <v>4.4817617650000002E-2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6.0894500774999996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44.817617650000003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-0.23384264490000001</v>
      </c>
    </row>
    <row r="43" spans="1:22" x14ac:dyDescent="0.2">
      <c r="A43" s="80">
        <v>2</v>
      </c>
      <c r="B43" s="81">
        <v>3.6734693877550999</v>
      </c>
      <c r="C43" s="82">
        <v>24.522361106680599</v>
      </c>
      <c r="D43" s="82">
        <v>3.0625770466132799E-2</v>
      </c>
      <c r="E43" s="75">
        <v>0.33364031650384501</v>
      </c>
      <c r="G43" s="89">
        <f t="shared" si="2"/>
        <v>24.52236110668068</v>
      </c>
      <c r="H43" s="90">
        <f t="shared" si="3"/>
        <v>355.25103986584509</v>
      </c>
      <c r="I43" s="90">
        <f t="shared" ref="I43:I91" si="12">H43/1000</f>
        <v>0.35525103986584511</v>
      </c>
      <c r="J43" s="90">
        <f t="shared" si="4"/>
        <v>3.0625770466132862</v>
      </c>
      <c r="K43" s="90">
        <f t="shared" ref="K43:K91" si="13">J43/100</f>
        <v>3.0625770466132862E-2</v>
      </c>
      <c r="L43" s="90">
        <f t="shared" si="5"/>
        <v>10.228076635056826</v>
      </c>
      <c r="M43" s="90">
        <f t="shared" ref="M43:M91" si="14">IF(K43&gt;0,L43/K43,0)/1000</f>
        <v>0.33396961053983676</v>
      </c>
      <c r="N43" s="91">
        <f t="shared" ref="N43:N91" si="15">L43/H43</f>
        <v>2.8791123704857549E-2</v>
      </c>
      <c r="P43" s="86">
        <f t="shared" si="6"/>
        <v>1.83673469387755</v>
      </c>
      <c r="Q43" s="47">
        <f t="shared" si="7"/>
        <v>6.1305902766701497</v>
      </c>
      <c r="R43" s="87">
        <f t="shared" ref="R43:R91" si="16">D43</f>
        <v>3.0625770466132799E-2</v>
      </c>
      <c r="S43" s="47">
        <f t="shared" si="8"/>
        <v>4.4406379983230639E-2</v>
      </c>
      <c r="T43" s="88">
        <f t="shared" si="9"/>
        <v>6.1305902766701701</v>
      </c>
      <c r="U43" s="88">
        <f t="shared" si="10"/>
        <v>44.406379983230636</v>
      </c>
      <c r="V43" s="88">
        <f t="shared" si="11"/>
        <v>3.0625770466132862</v>
      </c>
    </row>
    <row r="44" spans="1:22" x14ac:dyDescent="0.2">
      <c r="A44" s="80">
        <v>3</v>
      </c>
      <c r="B44" s="81">
        <v>7.3469387755101998</v>
      </c>
      <c r="C44" s="82">
        <v>24.6351262162549</v>
      </c>
      <c r="D44" s="82">
        <v>6.15508445048926E-2</v>
      </c>
      <c r="E44" s="75">
        <v>0.33354469352282201</v>
      </c>
      <c r="G44" s="89">
        <f t="shared" si="2"/>
        <v>24.63512621625496</v>
      </c>
      <c r="H44" s="90">
        <f t="shared" si="3"/>
        <v>354.02121169923578</v>
      </c>
      <c r="I44" s="90">
        <f t="shared" si="12"/>
        <v>0.35402121169923578</v>
      </c>
      <c r="J44" s="90">
        <f t="shared" si="4"/>
        <v>6.1550844504892614</v>
      </c>
      <c r="K44" s="90">
        <f t="shared" si="13"/>
        <v>6.1550844504892614E-2</v>
      </c>
      <c r="L44" s="90">
        <f t="shared" si="5"/>
        <v>20.550220083457521</v>
      </c>
      <c r="M44" s="90">
        <f t="shared" si="14"/>
        <v>0.33387389318149818</v>
      </c>
      <c r="N44" s="91">
        <f t="shared" si="15"/>
        <v>5.804799092353901E-2</v>
      </c>
      <c r="P44" s="86">
        <f t="shared" si="6"/>
        <v>3.6734693877550999</v>
      </c>
      <c r="Q44" s="47">
        <f t="shared" si="7"/>
        <v>6.158781554063725</v>
      </c>
      <c r="R44" s="87">
        <f t="shared" si="16"/>
        <v>6.15508445048926E-2</v>
      </c>
      <c r="S44" s="47">
        <f t="shared" si="8"/>
        <v>4.4252651462404473E-2</v>
      </c>
      <c r="T44" s="88">
        <f t="shared" si="9"/>
        <v>6.1587815540637401</v>
      </c>
      <c r="U44" s="88">
        <f t="shared" si="10"/>
        <v>44.252651462404472</v>
      </c>
      <c r="V44" s="88">
        <f t="shared" si="11"/>
        <v>6.1550844504892614</v>
      </c>
    </row>
    <row r="45" spans="1:22" x14ac:dyDescent="0.2">
      <c r="A45" s="80">
        <v>4</v>
      </c>
      <c r="B45" s="81">
        <v>11.0204081632653</v>
      </c>
      <c r="C45" s="82">
        <v>24.7027789293365</v>
      </c>
      <c r="D45" s="82">
        <v>9.0842596138239695E-2</v>
      </c>
      <c r="E45" s="75">
        <v>0.339923189983665</v>
      </c>
      <c r="G45" s="89">
        <f t="shared" si="2"/>
        <v>24.702778929336578</v>
      </c>
      <c r="H45" s="90">
        <f t="shared" si="3"/>
        <v>354.32928820323644</v>
      </c>
      <c r="I45" s="90">
        <f t="shared" si="12"/>
        <v>0.35432928820323645</v>
      </c>
      <c r="J45" s="90">
        <f t="shared" si="4"/>
        <v>9.084259613823976</v>
      </c>
      <c r="K45" s="90">
        <f t="shared" si="13"/>
        <v>9.0842596138239765E-2</v>
      </c>
      <c r="L45" s="90">
        <f t="shared" si="5"/>
        <v>30.909982308264151</v>
      </c>
      <c r="M45" s="90">
        <f t="shared" si="14"/>
        <v>0.34025868504712115</v>
      </c>
      <c r="N45" s="91">
        <f t="shared" si="15"/>
        <v>8.7235188671546629E-2</v>
      </c>
      <c r="P45" s="86">
        <f t="shared" si="6"/>
        <v>5.5102040816326499</v>
      </c>
      <c r="Q45" s="47">
        <f t="shared" si="7"/>
        <v>6.1756947323341249</v>
      </c>
      <c r="R45" s="87">
        <f t="shared" si="16"/>
        <v>9.0842596138239695E-2</v>
      </c>
      <c r="S45" s="47">
        <f t="shared" si="8"/>
        <v>4.4291161025404556E-2</v>
      </c>
      <c r="T45" s="88">
        <f t="shared" si="9"/>
        <v>6.1756947323341445</v>
      </c>
      <c r="U45" s="88">
        <f t="shared" si="10"/>
        <v>44.291161025404556</v>
      </c>
      <c r="V45" s="88">
        <f t="shared" si="11"/>
        <v>9.084259613823976</v>
      </c>
    </row>
    <row r="46" spans="1:22" x14ac:dyDescent="0.2">
      <c r="A46" s="80">
        <v>5</v>
      </c>
      <c r="B46" s="81">
        <v>14.6938775510204</v>
      </c>
      <c r="C46" s="82">
        <v>24.731196888372999</v>
      </c>
      <c r="D46" s="82">
        <v>0.11883593206823299</v>
      </c>
      <c r="E46" s="75">
        <v>0.34686510679587401</v>
      </c>
      <c r="G46" s="89">
        <f t="shared" si="2"/>
        <v>24.731196888373084</v>
      </c>
      <c r="H46" s="90">
        <f t="shared" si="3"/>
        <v>355.73944779858419</v>
      </c>
      <c r="I46" s="90">
        <f t="shared" si="12"/>
        <v>0.35573944779858419</v>
      </c>
      <c r="J46" s="90">
        <f t="shared" si="4"/>
        <v>11.883593206823305</v>
      </c>
      <c r="K46" s="90">
        <f t="shared" si="13"/>
        <v>0.11883593206823305</v>
      </c>
      <c r="L46" s="90">
        <f t="shared" si="5"/>
        <v>41.260721339275335</v>
      </c>
      <c r="M46" s="90">
        <f t="shared" si="14"/>
        <v>0.34720745334487141</v>
      </c>
      <c r="N46" s="91">
        <f t="shared" si="15"/>
        <v>0.11598579127113479</v>
      </c>
      <c r="P46" s="86">
        <f t="shared" si="6"/>
        <v>7.3469387755101998</v>
      </c>
      <c r="Q46" s="47">
        <f t="shared" si="7"/>
        <v>6.1827992220932497</v>
      </c>
      <c r="R46" s="87">
        <f t="shared" si="16"/>
        <v>0.11883593206823299</v>
      </c>
      <c r="S46" s="47">
        <f t="shared" si="8"/>
        <v>4.4467430974823023E-2</v>
      </c>
      <c r="T46" s="88">
        <f t="shared" si="9"/>
        <v>6.182799222093271</v>
      </c>
      <c r="U46" s="88">
        <f t="shared" si="10"/>
        <v>44.467430974823024</v>
      </c>
      <c r="V46" s="88">
        <f t="shared" si="11"/>
        <v>11.883593206823305</v>
      </c>
    </row>
    <row r="47" spans="1:22" x14ac:dyDescent="0.2">
      <c r="A47" s="80">
        <v>6</v>
      </c>
      <c r="B47" s="81">
        <v>18.367346938775501</v>
      </c>
      <c r="C47" s="82">
        <v>24.725503813567101</v>
      </c>
      <c r="D47" s="82">
        <v>0.145801398241685</v>
      </c>
      <c r="E47" s="75">
        <v>0.35331065056710798</v>
      </c>
      <c r="G47" s="89">
        <f t="shared" si="2"/>
        <v>24.725503813567105</v>
      </c>
      <c r="H47" s="90">
        <f t="shared" si="3"/>
        <v>357.89352842871995</v>
      </c>
      <c r="I47" s="90">
        <f t="shared" si="12"/>
        <v>0.35789352842871996</v>
      </c>
      <c r="J47" s="90">
        <f t="shared" si="4"/>
        <v>14.580139824168533</v>
      </c>
      <c r="K47" s="90">
        <f t="shared" si="13"/>
        <v>0.14580139824168534</v>
      </c>
      <c r="L47" s="90">
        <f t="shared" si="5"/>
        <v>51.564028998956879</v>
      </c>
      <c r="M47" s="90">
        <f t="shared" si="14"/>
        <v>0.35365935869478149</v>
      </c>
      <c r="N47" s="91">
        <f t="shared" si="15"/>
        <v>0.1440764498462471</v>
      </c>
      <c r="P47" s="86">
        <f t="shared" si="6"/>
        <v>9.1836734693877506</v>
      </c>
      <c r="Q47" s="47">
        <f t="shared" si="7"/>
        <v>6.1813759533917754</v>
      </c>
      <c r="R47" s="87">
        <f t="shared" si="16"/>
        <v>0.145801398241685</v>
      </c>
      <c r="S47" s="47">
        <f t="shared" si="8"/>
        <v>4.4736691053589996E-2</v>
      </c>
      <c r="T47" s="88">
        <f t="shared" si="9"/>
        <v>6.1813759533917763</v>
      </c>
      <c r="U47" s="88">
        <f t="shared" si="10"/>
        <v>44.736691053589993</v>
      </c>
      <c r="V47" s="88">
        <f t="shared" si="11"/>
        <v>14.580139824168533</v>
      </c>
    </row>
    <row r="48" spans="1:22" x14ac:dyDescent="0.2">
      <c r="A48" s="80">
        <v>7</v>
      </c>
      <c r="B48" s="81">
        <v>22.040816326530599</v>
      </c>
      <c r="C48" s="82">
        <v>24.690119624872999</v>
      </c>
      <c r="D48" s="82">
        <v>0.17195141795457899</v>
      </c>
      <c r="E48" s="75">
        <v>0.358981400371156</v>
      </c>
      <c r="G48" s="89">
        <f t="shared" si="2"/>
        <v>24.690119624873009</v>
      </c>
      <c r="H48" s="90">
        <f t="shared" si="3"/>
        <v>360.50275043413319</v>
      </c>
      <c r="I48" s="90">
        <f t="shared" si="12"/>
        <v>0.36050275043413321</v>
      </c>
      <c r="J48" s="90">
        <f t="shared" si="4"/>
        <v>17.195141795457989</v>
      </c>
      <c r="K48" s="90">
        <f t="shared" si="13"/>
        <v>0.17195141795457988</v>
      </c>
      <c r="L48" s="90">
        <f t="shared" si="5"/>
        <v>61.788284061225511</v>
      </c>
      <c r="M48" s="90">
        <f t="shared" si="14"/>
        <v>0.3593357053766581</v>
      </c>
      <c r="N48" s="91">
        <f t="shared" si="15"/>
        <v>0.17139476463582415</v>
      </c>
      <c r="P48" s="86">
        <f t="shared" si="6"/>
        <v>11.0204081632653</v>
      </c>
      <c r="Q48" s="47">
        <f t="shared" si="7"/>
        <v>6.1725299062182497</v>
      </c>
      <c r="R48" s="87">
        <f t="shared" si="16"/>
        <v>0.17195141795457899</v>
      </c>
      <c r="S48" s="47">
        <f t="shared" si="8"/>
        <v>4.5062843804266652E-2</v>
      </c>
      <c r="T48" s="88">
        <f t="shared" si="9"/>
        <v>6.1725299062182524</v>
      </c>
      <c r="U48" s="88">
        <f t="shared" si="10"/>
        <v>45.062843804266649</v>
      </c>
      <c r="V48" s="88">
        <f t="shared" si="11"/>
        <v>17.195141795457989</v>
      </c>
    </row>
    <row r="49" spans="1:22" x14ac:dyDescent="0.2">
      <c r="A49" s="80">
        <v>8</v>
      </c>
      <c r="B49" s="81">
        <v>25.714285714285701</v>
      </c>
      <c r="C49" s="82">
        <v>24.628808960068799</v>
      </c>
      <c r="D49" s="82">
        <v>0.19744623504724701</v>
      </c>
      <c r="E49" s="75">
        <v>0.36382778086103901</v>
      </c>
      <c r="G49" s="89">
        <f t="shared" si="2"/>
        <v>24.628808960068874</v>
      </c>
      <c r="H49" s="90">
        <f t="shared" si="3"/>
        <v>363.33984969602045</v>
      </c>
      <c r="I49" s="90">
        <f t="shared" si="12"/>
        <v>0.36333984969602046</v>
      </c>
      <c r="J49" s="90">
        <f t="shared" si="4"/>
        <v>19.744623504724707</v>
      </c>
      <c r="K49" s="90">
        <f t="shared" si="13"/>
        <v>0.19744623504724707</v>
      </c>
      <c r="L49" s="90">
        <f t="shared" si="5"/>
        <v>71.907326160200839</v>
      </c>
      <c r="M49" s="90">
        <f t="shared" si="14"/>
        <v>0.36418686911398473</v>
      </c>
      <c r="N49" s="91">
        <f t="shared" si="15"/>
        <v>0.19790652255831662</v>
      </c>
      <c r="P49" s="86">
        <f t="shared" si="6"/>
        <v>12.857142857142851</v>
      </c>
      <c r="Q49" s="47">
        <f t="shared" si="7"/>
        <v>6.1572022400171997</v>
      </c>
      <c r="R49" s="87">
        <f t="shared" si="16"/>
        <v>0.19744623504724701</v>
      </c>
      <c r="S49" s="47">
        <f t="shared" si="8"/>
        <v>4.5417481212002557E-2</v>
      </c>
      <c r="T49" s="88">
        <f t="shared" si="9"/>
        <v>6.1572022400172184</v>
      </c>
      <c r="U49" s="88">
        <f t="shared" si="10"/>
        <v>45.417481212002556</v>
      </c>
      <c r="V49" s="88">
        <f t="shared" si="11"/>
        <v>19.744623504724707</v>
      </c>
    </row>
    <row r="50" spans="1:22" x14ac:dyDescent="0.2">
      <c r="A50" s="80">
        <v>9</v>
      </c>
      <c r="B50" s="81">
        <v>29.387755102040799</v>
      </c>
      <c r="C50" s="82">
        <v>24.544728088903799</v>
      </c>
      <c r="D50" s="82">
        <v>0.22239956219030099</v>
      </c>
      <c r="E50" s="75">
        <v>0.36788963208345199</v>
      </c>
      <c r="G50" s="89">
        <f t="shared" si="2"/>
        <v>24.544728088903867</v>
      </c>
      <c r="H50" s="90">
        <f t="shared" si="3"/>
        <v>366.23162104925785</v>
      </c>
      <c r="I50" s="90">
        <f t="shared" si="12"/>
        <v>0.36623162104925783</v>
      </c>
      <c r="J50" s="90">
        <f t="shared" si="4"/>
        <v>22.239956219030152</v>
      </c>
      <c r="K50" s="90">
        <f t="shared" si="13"/>
        <v>0.22239956219030152</v>
      </c>
      <c r="L50" s="90">
        <f t="shared" si="5"/>
        <v>81.899245766036117</v>
      </c>
      <c r="M50" s="90">
        <f t="shared" si="14"/>
        <v>0.36825272927451658</v>
      </c>
      <c r="N50" s="91">
        <f t="shared" si="15"/>
        <v>0.22362691001774732</v>
      </c>
      <c r="P50" s="86">
        <f t="shared" si="6"/>
        <v>14.6938775510204</v>
      </c>
      <c r="Q50" s="47">
        <f t="shared" si="7"/>
        <v>6.1361820222259498</v>
      </c>
      <c r="R50" s="87">
        <f t="shared" si="16"/>
        <v>0.22239956219030099</v>
      </c>
      <c r="S50" s="47">
        <f t="shared" si="8"/>
        <v>4.5778952631157228E-2</v>
      </c>
      <c r="T50" s="88">
        <f t="shared" si="9"/>
        <v>6.1361820222259666</v>
      </c>
      <c r="U50" s="88">
        <f t="shared" si="10"/>
        <v>45.778952631157232</v>
      </c>
      <c r="V50" s="88">
        <f t="shared" si="11"/>
        <v>22.239956219030152</v>
      </c>
    </row>
    <row r="51" spans="1:22" x14ac:dyDescent="0.2">
      <c r="A51" s="80">
        <v>10</v>
      </c>
      <c r="B51" s="81">
        <v>33.061224489795897</v>
      </c>
      <c r="C51" s="82">
        <v>24.440470223320901</v>
      </c>
      <c r="D51" s="82">
        <v>0.24688393426134</v>
      </c>
      <c r="E51" s="75">
        <v>0.37124661419390498</v>
      </c>
      <c r="G51" s="89">
        <f t="shared" si="2"/>
        <v>24.440470223320936</v>
      </c>
      <c r="H51" s="90">
        <f t="shared" si="3"/>
        <v>369.05187196468637</v>
      </c>
      <c r="I51" s="90">
        <f t="shared" si="12"/>
        <v>0.36905187196468636</v>
      </c>
      <c r="J51" s="90">
        <f t="shared" si="4"/>
        <v>24.688393426134034</v>
      </c>
      <c r="K51" s="90">
        <f t="shared" si="13"/>
        <v>0.24688393426134034</v>
      </c>
      <c r="L51" s="90">
        <f t="shared" si="5"/>
        <v>91.745285544940529</v>
      </c>
      <c r="M51" s="90">
        <f t="shared" si="14"/>
        <v>0.37161302463619628</v>
      </c>
      <c r="N51" s="91">
        <f t="shared" si="15"/>
        <v>0.24859726373023086</v>
      </c>
      <c r="P51" s="86">
        <f t="shared" si="6"/>
        <v>16.530612244897949</v>
      </c>
      <c r="Q51" s="47">
        <f t="shared" si="7"/>
        <v>6.1101175558302252</v>
      </c>
      <c r="R51" s="87">
        <f t="shared" si="16"/>
        <v>0.24688393426134</v>
      </c>
      <c r="S51" s="47">
        <f t="shared" si="8"/>
        <v>4.6131483995585795E-2</v>
      </c>
      <c r="T51" s="88">
        <f t="shared" si="9"/>
        <v>6.1101175558302341</v>
      </c>
      <c r="U51" s="88">
        <f t="shared" si="10"/>
        <v>46.131483995585796</v>
      </c>
      <c r="V51" s="88">
        <f t="shared" si="11"/>
        <v>24.688393426134034</v>
      </c>
    </row>
    <row r="52" spans="1:22" x14ac:dyDescent="0.2">
      <c r="A52" s="80">
        <v>11</v>
      </c>
      <c r="B52" s="81">
        <v>36.734693877551003</v>
      </c>
      <c r="C52" s="82">
        <v>24.318109223754899</v>
      </c>
      <c r="D52" s="82">
        <v>0.270935766812401</v>
      </c>
      <c r="E52" s="75">
        <v>0.37399580265136001</v>
      </c>
      <c r="G52" s="89">
        <f t="shared" si="2"/>
        <v>24.318109223754941</v>
      </c>
      <c r="H52" s="90">
        <f t="shared" si="3"/>
        <v>371.71478650071299</v>
      </c>
      <c r="I52" s="90">
        <f t="shared" si="12"/>
        <v>0.37171478650071299</v>
      </c>
      <c r="J52" s="90">
        <f t="shared" si="4"/>
        <v>27.093576681240116</v>
      </c>
      <c r="K52" s="90">
        <f t="shared" si="13"/>
        <v>0.27093576681240117</v>
      </c>
      <c r="L52" s="90">
        <f t="shared" si="5"/>
        <v>101.42884842050826</v>
      </c>
      <c r="M52" s="90">
        <f t="shared" si="14"/>
        <v>0.37436492646885811</v>
      </c>
      <c r="N52" s="91">
        <f t="shared" si="15"/>
        <v>0.27286740292294964</v>
      </c>
      <c r="P52" s="86">
        <f t="shared" si="6"/>
        <v>18.367346938775501</v>
      </c>
      <c r="Q52" s="47">
        <f t="shared" si="7"/>
        <v>6.0795273059387247</v>
      </c>
      <c r="R52" s="87">
        <f t="shared" si="16"/>
        <v>0.270935766812401</v>
      </c>
      <c r="S52" s="47">
        <f t="shared" si="8"/>
        <v>4.6464348312589124E-2</v>
      </c>
      <c r="T52" s="88">
        <f t="shared" si="9"/>
        <v>6.0795273059387354</v>
      </c>
      <c r="U52" s="88">
        <f t="shared" si="10"/>
        <v>46.464348312589124</v>
      </c>
      <c r="V52" s="88">
        <f t="shared" si="11"/>
        <v>27.093576681240116</v>
      </c>
    </row>
    <row r="53" spans="1:22" x14ac:dyDescent="0.2">
      <c r="A53" s="80">
        <v>12</v>
      </c>
      <c r="B53" s="81">
        <v>40.408163265306101</v>
      </c>
      <c r="C53" s="82">
        <v>24.179241701506001</v>
      </c>
      <c r="D53" s="82">
        <v>0.29456011962818002</v>
      </c>
      <c r="E53" s="75">
        <v>0.37623975122705899</v>
      </c>
      <c r="G53" s="89">
        <f t="shared" si="2"/>
        <v>24.179241701506044</v>
      </c>
      <c r="H53" s="90">
        <f t="shared" si="3"/>
        <v>374.16869952422331</v>
      </c>
      <c r="I53" s="90">
        <f t="shared" si="12"/>
        <v>0.37416869952422332</v>
      </c>
      <c r="J53" s="90">
        <f t="shared" si="4"/>
        <v>29.456011962818074</v>
      </c>
      <c r="K53" s="90">
        <f t="shared" si="13"/>
        <v>0.29456011962818074</v>
      </c>
      <c r="L53" s="90">
        <f t="shared" si="5"/>
        <v>110.93460765346562</v>
      </c>
      <c r="M53" s="90">
        <f t="shared" si="14"/>
        <v>0.37661108976156338</v>
      </c>
      <c r="N53" s="91">
        <f t="shared" si="15"/>
        <v>0.29648286399831214</v>
      </c>
      <c r="P53" s="86">
        <f t="shared" si="6"/>
        <v>20.20408163265305</v>
      </c>
      <c r="Q53" s="47">
        <f t="shared" si="7"/>
        <v>6.0448104253765003</v>
      </c>
      <c r="R53" s="87">
        <f t="shared" si="16"/>
        <v>0.29456011962818002</v>
      </c>
      <c r="S53" s="47">
        <f t="shared" si="8"/>
        <v>4.6771087440527916E-2</v>
      </c>
      <c r="T53" s="88">
        <f t="shared" si="9"/>
        <v>6.0448104253765109</v>
      </c>
      <c r="U53" s="88">
        <f t="shared" si="10"/>
        <v>46.771087440527914</v>
      </c>
      <c r="V53" s="88">
        <f t="shared" si="11"/>
        <v>29.456011962818074</v>
      </c>
    </row>
    <row r="54" spans="1:22" x14ac:dyDescent="0.2">
      <c r="A54" s="80">
        <v>13</v>
      </c>
      <c r="B54" s="81">
        <v>44.081632653061199</v>
      </c>
      <c r="C54" s="82">
        <v>24.025027517188501</v>
      </c>
      <c r="D54" s="82">
        <v>0.31773516537501501</v>
      </c>
      <c r="E54" s="75">
        <v>0.37807949229952498</v>
      </c>
      <c r="G54" s="89">
        <f t="shared" si="2"/>
        <v>24.025027517188569</v>
      </c>
      <c r="H54" s="90">
        <f t="shared" si="3"/>
        <v>376.39028120080945</v>
      </c>
      <c r="I54" s="90">
        <f t="shared" si="12"/>
        <v>0.37639028120080947</v>
      </c>
      <c r="J54" s="90">
        <f t="shared" si="4"/>
        <v>31.773516537501518</v>
      </c>
      <c r="K54" s="90">
        <f t="shared" si="13"/>
        <v>0.31773516537501517</v>
      </c>
      <c r="L54" s="90">
        <f t="shared" si="5"/>
        <v>120.24771425694853</v>
      </c>
      <c r="M54" s="90">
        <f t="shared" si="14"/>
        <v>0.37845264660908101</v>
      </c>
      <c r="N54" s="91">
        <f t="shared" si="15"/>
        <v>0.31947614022689041</v>
      </c>
      <c r="P54" s="86">
        <f t="shared" si="6"/>
        <v>22.040816326530599</v>
      </c>
      <c r="Q54" s="47">
        <f t="shared" si="7"/>
        <v>6.0062568792971254</v>
      </c>
      <c r="R54" s="87">
        <f t="shared" si="16"/>
        <v>0.31773516537501501</v>
      </c>
      <c r="S54" s="47">
        <f t="shared" si="8"/>
        <v>4.7048785150101184E-2</v>
      </c>
      <c r="T54" s="88">
        <f t="shared" si="9"/>
        <v>6.0062568792971422</v>
      </c>
      <c r="U54" s="88">
        <f t="shared" si="10"/>
        <v>47.048785150101182</v>
      </c>
      <c r="V54" s="88">
        <f t="shared" si="11"/>
        <v>31.773516537501518</v>
      </c>
    </row>
    <row r="55" spans="1:22" x14ac:dyDescent="0.2">
      <c r="A55" s="80">
        <v>14</v>
      </c>
      <c r="B55" s="81">
        <v>47.755102040816297</v>
      </c>
      <c r="C55" s="82">
        <v>23.8562286752551</v>
      </c>
      <c r="D55" s="82">
        <v>0.34041636334061798</v>
      </c>
      <c r="E55" s="75">
        <v>0.379610291475376</v>
      </c>
      <c r="G55" s="89">
        <f t="shared" si="2"/>
        <v>23.85622867525511</v>
      </c>
      <c r="H55" s="90">
        <f t="shared" si="3"/>
        <v>378.3791317543114</v>
      </c>
      <c r="I55" s="90">
        <f t="shared" si="12"/>
        <v>0.37837913175431143</v>
      </c>
      <c r="J55" s="90">
        <f t="shared" si="4"/>
        <v>34.041636334061884</v>
      </c>
      <c r="K55" s="90">
        <f t="shared" si="13"/>
        <v>0.34041636334061887</v>
      </c>
      <c r="L55" s="90">
        <f t="shared" si="5"/>
        <v>129.35309706442521</v>
      </c>
      <c r="M55" s="90">
        <f t="shared" si="14"/>
        <v>0.37998495664262522</v>
      </c>
      <c r="N55" s="91">
        <f t="shared" si="15"/>
        <v>0.34186107585979814</v>
      </c>
      <c r="P55" s="86">
        <f t="shared" si="6"/>
        <v>23.877551020408148</v>
      </c>
      <c r="Q55" s="47">
        <f t="shared" si="7"/>
        <v>5.9640571688137749</v>
      </c>
      <c r="R55" s="87">
        <f t="shared" si="16"/>
        <v>0.34041636334061798</v>
      </c>
      <c r="S55" s="47">
        <f t="shared" si="8"/>
        <v>4.7297391469288928E-2</v>
      </c>
      <c r="T55" s="88">
        <f t="shared" si="9"/>
        <v>5.9640571688137776</v>
      </c>
      <c r="U55" s="88">
        <f t="shared" si="10"/>
        <v>47.297391469288925</v>
      </c>
      <c r="V55" s="88">
        <f t="shared" si="11"/>
        <v>34.041636334061884</v>
      </c>
    </row>
    <row r="56" spans="1:22" x14ac:dyDescent="0.2">
      <c r="A56" s="80">
        <v>15</v>
      </c>
      <c r="B56" s="81">
        <v>51.428571428571402</v>
      </c>
      <c r="C56" s="82">
        <v>23.673246614596099</v>
      </c>
      <c r="D56" s="82">
        <v>0.36254033826458498</v>
      </c>
      <c r="E56" s="75">
        <v>0.38091913265588501</v>
      </c>
      <c r="G56" s="89">
        <f t="shared" si="2"/>
        <v>23.673246614596128</v>
      </c>
      <c r="H56" s="90">
        <f t="shared" si="3"/>
        <v>380.15278649567188</v>
      </c>
      <c r="I56" s="90">
        <f t="shared" si="12"/>
        <v>0.38015278649567186</v>
      </c>
      <c r="J56" s="90">
        <f t="shared" si="4"/>
        <v>36.25403382645856</v>
      </c>
      <c r="K56" s="90">
        <f t="shared" si="13"/>
        <v>0.36254033826458559</v>
      </c>
      <c r="L56" s="90">
        <f t="shared" si="5"/>
        <v>138.23485076737359</v>
      </c>
      <c r="M56" s="90">
        <f t="shared" si="14"/>
        <v>0.38129508961424424</v>
      </c>
      <c r="N56" s="91">
        <f t="shared" si="15"/>
        <v>0.36362971857092363</v>
      </c>
      <c r="P56" s="86">
        <f t="shared" si="6"/>
        <v>25.714285714285701</v>
      </c>
      <c r="Q56" s="47">
        <f t="shared" si="7"/>
        <v>5.9183116536490248</v>
      </c>
      <c r="R56" s="87">
        <f t="shared" si="16"/>
        <v>0.36254033826458498</v>
      </c>
      <c r="S56" s="47">
        <f t="shared" si="8"/>
        <v>4.7519098311958982E-2</v>
      </c>
      <c r="T56" s="88">
        <f t="shared" si="9"/>
        <v>5.9183116536490319</v>
      </c>
      <c r="U56" s="88">
        <f t="shared" si="10"/>
        <v>47.519098311958984</v>
      </c>
      <c r="V56" s="88">
        <f t="shared" si="11"/>
        <v>36.25403382645856</v>
      </c>
    </row>
    <row r="57" spans="1:22" x14ac:dyDescent="0.2">
      <c r="A57" s="80">
        <v>16</v>
      </c>
      <c r="B57" s="81">
        <v>55.1020408163265</v>
      </c>
      <c r="C57" s="82">
        <v>23.476157895214701</v>
      </c>
      <c r="D57" s="82">
        <v>0.38402846425964898</v>
      </c>
      <c r="E57" s="75">
        <v>0.38208336477185201</v>
      </c>
      <c r="G57" s="89">
        <f t="shared" si="2"/>
        <v>23.476157895214765</v>
      </c>
      <c r="H57" s="90">
        <f t="shared" si="3"/>
        <v>381.74213112110533</v>
      </c>
      <c r="I57" s="90">
        <f t="shared" si="12"/>
        <v>0.38174213112110533</v>
      </c>
      <c r="J57" s="90">
        <f t="shared" si="4"/>
        <v>38.402846425964889</v>
      </c>
      <c r="K57" s="90">
        <f t="shared" si="13"/>
        <v>0.38402846425964887</v>
      </c>
      <c r="L57" s="90">
        <f t="shared" si="5"/>
        <v>146.87570723983168</v>
      </c>
      <c r="M57" s="90">
        <f t="shared" si="14"/>
        <v>0.38246047079605605</v>
      </c>
      <c r="N57" s="91">
        <f t="shared" si="15"/>
        <v>0.38475110622053993</v>
      </c>
      <c r="P57" s="86">
        <f t="shared" si="6"/>
        <v>27.55102040816325</v>
      </c>
      <c r="Q57" s="47">
        <f t="shared" si="7"/>
        <v>5.8690394738036753</v>
      </c>
      <c r="R57" s="87">
        <f t="shared" si="16"/>
        <v>0.38402846425964898</v>
      </c>
      <c r="S57" s="47">
        <f t="shared" si="8"/>
        <v>4.7717766390138167E-2</v>
      </c>
      <c r="T57" s="88">
        <f t="shared" si="9"/>
        <v>5.8690394738036913</v>
      </c>
      <c r="U57" s="88">
        <f t="shared" si="10"/>
        <v>47.717766390138166</v>
      </c>
      <c r="V57" s="88">
        <f t="shared" si="11"/>
        <v>38.402846425964889</v>
      </c>
    </row>
    <row r="58" spans="1:22" x14ac:dyDescent="0.2">
      <c r="A58" s="80">
        <v>17</v>
      </c>
      <c r="B58" s="81">
        <v>58.775510204081598</v>
      </c>
      <c r="C58" s="82">
        <v>23.264748280977098</v>
      </c>
      <c r="D58" s="82">
        <v>0.40479015382370398</v>
      </c>
      <c r="E58" s="75">
        <v>0.38317014633021401</v>
      </c>
      <c r="G58" s="89">
        <f t="shared" si="2"/>
        <v>23.26474828097717</v>
      </c>
      <c r="H58" s="90">
        <f t="shared" si="3"/>
        <v>383.18722727958061</v>
      </c>
      <c r="I58" s="90">
        <f t="shared" si="12"/>
        <v>0.3831872272795806</v>
      </c>
      <c r="J58" s="90">
        <f t="shared" si="4"/>
        <v>40.479015382370434</v>
      </c>
      <c r="K58" s="90">
        <f t="shared" si="13"/>
        <v>0.40479015382370437</v>
      </c>
      <c r="L58" s="90">
        <f t="shared" si="5"/>
        <v>155.2565854669287</v>
      </c>
      <c r="M58" s="90">
        <f t="shared" si="14"/>
        <v>0.38354832497864216</v>
      </c>
      <c r="N58" s="91">
        <f t="shared" si="15"/>
        <v>0.4051716091091172</v>
      </c>
      <c r="P58" s="86">
        <f t="shared" si="6"/>
        <v>29.387755102040799</v>
      </c>
      <c r="Q58" s="47">
        <f t="shared" si="7"/>
        <v>5.8161870702442746</v>
      </c>
      <c r="R58" s="87">
        <f t="shared" si="16"/>
        <v>0.40479015382370398</v>
      </c>
      <c r="S58" s="47">
        <f t="shared" si="8"/>
        <v>4.7898403409947575E-2</v>
      </c>
      <c r="T58" s="88">
        <f t="shared" si="9"/>
        <v>5.8161870702442924</v>
      </c>
      <c r="U58" s="88">
        <f t="shared" si="10"/>
        <v>47.898403409947576</v>
      </c>
      <c r="V58" s="88">
        <f t="shared" si="11"/>
        <v>40.479015382370434</v>
      </c>
    </row>
    <row r="59" spans="1:22" x14ac:dyDescent="0.2">
      <c r="A59" s="80">
        <v>18</v>
      </c>
      <c r="B59" s="81">
        <v>62.448979591836697</v>
      </c>
      <c r="C59" s="82">
        <v>23.038545218437999</v>
      </c>
      <c r="D59" s="82">
        <v>0.42472585194259099</v>
      </c>
      <c r="E59" s="75">
        <v>0.38423643255930501</v>
      </c>
      <c r="G59" s="89">
        <f t="shared" si="2"/>
        <v>23.038545218438067</v>
      </c>
      <c r="H59" s="90">
        <f t="shared" si="3"/>
        <v>384.53354840961737</v>
      </c>
      <c r="I59" s="90">
        <f t="shared" si="12"/>
        <v>0.38453354840961734</v>
      </c>
      <c r="J59" s="90">
        <f t="shared" si="4"/>
        <v>42.472585194259082</v>
      </c>
      <c r="K59" s="90">
        <f t="shared" si="13"/>
        <v>0.42472585194259083</v>
      </c>
      <c r="L59" s="90">
        <f t="shared" si="5"/>
        <v>163.35621539451117</v>
      </c>
      <c r="M59" s="90">
        <f t="shared" si="14"/>
        <v>0.38461566360361699</v>
      </c>
      <c r="N59" s="91">
        <f t="shared" si="15"/>
        <v>0.42481654999968671</v>
      </c>
      <c r="P59" s="86">
        <f t="shared" si="6"/>
        <v>31.224489795918348</v>
      </c>
      <c r="Q59" s="47">
        <f t="shared" si="7"/>
        <v>5.7596363046094998</v>
      </c>
      <c r="R59" s="87">
        <f t="shared" si="16"/>
        <v>0.42472585194259099</v>
      </c>
      <c r="S59" s="47">
        <f t="shared" si="8"/>
        <v>4.8066693551202168E-2</v>
      </c>
      <c r="T59" s="88">
        <f t="shared" si="9"/>
        <v>5.7596363046095167</v>
      </c>
      <c r="U59" s="88">
        <f t="shared" si="10"/>
        <v>48.066693551202171</v>
      </c>
      <c r="V59" s="88">
        <f t="shared" si="11"/>
        <v>42.472585194259082</v>
      </c>
    </row>
    <row r="60" spans="1:22" x14ac:dyDescent="0.2">
      <c r="A60" s="80">
        <v>19</v>
      </c>
      <c r="B60" s="81">
        <v>66.122448979591795</v>
      </c>
      <c r="C60" s="82">
        <v>22.796848711741699</v>
      </c>
      <c r="D60" s="82">
        <v>0.44372973528363302</v>
      </c>
      <c r="E60" s="75">
        <v>0.38532931805506399</v>
      </c>
      <c r="G60" s="89">
        <f t="shared" si="2"/>
        <v>22.796848711741742</v>
      </c>
      <c r="H60" s="90">
        <f t="shared" si="3"/>
        <v>385.82862584539623</v>
      </c>
      <c r="I60" s="90">
        <f t="shared" si="12"/>
        <v>0.38582862584539623</v>
      </c>
      <c r="J60" s="90">
        <f t="shared" si="4"/>
        <v>44.372973528363303</v>
      </c>
      <c r="K60" s="90">
        <f t="shared" si="13"/>
        <v>0.44372973528363302</v>
      </c>
      <c r="L60" s="90">
        <f t="shared" si="5"/>
        <v>171.15083101697905</v>
      </c>
      <c r="M60" s="90">
        <f t="shared" si="14"/>
        <v>0.38570962774802342</v>
      </c>
      <c r="N60" s="91">
        <f t="shared" si="15"/>
        <v>0.44359287920114093</v>
      </c>
      <c r="P60" s="86">
        <f t="shared" si="6"/>
        <v>33.061224489795897</v>
      </c>
      <c r="Q60" s="47">
        <f t="shared" si="7"/>
        <v>5.6992121779354248</v>
      </c>
      <c r="R60" s="87">
        <f t="shared" si="16"/>
        <v>0.44372973528363302</v>
      </c>
      <c r="S60" s="47">
        <f t="shared" si="8"/>
        <v>4.8228578230674529E-2</v>
      </c>
      <c r="T60" s="88">
        <f t="shared" si="9"/>
        <v>5.6992121779354354</v>
      </c>
      <c r="U60" s="88">
        <f t="shared" si="10"/>
        <v>48.228578230674529</v>
      </c>
      <c r="V60" s="88">
        <f t="shared" si="11"/>
        <v>44.372973528363303</v>
      </c>
    </row>
    <row r="61" spans="1:22" x14ac:dyDescent="0.2">
      <c r="A61" s="80">
        <v>20</v>
      </c>
      <c r="B61" s="81">
        <v>69.7959183673469</v>
      </c>
      <c r="C61" s="82">
        <v>22.538760593598301</v>
      </c>
      <c r="D61" s="82">
        <v>0.46169211647994501</v>
      </c>
      <c r="E61" s="75">
        <v>0.38648659640945998</v>
      </c>
      <c r="G61" s="89">
        <f t="shared" si="2"/>
        <v>22.538760593598383</v>
      </c>
      <c r="H61" s="90">
        <f t="shared" si="3"/>
        <v>387.11910519218219</v>
      </c>
      <c r="I61" s="90">
        <f t="shared" si="12"/>
        <v>0.38711910519218218</v>
      </c>
      <c r="J61" s="90">
        <f t="shared" si="4"/>
        <v>46.169211647994537</v>
      </c>
      <c r="K61" s="90">
        <f t="shared" si="13"/>
        <v>0.46169211647994535</v>
      </c>
      <c r="L61" s="90">
        <f t="shared" si="5"/>
        <v>178.61392802044156</v>
      </c>
      <c r="M61" s="90">
        <f t="shared" si="14"/>
        <v>0.38686804830508748</v>
      </c>
      <c r="N61" s="91">
        <f t="shared" si="15"/>
        <v>0.46139269704028196</v>
      </c>
      <c r="P61" s="86">
        <f t="shared" si="6"/>
        <v>34.89795918367345</v>
      </c>
      <c r="Q61" s="47">
        <f t="shared" si="7"/>
        <v>5.6346901483995753</v>
      </c>
      <c r="R61" s="87">
        <f t="shared" si="16"/>
        <v>0.46169211647994501</v>
      </c>
      <c r="S61" s="47">
        <f t="shared" si="8"/>
        <v>4.8389888149022772E-2</v>
      </c>
      <c r="T61" s="88">
        <f t="shared" si="9"/>
        <v>5.6346901483995957</v>
      </c>
      <c r="U61" s="88">
        <f t="shared" si="10"/>
        <v>48.389888149022774</v>
      </c>
      <c r="V61" s="88">
        <f t="shared" si="11"/>
        <v>46.169211647994537</v>
      </c>
    </row>
    <row r="62" spans="1:22" x14ac:dyDescent="0.2">
      <c r="A62" s="80">
        <v>21</v>
      </c>
      <c r="B62" s="81">
        <v>73.469387755102005</v>
      </c>
      <c r="C62" s="82">
        <v>22.2632121923357</v>
      </c>
      <c r="D62" s="82">
        <v>0.478501553505494</v>
      </c>
      <c r="E62" s="75">
        <v>0.38773743550661399</v>
      </c>
      <c r="G62" s="89">
        <f t="shared" si="2"/>
        <v>22.263212192335779</v>
      </c>
      <c r="H62" s="90">
        <f t="shared" si="3"/>
        <v>388.44821297106483</v>
      </c>
      <c r="I62" s="90">
        <f t="shared" si="12"/>
        <v>0.38844821297106485</v>
      </c>
      <c r="J62" s="90">
        <f t="shared" si="4"/>
        <v>47.850155350549407</v>
      </c>
      <c r="K62" s="90">
        <f t="shared" si="13"/>
        <v>0.47850155350549406</v>
      </c>
      <c r="L62" s="90">
        <f t="shared" si="5"/>
        <v>185.71608129831048</v>
      </c>
      <c r="M62" s="90">
        <f t="shared" si="14"/>
        <v>0.38812012194685203</v>
      </c>
      <c r="N62" s="91">
        <f t="shared" si="15"/>
        <v>0.47809740165324</v>
      </c>
      <c r="P62" s="86">
        <f t="shared" si="6"/>
        <v>36.734693877551003</v>
      </c>
      <c r="Q62" s="47">
        <f t="shared" si="7"/>
        <v>5.5658030480839251</v>
      </c>
      <c r="R62" s="87">
        <f t="shared" si="16"/>
        <v>0.478501553505494</v>
      </c>
      <c r="S62" s="47">
        <f t="shared" si="8"/>
        <v>4.8556026621383107E-2</v>
      </c>
      <c r="T62" s="88">
        <f t="shared" si="9"/>
        <v>5.5658030480839447</v>
      </c>
      <c r="U62" s="88">
        <f t="shared" si="10"/>
        <v>48.556026621383104</v>
      </c>
      <c r="V62" s="88">
        <f t="shared" si="11"/>
        <v>47.850155350549407</v>
      </c>
    </row>
    <row r="63" spans="1:22" x14ac:dyDescent="0.2">
      <c r="A63" s="80">
        <v>22</v>
      </c>
      <c r="B63" s="81">
        <v>77.142857142857096</v>
      </c>
      <c r="C63" s="82">
        <v>21.968990395026299</v>
      </c>
      <c r="D63" s="82">
        <v>0.49404666414092202</v>
      </c>
      <c r="E63" s="75">
        <v>0.38910309640587598</v>
      </c>
      <c r="G63" s="89">
        <f t="shared" si="2"/>
        <v>21.968990395026378</v>
      </c>
      <c r="H63" s="90">
        <f t="shared" si="3"/>
        <v>389.85363353300693</v>
      </c>
      <c r="I63" s="90">
        <f t="shared" si="12"/>
        <v>0.38985363353300695</v>
      </c>
      <c r="J63" s="90">
        <f t="shared" si="4"/>
        <v>49.404666414092198</v>
      </c>
      <c r="K63" s="90">
        <f t="shared" si="13"/>
        <v>0.49404666414092197</v>
      </c>
      <c r="L63" s="90">
        <f t="shared" si="5"/>
        <v>192.42481765643561</v>
      </c>
      <c r="M63" s="90">
        <f t="shared" si="14"/>
        <v>0.38948713071676222</v>
      </c>
      <c r="N63" s="91">
        <f t="shared" si="15"/>
        <v>0.49358220907833089</v>
      </c>
      <c r="P63" s="86">
        <f t="shared" si="6"/>
        <v>38.571428571428548</v>
      </c>
      <c r="Q63" s="47">
        <f t="shared" si="7"/>
        <v>5.4922475987565749</v>
      </c>
      <c r="R63" s="87">
        <f t="shared" si="16"/>
        <v>0.49404666414092202</v>
      </c>
      <c r="S63" s="47">
        <f t="shared" si="8"/>
        <v>4.8731704191625869E-2</v>
      </c>
      <c r="T63" s="88">
        <f t="shared" si="9"/>
        <v>5.4922475987565944</v>
      </c>
      <c r="U63" s="88">
        <f t="shared" si="10"/>
        <v>48.731704191625866</v>
      </c>
      <c r="V63" s="88">
        <f t="shared" si="11"/>
        <v>49.404666414092198</v>
      </c>
    </row>
    <row r="64" spans="1:22" x14ac:dyDescent="0.2">
      <c r="A64" s="80">
        <v>23</v>
      </c>
      <c r="B64" s="81">
        <v>80.816326530612201</v>
      </c>
      <c r="C64" s="82">
        <v>21.654762106689699</v>
      </c>
      <c r="D64" s="82">
        <v>0.50821764553013404</v>
      </c>
      <c r="E64" s="75">
        <v>0.390597646688078</v>
      </c>
      <c r="G64" s="89">
        <f t="shared" si="2"/>
        <v>21.654762106689713</v>
      </c>
      <c r="H64" s="90">
        <f t="shared" si="3"/>
        <v>391.36579624221093</v>
      </c>
      <c r="I64" s="90">
        <f t="shared" si="12"/>
        <v>0.39136579624221091</v>
      </c>
      <c r="J64" s="90">
        <f t="shared" si="4"/>
        <v>50.821764553013466</v>
      </c>
      <c r="K64" s="90">
        <f t="shared" si="13"/>
        <v>0.50821764553013471</v>
      </c>
      <c r="L64" s="90">
        <f t="shared" si="5"/>
        <v>198.7045390249051</v>
      </c>
      <c r="M64" s="90">
        <f t="shared" si="14"/>
        <v>0.39098315607997314</v>
      </c>
      <c r="N64" s="91">
        <f t="shared" si="15"/>
        <v>0.50772075877047151</v>
      </c>
      <c r="P64" s="86">
        <f t="shared" si="6"/>
        <v>40.408163265306101</v>
      </c>
      <c r="Q64" s="47">
        <f t="shared" si="7"/>
        <v>5.4136905266724247</v>
      </c>
      <c r="R64" s="87">
        <f t="shared" si="16"/>
        <v>0.50821764553013404</v>
      </c>
      <c r="S64" s="47">
        <f t="shared" si="8"/>
        <v>4.8920724530276363E-2</v>
      </c>
      <c r="T64" s="88">
        <f t="shared" si="9"/>
        <v>5.4136905266724282</v>
      </c>
      <c r="U64" s="88">
        <f t="shared" si="10"/>
        <v>48.920724530276367</v>
      </c>
      <c r="V64" s="88">
        <f t="shared" si="11"/>
        <v>50.821764553013466</v>
      </c>
    </row>
    <row r="65" spans="1:22" x14ac:dyDescent="0.2">
      <c r="A65" s="80">
        <v>24</v>
      </c>
      <c r="B65" s="81">
        <v>84.489795918367307</v>
      </c>
      <c r="C65" s="82">
        <v>21.319097105570101</v>
      </c>
      <c r="D65" s="82">
        <v>0.52090749882764198</v>
      </c>
      <c r="E65" s="75">
        <v>0.392228636932341</v>
      </c>
      <c r="G65" s="89">
        <f t="shared" si="2"/>
        <v>21.319097105570176</v>
      </c>
      <c r="H65" s="90">
        <f t="shared" si="3"/>
        <v>393.00657292879941</v>
      </c>
      <c r="I65" s="90">
        <f t="shared" si="12"/>
        <v>0.39300657292879942</v>
      </c>
      <c r="J65" s="90">
        <f t="shared" si="4"/>
        <v>52.090749882764236</v>
      </c>
      <c r="K65" s="90">
        <f t="shared" si="13"/>
        <v>0.52090749882764231</v>
      </c>
      <c r="L65" s="90">
        <f t="shared" si="5"/>
        <v>204.51649149361307</v>
      </c>
      <c r="M65" s="90">
        <f t="shared" si="14"/>
        <v>0.39261575606782234</v>
      </c>
      <c r="N65" s="91">
        <f t="shared" si="15"/>
        <v>0.52038949366545351</v>
      </c>
      <c r="P65" s="86">
        <f t="shared" si="6"/>
        <v>42.244897959183653</v>
      </c>
      <c r="Q65" s="47">
        <f t="shared" si="7"/>
        <v>5.3297742763925253</v>
      </c>
      <c r="R65" s="87">
        <f t="shared" si="16"/>
        <v>0.52090749882764198</v>
      </c>
      <c r="S65" s="47">
        <f t="shared" si="8"/>
        <v>4.9125821616099928E-2</v>
      </c>
      <c r="T65" s="88">
        <f t="shared" si="9"/>
        <v>5.329774276392544</v>
      </c>
      <c r="U65" s="88">
        <f t="shared" si="10"/>
        <v>49.125821616099927</v>
      </c>
      <c r="V65" s="88">
        <f t="shared" si="11"/>
        <v>52.090749882764236</v>
      </c>
    </row>
    <row r="66" spans="1:22" x14ac:dyDescent="0.2">
      <c r="A66" s="80">
        <v>25</v>
      </c>
      <c r="B66" s="81">
        <v>88.163265306122398</v>
      </c>
      <c r="C66" s="82">
        <v>20.960489294490099</v>
      </c>
      <c r="D66" s="82">
        <v>0.532012958936667</v>
      </c>
      <c r="E66" s="75">
        <v>0.39399772252736298</v>
      </c>
      <c r="G66" s="89">
        <f t="shared" si="2"/>
        <v>20.96048929449017</v>
      </c>
      <c r="H66" s="90">
        <f t="shared" si="3"/>
        <v>394.78838561080721</v>
      </c>
      <c r="I66" s="90">
        <f t="shared" si="12"/>
        <v>0.3947883856108072</v>
      </c>
      <c r="J66" s="90">
        <f t="shared" si="4"/>
        <v>53.201295893666774</v>
      </c>
      <c r="K66" s="90">
        <f t="shared" si="13"/>
        <v>0.53201295893666778</v>
      </c>
      <c r="L66" s="90">
        <f t="shared" si="5"/>
        <v>209.81877548872222</v>
      </c>
      <c r="M66" s="90">
        <f t="shared" si="14"/>
        <v>0.39438658770283752</v>
      </c>
      <c r="N66" s="91">
        <f t="shared" si="15"/>
        <v>0.53147150001410404</v>
      </c>
      <c r="P66" s="86">
        <f t="shared" si="6"/>
        <v>44.081632653061199</v>
      </c>
      <c r="Q66" s="47">
        <f t="shared" si="7"/>
        <v>5.2401223236225247</v>
      </c>
      <c r="R66" s="87">
        <f t="shared" si="16"/>
        <v>0.532012958936667</v>
      </c>
      <c r="S66" s="47">
        <f t="shared" si="8"/>
        <v>4.93485482013509E-2</v>
      </c>
      <c r="T66" s="88">
        <f t="shared" si="9"/>
        <v>5.2401223236225425</v>
      </c>
      <c r="U66" s="88">
        <f t="shared" si="10"/>
        <v>49.348548201350901</v>
      </c>
      <c r="V66" s="88">
        <f t="shared" si="11"/>
        <v>53.201295893666774</v>
      </c>
    </row>
    <row r="67" spans="1:22" x14ac:dyDescent="0.2">
      <c r="A67" s="80">
        <v>26</v>
      </c>
      <c r="B67" s="81">
        <v>91.836734693877503</v>
      </c>
      <c r="C67" s="82">
        <v>20.577376348278602</v>
      </c>
      <c r="D67" s="82">
        <v>0.54143512933801197</v>
      </c>
      <c r="E67" s="75">
        <v>0.39590122311842302</v>
      </c>
      <c r="G67" s="89">
        <f t="shared" si="2"/>
        <v>20.577376348278623</v>
      </c>
      <c r="H67" s="90">
        <f t="shared" si="3"/>
        <v>396.71372448548681</v>
      </c>
      <c r="I67" s="90">
        <f t="shared" si="12"/>
        <v>0.39671372448548681</v>
      </c>
      <c r="J67" s="90">
        <f t="shared" si="4"/>
        <v>54.143512933801212</v>
      </c>
      <c r="K67" s="90">
        <f t="shared" si="13"/>
        <v>0.54143512933801208</v>
      </c>
      <c r="L67" s="90">
        <f t="shared" si="5"/>
        <v>214.56639240711414</v>
      </c>
      <c r="M67" s="90">
        <f t="shared" si="14"/>
        <v>0.39629196699788327</v>
      </c>
      <c r="N67" s="91">
        <f t="shared" si="15"/>
        <v>0.54085951446573599</v>
      </c>
      <c r="P67" s="86">
        <f t="shared" si="6"/>
        <v>45.918367346938751</v>
      </c>
      <c r="Q67" s="47">
        <f t="shared" si="7"/>
        <v>5.1443440870696504</v>
      </c>
      <c r="R67" s="87">
        <f t="shared" si="16"/>
        <v>0.54143512933801197</v>
      </c>
      <c r="S67" s="47">
        <f t="shared" si="8"/>
        <v>4.9589215560685851E-2</v>
      </c>
      <c r="T67" s="88">
        <f t="shared" si="9"/>
        <v>5.1443440870696557</v>
      </c>
      <c r="U67" s="88">
        <f t="shared" si="10"/>
        <v>49.589215560685851</v>
      </c>
      <c r="V67" s="88">
        <f t="shared" si="11"/>
        <v>54.143512933801212</v>
      </c>
    </row>
    <row r="68" spans="1:22" x14ac:dyDescent="0.2">
      <c r="A68" s="80">
        <v>27</v>
      </c>
      <c r="B68" s="81">
        <v>95.510204081632594</v>
      </c>
      <c r="C68" s="82">
        <v>20.168157757274798</v>
      </c>
      <c r="D68" s="82">
        <v>0.54907982200968197</v>
      </c>
      <c r="E68" s="75">
        <v>0.39793061938014701</v>
      </c>
      <c r="G68" s="89">
        <f t="shared" si="2"/>
        <v>20.168157757274859</v>
      </c>
      <c r="H68" s="90">
        <f t="shared" si="3"/>
        <v>398.77507618993116</v>
      </c>
      <c r="I68" s="90">
        <f t="shared" si="12"/>
        <v>0.39877507618993113</v>
      </c>
      <c r="J68" s="90">
        <f t="shared" si="4"/>
        <v>54.907982200968178</v>
      </c>
      <c r="K68" s="90">
        <f t="shared" si="13"/>
        <v>0.54907982200968175</v>
      </c>
      <c r="L68" s="90">
        <f t="shared" si="5"/>
        <v>218.71132302595694</v>
      </c>
      <c r="M68" s="90">
        <f t="shared" si="14"/>
        <v>0.39832336621923886</v>
      </c>
      <c r="N68" s="91">
        <f t="shared" si="15"/>
        <v>0.54845785527926949</v>
      </c>
      <c r="P68" s="86">
        <f t="shared" si="6"/>
        <v>47.755102040816297</v>
      </c>
      <c r="Q68" s="47">
        <f t="shared" si="7"/>
        <v>5.0420394393186996</v>
      </c>
      <c r="R68" s="87">
        <f t="shared" si="16"/>
        <v>0.54907982200968197</v>
      </c>
      <c r="S68" s="47">
        <f t="shared" si="8"/>
        <v>4.9846884523741392E-2</v>
      </c>
      <c r="T68" s="88">
        <f t="shared" si="9"/>
        <v>5.0420394393187147</v>
      </c>
      <c r="U68" s="88">
        <f t="shared" si="10"/>
        <v>49.846884523741394</v>
      </c>
      <c r="V68" s="88">
        <f t="shared" si="11"/>
        <v>54.907982200968178</v>
      </c>
    </row>
    <row r="69" spans="1:22" x14ac:dyDescent="0.2">
      <c r="A69" s="80">
        <v>28</v>
      </c>
      <c r="B69" s="81">
        <v>99.183673469387699</v>
      </c>
      <c r="C69" s="82">
        <v>19.7312112669077</v>
      </c>
      <c r="D69" s="82">
        <v>0.554857602437274</v>
      </c>
      <c r="E69" s="75">
        <v>0.400072992121349</v>
      </c>
      <c r="G69" s="89">
        <f t="shared" si="2"/>
        <v>19.731211266907781</v>
      </c>
      <c r="H69" s="90">
        <f t="shared" si="3"/>
        <v>400.95526233100668</v>
      </c>
      <c r="I69" s="90">
        <f t="shared" si="12"/>
        <v>0.4009552623310067</v>
      </c>
      <c r="J69" s="90">
        <f t="shared" si="4"/>
        <v>55.485760243727448</v>
      </c>
      <c r="K69" s="90">
        <f t="shared" si="13"/>
        <v>0.55485760243727444</v>
      </c>
      <c r="L69" s="90">
        <f t="shared" si="5"/>
        <v>222.20263300449997</v>
      </c>
      <c r="M69" s="90">
        <f t="shared" si="14"/>
        <v>0.40046785342482449</v>
      </c>
      <c r="N69" s="91">
        <f t="shared" si="15"/>
        <v>0.55418310689500727</v>
      </c>
      <c r="P69" s="86">
        <f t="shared" si="6"/>
        <v>49.59183673469385</v>
      </c>
      <c r="Q69" s="47">
        <f t="shared" si="7"/>
        <v>4.9328028167269249</v>
      </c>
      <c r="R69" s="87">
        <f t="shared" si="16"/>
        <v>0.554857602437274</v>
      </c>
      <c r="S69" s="47">
        <f t="shared" si="8"/>
        <v>5.0119407791375838E-2</v>
      </c>
      <c r="T69" s="88">
        <f t="shared" si="9"/>
        <v>4.9328028167269453</v>
      </c>
      <c r="U69" s="88">
        <f t="shared" si="10"/>
        <v>50.119407791375835</v>
      </c>
      <c r="V69" s="88">
        <f t="shared" si="11"/>
        <v>55.485760243727448</v>
      </c>
    </row>
    <row r="70" spans="1:22" x14ac:dyDescent="0.2">
      <c r="A70" s="80">
        <v>29</v>
      </c>
      <c r="B70" s="81">
        <v>102.85714285714199</v>
      </c>
      <c r="C70" s="82">
        <v>19.2649077133505</v>
      </c>
      <c r="D70" s="82">
        <v>0.55868353971512696</v>
      </c>
      <c r="E70" s="75">
        <v>0.40231141250630698</v>
      </c>
      <c r="G70" s="89">
        <f t="shared" si="2"/>
        <v>19.264907713350649</v>
      </c>
      <c r="H70" s="90">
        <f t="shared" si="3"/>
        <v>403.22818828460311</v>
      </c>
      <c r="I70" s="90">
        <f t="shared" si="12"/>
        <v>0.40322818828460311</v>
      </c>
      <c r="J70" s="90">
        <f t="shared" si="4"/>
        <v>55.868353971512718</v>
      </c>
      <c r="K70" s="90">
        <f t="shared" si="13"/>
        <v>0.55868353971512719</v>
      </c>
      <c r="L70" s="90">
        <f t="shared" si="5"/>
        <v>224.9866007951986</v>
      </c>
      <c r="M70" s="90">
        <f t="shared" si="14"/>
        <v>0.40270848307061147</v>
      </c>
      <c r="N70" s="91">
        <f t="shared" si="15"/>
        <v>0.5579634741120838</v>
      </c>
      <c r="P70" s="86">
        <f t="shared" si="6"/>
        <v>51.428571428570997</v>
      </c>
      <c r="Q70" s="47">
        <f t="shared" si="7"/>
        <v>4.8162269283376249</v>
      </c>
      <c r="R70" s="87">
        <f t="shared" si="16"/>
        <v>0.55868353971512696</v>
      </c>
      <c r="S70" s="47">
        <f t="shared" si="8"/>
        <v>5.0403523535575388E-2</v>
      </c>
      <c r="T70" s="88">
        <f t="shared" si="9"/>
        <v>4.8162269283376622</v>
      </c>
      <c r="U70" s="88">
        <f t="shared" si="10"/>
        <v>50.403523535575388</v>
      </c>
      <c r="V70" s="88">
        <f t="shared" si="11"/>
        <v>55.868353971512718</v>
      </c>
    </row>
    <row r="71" spans="1:22" x14ac:dyDescent="0.2">
      <c r="A71" s="80">
        <v>30</v>
      </c>
      <c r="B71" s="81">
        <v>106.530612244897</v>
      </c>
      <c r="C71" s="82">
        <v>18.7676242552504</v>
      </c>
      <c r="D71" s="82">
        <v>0.56047666173822697</v>
      </c>
      <c r="E71" s="75">
        <v>0.40462529485308901</v>
      </c>
      <c r="G71" s="89">
        <f t="shared" si="2"/>
        <v>18.76762425525056</v>
      </c>
      <c r="H71" s="90">
        <f t="shared" si="3"/>
        <v>405.56000226419303</v>
      </c>
      <c r="I71" s="90">
        <f t="shared" si="12"/>
        <v>0.40556000226419303</v>
      </c>
      <c r="J71" s="90">
        <f t="shared" si="4"/>
        <v>56.047666173822641</v>
      </c>
      <c r="K71" s="90">
        <f t="shared" si="13"/>
        <v>0.56047666173822641</v>
      </c>
      <c r="L71" s="90">
        <f t="shared" si="5"/>
        <v>227.00686328129842</v>
      </c>
      <c r="M71" s="90">
        <f t="shared" si="14"/>
        <v>0.40502464915715469</v>
      </c>
      <c r="N71" s="91">
        <f t="shared" si="15"/>
        <v>0.55973681332958436</v>
      </c>
      <c r="P71" s="86">
        <f t="shared" si="6"/>
        <v>53.2653061224485</v>
      </c>
      <c r="Q71" s="47">
        <f t="shared" si="7"/>
        <v>4.6919060638126</v>
      </c>
      <c r="R71" s="87">
        <f t="shared" si="16"/>
        <v>0.56047666173822697</v>
      </c>
      <c r="S71" s="47">
        <f t="shared" si="8"/>
        <v>5.0695000283024129E-2</v>
      </c>
      <c r="T71" s="88">
        <f t="shared" si="9"/>
        <v>4.69190606381264</v>
      </c>
      <c r="U71" s="88">
        <f t="shared" si="10"/>
        <v>50.695000283024129</v>
      </c>
      <c r="V71" s="88">
        <f t="shared" si="11"/>
        <v>56.047666173822641</v>
      </c>
    </row>
    <row r="72" spans="1:22" x14ac:dyDescent="0.2">
      <c r="A72" s="80">
        <v>31</v>
      </c>
      <c r="B72" s="81">
        <v>110.204081632653</v>
      </c>
      <c r="C72" s="82">
        <v>18.237756001534201</v>
      </c>
      <c r="D72" s="82">
        <v>0.56015911548487396</v>
      </c>
      <c r="E72" s="75">
        <v>0.406990725394548</v>
      </c>
      <c r="G72" s="89">
        <f t="shared" si="2"/>
        <v>18.23775600153423</v>
      </c>
      <c r="H72" s="90">
        <f t="shared" si="3"/>
        <v>407.91066465870978</v>
      </c>
      <c r="I72" s="90">
        <f t="shared" si="12"/>
        <v>0.40791066465870979</v>
      </c>
      <c r="J72" s="90">
        <f t="shared" si="4"/>
        <v>56.015911548487466</v>
      </c>
      <c r="K72" s="90">
        <f t="shared" si="13"/>
        <v>0.56015911548487463</v>
      </c>
      <c r="L72" s="90">
        <f t="shared" si="5"/>
        <v>228.20457445797248</v>
      </c>
      <c r="M72" s="90">
        <f t="shared" si="14"/>
        <v>0.40739241431506162</v>
      </c>
      <c r="N72" s="91">
        <f t="shared" si="15"/>
        <v>0.55944743354260285</v>
      </c>
      <c r="P72" s="86">
        <f t="shared" si="6"/>
        <v>55.1020408163265</v>
      </c>
      <c r="Q72" s="47">
        <f t="shared" si="7"/>
        <v>4.5594390003835503</v>
      </c>
      <c r="R72" s="87">
        <f t="shared" si="16"/>
        <v>0.56015911548487396</v>
      </c>
      <c r="S72" s="47">
        <f t="shared" si="8"/>
        <v>5.0988833082338723E-2</v>
      </c>
      <c r="T72" s="88">
        <f t="shared" si="9"/>
        <v>4.5594390003835574</v>
      </c>
      <c r="U72" s="88">
        <f t="shared" si="10"/>
        <v>50.988833082338722</v>
      </c>
      <c r="V72" s="88">
        <f t="shared" si="11"/>
        <v>56.015911548487466</v>
      </c>
    </row>
    <row r="73" spans="1:22" x14ac:dyDescent="0.2">
      <c r="A73" s="80">
        <v>32</v>
      </c>
      <c r="B73" s="81">
        <v>113.87755102040801</v>
      </c>
      <c r="C73" s="82">
        <v>17.673726035288801</v>
      </c>
      <c r="D73" s="82">
        <v>0.55765503239011704</v>
      </c>
      <c r="E73" s="75">
        <v>0.40938078184860699</v>
      </c>
      <c r="G73" s="89">
        <f t="shared" si="2"/>
        <v>17.673726035288873</v>
      </c>
      <c r="H73" s="90">
        <f t="shared" si="3"/>
        <v>410.23592763973465</v>
      </c>
      <c r="I73" s="90">
        <f t="shared" si="12"/>
        <v>0.41023592763973465</v>
      </c>
      <c r="J73" s="90">
        <f t="shared" si="4"/>
        <v>55.765503239011892</v>
      </c>
      <c r="K73" s="90">
        <f t="shared" si="13"/>
        <v>0.55765503239011893</v>
      </c>
      <c r="L73" s="90">
        <f t="shared" si="5"/>
        <v>228.51857247413568</v>
      </c>
      <c r="M73" s="90">
        <f t="shared" si="14"/>
        <v>0.40978482969068031</v>
      </c>
      <c r="N73" s="91">
        <f t="shared" si="15"/>
        <v>0.55704183148682807</v>
      </c>
      <c r="P73" s="86">
        <f t="shared" si="6"/>
        <v>56.938775510204003</v>
      </c>
      <c r="Q73" s="47">
        <f t="shared" si="7"/>
        <v>4.4184315088222004</v>
      </c>
      <c r="R73" s="87">
        <f t="shared" si="16"/>
        <v>0.55765503239011704</v>
      </c>
      <c r="S73" s="47">
        <f t="shared" si="8"/>
        <v>5.1279490954966832E-2</v>
      </c>
      <c r="T73" s="88">
        <f t="shared" si="9"/>
        <v>4.4184315088222181</v>
      </c>
      <c r="U73" s="88">
        <f t="shared" si="10"/>
        <v>51.279490954966832</v>
      </c>
      <c r="V73" s="88">
        <f t="shared" si="11"/>
        <v>55.765503239011892</v>
      </c>
    </row>
    <row r="74" spans="1:22" x14ac:dyDescent="0.2">
      <c r="A74" s="80">
        <v>33</v>
      </c>
      <c r="B74" s="81">
        <v>117.551020408163</v>
      </c>
      <c r="C74" s="82">
        <v>17.073993833717399</v>
      </c>
      <c r="D74" s="82">
        <v>0.55288909880994197</v>
      </c>
      <c r="E74" s="75">
        <v>0.41176585989747799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17.073993833717459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412.4897250380028</v>
      </c>
      <c r="I74" s="90">
        <f t="shared" si="12"/>
        <v>0.4124897250380028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55.288909880994375</v>
      </c>
      <c r="K74" s="90">
        <f t="shared" si="13"/>
        <v>0.55288909880994375</v>
      </c>
      <c r="L74" s="90">
        <f t="shared" ref="L74:L91" si="20">Подача_пласт_м3_сут*Напор_м*9.81*1000/86400</f>
        <v>227.88555035206437</v>
      </c>
      <c r="M74" s="90">
        <f t="shared" si="14"/>
        <v>0.41217226174755939</v>
      </c>
      <c r="N74" s="91">
        <f t="shared" si="15"/>
        <v>0.55246358034995713</v>
      </c>
      <c r="P74" s="86">
        <f t="shared" ref="P74:P91" si="21">Подача_пласт_м3_сут*f_50_hz/f_nom</f>
        <v>58.775510204081499</v>
      </c>
      <c r="Q74" s="47">
        <f t="shared" ref="Q74:Q91" si="22">Напор_м*(f_50_hz/f_nom)^2</f>
        <v>4.2684984584293497</v>
      </c>
      <c r="R74" s="87">
        <f t="shared" si="16"/>
        <v>0.55288909880994197</v>
      </c>
      <c r="S74" s="47">
        <f t="shared" ref="S74:S91" si="23">I74*(f_50_hz/f_nom)^3</f>
        <v>5.156121562975035E-2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4.2684984584293648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51.56121562975035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55.288909880994375</v>
      </c>
    </row>
    <row r="75" spans="1:22" x14ac:dyDescent="0.2">
      <c r="A75" s="80">
        <v>34</v>
      </c>
      <c r="B75" s="81">
        <v>121.224489795918</v>
      </c>
      <c r="C75" s="82">
        <v>16.437062084170599</v>
      </c>
      <c r="D75" s="82">
        <v>0.54578483157621804</v>
      </c>
      <c r="E75" s="75">
        <v>0.41411402399480002</v>
      </c>
      <c r="G75" s="89">
        <f t="shared" si="17"/>
        <v>16.437062084170709</v>
      </c>
      <c r="H75" s="90">
        <f t="shared" si="18"/>
        <v>414.62697248922018</v>
      </c>
      <c r="I75" s="90">
        <f t="shared" si="12"/>
        <v>0.4146269724892202</v>
      </c>
      <c r="J75" s="90">
        <f t="shared" si="19"/>
        <v>54.578483157622024</v>
      </c>
      <c r="K75" s="90">
        <f t="shared" si="13"/>
        <v>0.54578483157622026</v>
      </c>
      <c r="L75" s="90">
        <f t="shared" si="20"/>
        <v>226.24022570189339</v>
      </c>
      <c r="M75" s="90">
        <f t="shared" si="14"/>
        <v>0.41452274341980933</v>
      </c>
      <c r="N75" s="91">
        <f t="shared" si="15"/>
        <v>0.54564763199956889</v>
      </c>
      <c r="P75" s="86">
        <f t="shared" si="21"/>
        <v>60.612244897959002</v>
      </c>
      <c r="Q75" s="47">
        <f t="shared" si="22"/>
        <v>4.1092655210426496</v>
      </c>
      <c r="R75" s="87">
        <f t="shared" si="16"/>
        <v>0.54578483157621804</v>
      </c>
      <c r="S75" s="47">
        <f t="shared" si="23"/>
        <v>5.1828371561152525E-2</v>
      </c>
      <c r="T75" s="88">
        <f t="shared" si="24"/>
        <v>4.1092655210426772</v>
      </c>
      <c r="U75" s="88">
        <f t="shared" si="25"/>
        <v>51.828371561152522</v>
      </c>
      <c r="V75" s="88">
        <f t="shared" si="26"/>
        <v>54.578483157622024</v>
      </c>
    </row>
    <row r="76" spans="1:22" x14ac:dyDescent="0.2">
      <c r="A76" s="80">
        <v>35</v>
      </c>
      <c r="B76" s="81">
        <v>124.897959183673</v>
      </c>
      <c r="C76" s="82">
        <v>15.761481896253599</v>
      </c>
      <c r="D76" s="82">
        <v>0.53626255864241201</v>
      </c>
      <c r="E76" s="75">
        <v>0.41639140167785199</v>
      </c>
      <c r="G76" s="89">
        <f t="shared" si="17"/>
        <v>15.761481896253695</v>
      </c>
      <c r="H76" s="90">
        <f t="shared" si="18"/>
        <v>416.60677784919142</v>
      </c>
      <c r="I76" s="90">
        <f t="shared" si="12"/>
        <v>0.41660677784919142</v>
      </c>
      <c r="J76" s="90">
        <f t="shared" si="19"/>
        <v>53.626255864241315</v>
      </c>
      <c r="K76" s="90">
        <f t="shared" si="13"/>
        <v>0.53626255864241312</v>
      </c>
      <c r="L76" s="90">
        <f t="shared" si="20"/>
        <v>223.51550474814653</v>
      </c>
      <c r="M76" s="90">
        <f t="shared" si="14"/>
        <v>0.41680236881350047</v>
      </c>
      <c r="N76" s="91">
        <f t="shared" si="15"/>
        <v>0.53651432629609663</v>
      </c>
      <c r="P76" s="86">
        <f t="shared" si="21"/>
        <v>62.448979591836498</v>
      </c>
      <c r="Q76" s="47">
        <f t="shared" si="22"/>
        <v>3.9403704740633998</v>
      </c>
      <c r="R76" s="87">
        <f t="shared" si="16"/>
        <v>0.53626255864241201</v>
      </c>
      <c r="S76" s="47">
        <f t="shared" si="23"/>
        <v>5.2075847231148928E-2</v>
      </c>
      <c r="T76" s="88">
        <f t="shared" si="24"/>
        <v>3.9403704740634238</v>
      </c>
      <c r="U76" s="88">
        <f t="shared" si="25"/>
        <v>52.075847231148927</v>
      </c>
      <c r="V76" s="88">
        <f t="shared" si="26"/>
        <v>53.626255864241315</v>
      </c>
    </row>
    <row r="77" spans="1:22" x14ac:dyDescent="0.2">
      <c r="A77" s="80">
        <v>36</v>
      </c>
      <c r="B77" s="81">
        <v>128.57142857142799</v>
      </c>
      <c r="C77" s="82">
        <v>15.045856410007801</v>
      </c>
      <c r="D77" s="82">
        <v>0.52423710482005703</v>
      </c>
      <c r="E77" s="75">
        <v>0.41856264337034499</v>
      </c>
      <c r="G77" s="89">
        <f t="shared" si="17"/>
        <v>15.045856410007932</v>
      </c>
      <c r="H77" s="90">
        <f t="shared" si="18"/>
        <v>418.39606187826848</v>
      </c>
      <c r="I77" s="90">
        <f t="shared" si="12"/>
        <v>0.4183960618782685</v>
      </c>
      <c r="J77" s="90">
        <f t="shared" si="19"/>
        <v>52.423710482006115</v>
      </c>
      <c r="K77" s="90">
        <f t="shared" si="13"/>
        <v>0.52423710482006114</v>
      </c>
      <c r="L77" s="90">
        <f t="shared" si="20"/>
        <v>219.64263598538074</v>
      </c>
      <c r="M77" s="90">
        <f t="shared" si="14"/>
        <v>0.41897575346325544</v>
      </c>
      <c r="N77" s="91">
        <f t="shared" si="15"/>
        <v>0.52496344014176055</v>
      </c>
      <c r="P77" s="86">
        <f t="shared" si="21"/>
        <v>64.285714285713993</v>
      </c>
      <c r="Q77" s="47">
        <f t="shared" si="22"/>
        <v>3.7614641025019502</v>
      </c>
      <c r="R77" s="87">
        <f t="shared" si="16"/>
        <v>0.52423710482005703</v>
      </c>
      <c r="S77" s="47">
        <f t="shared" si="23"/>
        <v>5.2299507734783562E-2</v>
      </c>
      <c r="T77" s="88">
        <f t="shared" si="24"/>
        <v>3.761464102501983</v>
      </c>
      <c r="U77" s="88">
        <f t="shared" si="25"/>
        <v>52.29950773478356</v>
      </c>
      <c r="V77" s="88">
        <f t="shared" si="26"/>
        <v>52.423710482006115</v>
      </c>
    </row>
    <row r="78" spans="1:22" x14ac:dyDescent="0.2">
      <c r="A78" s="80">
        <v>37</v>
      </c>
      <c r="B78" s="81">
        <v>132.24489795918299</v>
      </c>
      <c r="C78" s="82">
        <v>14.2888428001687</v>
      </c>
      <c r="D78" s="82">
        <v>0.50961518260599303</v>
      </c>
      <c r="E78" s="75">
        <v>0.42059147463803798</v>
      </c>
      <c r="G78" s="89">
        <f t="shared" si="17"/>
        <v>14.288842800168919</v>
      </c>
      <c r="H78" s="90">
        <f t="shared" si="18"/>
        <v>419.97358919510839</v>
      </c>
      <c r="I78" s="90">
        <f t="shared" si="12"/>
        <v>0.41997358919510841</v>
      </c>
      <c r="J78" s="90">
        <f t="shared" si="19"/>
        <v>50.961518260599675</v>
      </c>
      <c r="K78" s="90">
        <f t="shared" si="13"/>
        <v>0.5096151826059967</v>
      </c>
      <c r="L78" s="90">
        <f t="shared" si="20"/>
        <v>214.55134878008298</v>
      </c>
      <c r="M78" s="90">
        <f t="shared" si="14"/>
        <v>0.42100658713294448</v>
      </c>
      <c r="N78" s="91">
        <f t="shared" si="15"/>
        <v>0.5108686696020025</v>
      </c>
      <c r="P78" s="86">
        <f t="shared" si="21"/>
        <v>66.122448979591496</v>
      </c>
      <c r="Q78" s="47">
        <f t="shared" si="22"/>
        <v>3.572210700042175</v>
      </c>
      <c r="R78" s="87">
        <f t="shared" si="16"/>
        <v>0.50961518260599303</v>
      </c>
      <c r="S78" s="47">
        <f t="shared" si="23"/>
        <v>5.2496698649388551E-2</v>
      </c>
      <c r="T78" s="88">
        <f t="shared" si="24"/>
        <v>3.5722107000422296</v>
      </c>
      <c r="U78" s="88">
        <f t="shared" si="25"/>
        <v>52.496698649388549</v>
      </c>
      <c r="V78" s="88">
        <f t="shared" si="26"/>
        <v>50.961518260599675</v>
      </c>
    </row>
    <row r="79" spans="1:22" x14ac:dyDescent="0.2">
      <c r="A79" s="80">
        <v>38</v>
      </c>
      <c r="B79" s="81">
        <v>135.918367346938</v>
      </c>
      <c r="C79" s="82">
        <v>13.489152676498801</v>
      </c>
      <c r="D79" s="82">
        <v>0.49229248810034698</v>
      </c>
      <c r="E79" s="75">
        <v>0.42244137716946401</v>
      </c>
      <c r="G79" s="89">
        <f t="shared" si="17"/>
        <v>13.489152676498996</v>
      </c>
      <c r="H79" s="90">
        <f t="shared" si="18"/>
        <v>421.33440949973988</v>
      </c>
      <c r="I79" s="90">
        <f t="shared" si="12"/>
        <v>0.42133440949973988</v>
      </c>
      <c r="J79" s="90">
        <f t="shared" si="19"/>
        <v>49.229248810035102</v>
      </c>
      <c r="K79" s="90">
        <f t="shared" si="13"/>
        <v>0.49229248810035103</v>
      </c>
      <c r="L79" s="90">
        <f t="shared" si="20"/>
        <v>208.16997223591591</v>
      </c>
      <c r="M79" s="90">
        <f t="shared" si="14"/>
        <v>0.42285831546850994</v>
      </c>
      <c r="N79" s="91">
        <f t="shared" si="15"/>
        <v>0.49407303923522633</v>
      </c>
      <c r="P79" s="86">
        <f t="shared" si="21"/>
        <v>67.959183673468999</v>
      </c>
      <c r="Q79" s="47">
        <f t="shared" si="22"/>
        <v>3.3722881691247002</v>
      </c>
      <c r="R79" s="87">
        <f t="shared" si="16"/>
        <v>0.49229248810034698</v>
      </c>
      <c r="S79" s="47">
        <f t="shared" si="23"/>
        <v>5.2666801187467485E-2</v>
      </c>
      <c r="T79" s="88">
        <f t="shared" si="24"/>
        <v>3.372288169124749</v>
      </c>
      <c r="U79" s="88">
        <f t="shared" si="25"/>
        <v>52.666801187467485</v>
      </c>
      <c r="V79" s="88">
        <f t="shared" si="26"/>
        <v>49.229248810035102</v>
      </c>
    </row>
    <row r="80" spans="1:22" x14ac:dyDescent="0.2">
      <c r="A80" s="80">
        <v>39</v>
      </c>
      <c r="B80" s="81">
        <v>139.591836734693</v>
      </c>
      <c r="C80" s="82">
        <v>12.6455508801952</v>
      </c>
      <c r="D80" s="82">
        <v>0.47215050201528902</v>
      </c>
      <c r="E80" s="75">
        <v>0.42407645276783501</v>
      </c>
      <c r="G80" s="89">
        <f t="shared" si="17"/>
        <v>12.645550880195458</v>
      </c>
      <c r="H80" s="90">
        <f t="shared" si="18"/>
        <v>422.49470906595934</v>
      </c>
      <c r="I80" s="90">
        <f t="shared" si="12"/>
        <v>0.42249470906595932</v>
      </c>
      <c r="J80" s="90">
        <f t="shared" si="19"/>
        <v>47.215050201529564</v>
      </c>
      <c r="K80" s="90">
        <f t="shared" si="13"/>
        <v>0.47215050201529563</v>
      </c>
      <c r="L80" s="90">
        <f t="shared" si="20"/>
        <v>200.4255296394191</v>
      </c>
      <c r="M80" s="90">
        <f t="shared" si="14"/>
        <v>0.42449500484260033</v>
      </c>
      <c r="N80" s="91">
        <f t="shared" si="15"/>
        <v>0.47438589250623947</v>
      </c>
      <c r="P80" s="86">
        <f t="shared" si="21"/>
        <v>69.795918367346502</v>
      </c>
      <c r="Q80" s="47">
        <f t="shared" si="22"/>
        <v>3.1613877200488001</v>
      </c>
      <c r="R80" s="87">
        <f t="shared" si="16"/>
        <v>0.47215050201528902</v>
      </c>
      <c r="S80" s="47">
        <f t="shared" si="23"/>
        <v>5.2811838633244915E-2</v>
      </c>
      <c r="T80" s="88">
        <f t="shared" si="24"/>
        <v>3.1613877200488645</v>
      </c>
      <c r="U80" s="88">
        <f t="shared" si="25"/>
        <v>52.811838633244918</v>
      </c>
      <c r="V80" s="88">
        <f t="shared" si="26"/>
        <v>47.215050201529564</v>
      </c>
    </row>
    <row r="81" spans="1:22" x14ac:dyDescent="0.2">
      <c r="A81" s="80">
        <v>40</v>
      </c>
      <c r="B81" s="81">
        <v>143.26530612244801</v>
      </c>
      <c r="C81" s="82">
        <v>11.756852676373899</v>
      </c>
      <c r="D81" s="82">
        <v>0.44905299577455499</v>
      </c>
      <c r="E81" s="75">
        <v>0.42546256056752901</v>
      </c>
      <c r="G81" s="89">
        <f t="shared" si="17"/>
        <v>11.75685267637418</v>
      </c>
      <c r="H81" s="90">
        <f t="shared" si="18"/>
        <v>423.4970725030289</v>
      </c>
      <c r="I81" s="90">
        <f t="shared" si="12"/>
        <v>0.42349707250302893</v>
      </c>
      <c r="J81" s="90">
        <f t="shared" si="19"/>
        <v>44.90529957745602</v>
      </c>
      <c r="K81" s="90">
        <f t="shared" si="13"/>
        <v>0.4490529957745602</v>
      </c>
      <c r="L81" s="90">
        <f t="shared" si="20"/>
        <v>191.24380380331036</v>
      </c>
      <c r="M81" s="90">
        <f t="shared" si="14"/>
        <v>0.42588248069348411</v>
      </c>
      <c r="N81" s="91">
        <f t="shared" si="15"/>
        <v>0.45158235137963687</v>
      </c>
      <c r="P81" s="86">
        <f t="shared" si="21"/>
        <v>71.632653061224005</v>
      </c>
      <c r="Q81" s="47">
        <f t="shared" si="22"/>
        <v>2.9392131690934749</v>
      </c>
      <c r="R81" s="87">
        <f t="shared" si="16"/>
        <v>0.44905299577455499</v>
      </c>
      <c r="S81" s="47">
        <f t="shared" si="23"/>
        <v>5.2937134062878616E-2</v>
      </c>
      <c r="T81" s="88">
        <f t="shared" si="24"/>
        <v>2.939213169093545</v>
      </c>
      <c r="U81" s="88">
        <f t="shared" si="25"/>
        <v>52.937134062878613</v>
      </c>
      <c r="V81" s="88">
        <f t="shared" si="26"/>
        <v>44.90529957745602</v>
      </c>
    </row>
    <row r="82" spans="1:22" x14ac:dyDescent="0.2">
      <c r="A82" s="80">
        <v>41</v>
      </c>
      <c r="B82" s="81">
        <v>146.93877551020401</v>
      </c>
      <c r="C82" s="82">
        <v>10.8219193426283</v>
      </c>
      <c r="D82" s="82">
        <v>0.42284224270370702</v>
      </c>
      <c r="E82" s="75">
        <v>0.42656889196708803</v>
      </c>
      <c r="G82" s="89">
        <f t="shared" si="17"/>
        <v>10.821919342628377</v>
      </c>
      <c r="H82" s="90">
        <f t="shared" si="18"/>
        <v>424.41615478667381</v>
      </c>
      <c r="I82" s="90">
        <f t="shared" si="12"/>
        <v>0.42441615478667383</v>
      </c>
      <c r="J82" s="90">
        <f t="shared" si="19"/>
        <v>42.284224270370913</v>
      </c>
      <c r="K82" s="90">
        <f t="shared" si="13"/>
        <v>0.42284224270370913</v>
      </c>
      <c r="L82" s="90">
        <f t="shared" si="20"/>
        <v>180.54936862446186</v>
      </c>
      <c r="M82" s="90">
        <f t="shared" si="14"/>
        <v>0.42698990401244058</v>
      </c>
      <c r="N82" s="91">
        <f t="shared" si="15"/>
        <v>0.4254064473940965</v>
      </c>
      <c r="P82" s="86">
        <f t="shared" si="21"/>
        <v>73.469387755102005</v>
      </c>
      <c r="Q82" s="47">
        <f t="shared" si="22"/>
        <v>2.7054798356570751</v>
      </c>
      <c r="R82" s="87">
        <f t="shared" si="16"/>
        <v>0.42284224270370702</v>
      </c>
      <c r="S82" s="47">
        <f t="shared" si="23"/>
        <v>5.3052019348334228E-2</v>
      </c>
      <c r="T82" s="88">
        <f t="shared" si="24"/>
        <v>2.7054798356570942</v>
      </c>
      <c r="U82" s="88">
        <f t="shared" si="25"/>
        <v>53.052019348334227</v>
      </c>
      <c r="V82" s="88">
        <f t="shared" si="26"/>
        <v>42.284224270370913</v>
      </c>
    </row>
    <row r="83" spans="1:22" x14ac:dyDescent="0.2">
      <c r="A83" s="80">
        <v>42</v>
      </c>
      <c r="B83" s="81">
        <v>150.61224489795899</v>
      </c>
      <c r="C83" s="82">
        <v>9.8396521536636907</v>
      </c>
      <c r="D83" s="82">
        <v>0.39333493431118</v>
      </c>
      <c r="E83" s="75">
        <v>0.42737030872694498</v>
      </c>
      <c r="G83" s="89">
        <f t="shared" si="17"/>
        <v>9.8396521536637582</v>
      </c>
      <c r="H83" s="90">
        <f t="shared" si="18"/>
        <v>425.36476355943705</v>
      </c>
      <c r="I83" s="90">
        <f t="shared" si="12"/>
        <v>0.42536476355943703</v>
      </c>
      <c r="J83" s="90">
        <f t="shared" si="19"/>
        <v>39.333493431118342</v>
      </c>
      <c r="K83" s="90">
        <f t="shared" si="13"/>
        <v>0.39333493431118344</v>
      </c>
      <c r="L83" s="90">
        <f t="shared" si="20"/>
        <v>168.26558217368489</v>
      </c>
      <c r="M83" s="90">
        <f t="shared" si="14"/>
        <v>0.4277921117491259</v>
      </c>
      <c r="N83" s="91">
        <f t="shared" si="15"/>
        <v>0.39557950396653579</v>
      </c>
      <c r="P83" s="86">
        <f t="shared" si="21"/>
        <v>75.306122448979494</v>
      </c>
      <c r="Q83" s="47">
        <f t="shared" si="22"/>
        <v>2.4599130384159227</v>
      </c>
      <c r="R83" s="87">
        <f t="shared" si="16"/>
        <v>0.39333493431118</v>
      </c>
      <c r="S83" s="47">
        <f t="shared" si="23"/>
        <v>5.3170595444929629E-2</v>
      </c>
      <c r="T83" s="88">
        <f t="shared" si="24"/>
        <v>2.4599130384159396</v>
      </c>
      <c r="U83" s="88">
        <f t="shared" si="25"/>
        <v>53.170595444929631</v>
      </c>
      <c r="V83" s="88">
        <f t="shared" si="26"/>
        <v>39.333493431118342</v>
      </c>
    </row>
    <row r="84" spans="1:22" x14ac:dyDescent="0.2">
      <c r="A84" s="80">
        <v>43</v>
      </c>
      <c r="B84" s="81">
        <v>154.28571428571399</v>
      </c>
      <c r="C84" s="82">
        <v>8.8089847620066806</v>
      </c>
      <c r="D84" s="82">
        <v>0.36031780166007099</v>
      </c>
      <c r="E84" s="75">
        <v>0.42785114082916098</v>
      </c>
      <c r="G84" s="89">
        <f t="shared" si="17"/>
        <v>8.8089847620067854</v>
      </c>
      <c r="H84" s="90">
        <f t="shared" si="18"/>
        <v>426.50035170029787</v>
      </c>
      <c r="I84" s="90">
        <f t="shared" si="12"/>
        <v>0.42650035170029788</v>
      </c>
      <c r="J84" s="90">
        <f t="shared" si="19"/>
        <v>36.031780166007451</v>
      </c>
      <c r="K84" s="90">
        <f t="shared" si="13"/>
        <v>0.36031780166007449</v>
      </c>
      <c r="L84" s="90">
        <f t="shared" si="20"/>
        <v>154.31453663443816</v>
      </c>
      <c r="M84" s="90">
        <f t="shared" si="14"/>
        <v>0.42827341841971833</v>
      </c>
      <c r="N84" s="91">
        <f t="shared" si="15"/>
        <v>0.36181573126315991</v>
      </c>
      <c r="P84" s="86">
        <f t="shared" si="21"/>
        <v>77.142857142856997</v>
      </c>
      <c r="Q84" s="47">
        <f t="shared" si="22"/>
        <v>2.2022461905016701</v>
      </c>
      <c r="R84" s="87">
        <f t="shared" si="16"/>
        <v>0.36031780166007099</v>
      </c>
      <c r="S84" s="47">
        <f t="shared" si="23"/>
        <v>5.3312543962537234E-2</v>
      </c>
      <c r="T84" s="88">
        <f t="shared" si="24"/>
        <v>2.2022461905016963</v>
      </c>
      <c r="U84" s="88">
        <f t="shared" si="25"/>
        <v>53.312543962537234</v>
      </c>
      <c r="V84" s="88">
        <f t="shared" si="26"/>
        <v>36.031780166007451</v>
      </c>
    </row>
    <row r="85" spans="1:22" x14ac:dyDescent="0.2">
      <c r="A85" s="80">
        <v>44</v>
      </c>
      <c r="B85" s="81">
        <v>157.959183673469</v>
      </c>
      <c r="C85" s="82">
        <v>7.7288739747904396</v>
      </c>
      <c r="D85" s="82">
        <v>0.32354294183068899</v>
      </c>
      <c r="E85" s="75">
        <v>0.42801206943672698</v>
      </c>
      <c r="G85" s="89">
        <f t="shared" si="17"/>
        <v>7.7288739747906128</v>
      </c>
      <c r="H85" s="90">
        <f t="shared" si="18"/>
        <v>428.03192016364255</v>
      </c>
      <c r="I85" s="90">
        <f t="shared" si="12"/>
        <v>0.42803192016364255</v>
      </c>
      <c r="J85" s="90">
        <f t="shared" si="19"/>
        <v>32.354294183069499</v>
      </c>
      <c r="K85" s="90">
        <f t="shared" si="13"/>
        <v>0.32354294183069499</v>
      </c>
      <c r="L85" s="90">
        <f t="shared" si="20"/>
        <v>138.61696040756135</v>
      </c>
      <c r="M85" s="90">
        <f t="shared" si="14"/>
        <v>0.42843450585949561</v>
      </c>
      <c r="N85" s="91">
        <f t="shared" si="15"/>
        <v>0.32384725035124989</v>
      </c>
      <c r="P85" s="86">
        <f t="shared" si="21"/>
        <v>78.9795918367345</v>
      </c>
      <c r="Q85" s="47">
        <f t="shared" si="22"/>
        <v>1.9322184936976099</v>
      </c>
      <c r="R85" s="87">
        <f t="shared" si="16"/>
        <v>0.32354294183068899</v>
      </c>
      <c r="S85" s="47">
        <f t="shared" si="23"/>
        <v>5.3503990020455319E-2</v>
      </c>
      <c r="T85" s="88">
        <f t="shared" si="24"/>
        <v>1.9322184936976532</v>
      </c>
      <c r="U85" s="88">
        <f t="shared" si="25"/>
        <v>53.503990020455319</v>
      </c>
      <c r="V85" s="88">
        <f t="shared" si="26"/>
        <v>32.354294183069499</v>
      </c>
    </row>
    <row r="86" spans="1:22" x14ac:dyDescent="0.2">
      <c r="A86" s="80">
        <v>45</v>
      </c>
      <c r="B86" s="81">
        <v>161.632653061224</v>
      </c>
      <c r="C86" s="82">
        <v>6.59828892661504</v>
      </c>
      <c r="D86" s="82">
        <v>0.28272284947388099</v>
      </c>
      <c r="E86" s="75">
        <v>0.42788430841554198</v>
      </c>
      <c r="G86" s="89">
        <f t="shared" si="17"/>
        <v>6.5982889266152398</v>
      </c>
      <c r="H86" s="90">
        <f t="shared" si="18"/>
        <v>430.22733108751709</v>
      </c>
      <c r="I86" s="90">
        <f t="shared" si="12"/>
        <v>0.4302273310875171</v>
      </c>
      <c r="J86" s="90">
        <f t="shared" si="19"/>
        <v>28.272284947388755</v>
      </c>
      <c r="K86" s="90">
        <f t="shared" si="13"/>
        <v>0.28272284947388754</v>
      </c>
      <c r="L86" s="90">
        <f t="shared" si="20"/>
        <v>121.09206769915423</v>
      </c>
      <c r="M86" s="90">
        <f t="shared" si="14"/>
        <v>0.42830661874161102</v>
      </c>
      <c r="N86" s="91">
        <f t="shared" si="15"/>
        <v>0.28146065800389986</v>
      </c>
      <c r="P86" s="86">
        <f t="shared" si="21"/>
        <v>80.816326530612002</v>
      </c>
      <c r="Q86" s="47">
        <f t="shared" si="22"/>
        <v>1.64957223165376</v>
      </c>
      <c r="R86" s="87">
        <f t="shared" si="16"/>
        <v>0.28272284947388099</v>
      </c>
      <c r="S86" s="47">
        <f t="shared" si="23"/>
        <v>5.3778416385939637E-2</v>
      </c>
      <c r="T86" s="88">
        <f t="shared" si="24"/>
        <v>1.64957223165381</v>
      </c>
      <c r="U86" s="88">
        <f t="shared" si="25"/>
        <v>53.778416385939636</v>
      </c>
      <c r="V86" s="88">
        <f t="shared" si="26"/>
        <v>28.272284947388755</v>
      </c>
    </row>
    <row r="87" spans="1:22" x14ac:dyDescent="0.2">
      <c r="A87" s="80">
        <v>46</v>
      </c>
      <c r="B87" s="81">
        <v>165.30612244897901</v>
      </c>
      <c r="C87" s="82">
        <v>5.4161986484831299</v>
      </c>
      <c r="D87" s="82">
        <v>0.23752515345510899</v>
      </c>
      <c r="E87" s="75">
        <v>0.42756362971852002</v>
      </c>
      <c r="G87" s="89">
        <f t="shared" si="17"/>
        <v>5.4161986484833449</v>
      </c>
      <c r="H87" s="90">
        <f t="shared" si="18"/>
        <v>433.4210311712277</v>
      </c>
      <c r="I87" s="90">
        <f t="shared" si="12"/>
        <v>0.43342103117122771</v>
      </c>
      <c r="J87" s="90">
        <f t="shared" si="19"/>
        <v>23.752515345511767</v>
      </c>
      <c r="K87" s="90">
        <f t="shared" si="13"/>
        <v>0.23752515345511768</v>
      </c>
      <c r="L87" s="90">
        <f t="shared" si="20"/>
        <v>101.65735090871044</v>
      </c>
      <c r="M87" s="90">
        <f t="shared" si="14"/>
        <v>0.42798562354331637</v>
      </c>
      <c r="N87" s="91">
        <f t="shared" si="15"/>
        <v>0.23454641929581307</v>
      </c>
      <c r="P87" s="86">
        <f t="shared" si="21"/>
        <v>82.653061224489505</v>
      </c>
      <c r="Q87" s="47">
        <f t="shared" si="22"/>
        <v>1.3540496621207825</v>
      </c>
      <c r="R87" s="87">
        <f t="shared" si="16"/>
        <v>0.23752515345510899</v>
      </c>
      <c r="S87" s="47">
        <f t="shared" si="23"/>
        <v>5.4177628896403464E-2</v>
      </c>
      <c r="T87" s="88">
        <f t="shared" si="24"/>
        <v>1.3540496621208362</v>
      </c>
      <c r="U87" s="88">
        <f t="shared" si="25"/>
        <v>54.177628896403462</v>
      </c>
      <c r="V87" s="88">
        <f t="shared" si="26"/>
        <v>23.752515345511767</v>
      </c>
    </row>
    <row r="88" spans="1:22" x14ac:dyDescent="0.2">
      <c r="A88" s="80">
        <v>47</v>
      </c>
      <c r="B88" s="81">
        <v>168.97959183673399</v>
      </c>
      <c r="C88" s="82">
        <v>4.1815580328109396</v>
      </c>
      <c r="D88" s="82">
        <v>0.18756705858927</v>
      </c>
      <c r="E88" s="75">
        <v>0.42730960661568101</v>
      </c>
      <c r="G88" s="89">
        <f t="shared" si="17"/>
        <v>4.181558032811175</v>
      </c>
      <c r="H88" s="90">
        <f t="shared" si="18"/>
        <v>438.02218532222741</v>
      </c>
      <c r="I88" s="90">
        <f t="shared" si="12"/>
        <v>0.43802218532222742</v>
      </c>
      <c r="J88" s="90">
        <f t="shared" si="19"/>
        <v>18.756705858928228</v>
      </c>
      <c r="K88" s="90">
        <f t="shared" si="13"/>
        <v>0.18756705858928227</v>
      </c>
      <c r="L88" s="90">
        <f t="shared" si="20"/>
        <v>80.228311134619759</v>
      </c>
      <c r="M88" s="90">
        <f t="shared" si="14"/>
        <v>0.42773134972648158</v>
      </c>
      <c r="N88" s="91">
        <f t="shared" si="15"/>
        <v>0.18316038279111471</v>
      </c>
      <c r="P88" s="86">
        <f t="shared" si="21"/>
        <v>84.489795918366994</v>
      </c>
      <c r="Q88" s="47">
        <f t="shared" si="22"/>
        <v>1.0453895082027349</v>
      </c>
      <c r="R88" s="87">
        <f t="shared" si="16"/>
        <v>0.18756705858927</v>
      </c>
      <c r="S88" s="47">
        <f t="shared" si="23"/>
        <v>5.4752773165278427E-2</v>
      </c>
      <c r="T88" s="88">
        <f t="shared" si="24"/>
        <v>1.0453895082027937</v>
      </c>
      <c r="U88" s="88">
        <f t="shared" si="25"/>
        <v>54.752773165278427</v>
      </c>
      <c r="V88" s="88">
        <f t="shared" si="26"/>
        <v>18.756705858928228</v>
      </c>
    </row>
    <row r="89" spans="1:22" x14ac:dyDescent="0.2">
      <c r="A89" s="80">
        <v>48</v>
      </c>
      <c r="B89" s="81">
        <v>172.65306122448899</v>
      </c>
      <c r="C89" s="82">
        <v>2.8932921945149999</v>
      </c>
      <c r="D89" s="82">
        <v>0.132409492466321</v>
      </c>
      <c r="E89" s="75">
        <v>0.42793154018143298</v>
      </c>
      <c r="G89" s="89">
        <f t="shared" si="17"/>
        <v>2.8932921945152685</v>
      </c>
      <c r="H89" s="90">
        <f t="shared" si="18"/>
        <v>444.52322057232868</v>
      </c>
      <c r="I89" s="90">
        <f t="shared" si="12"/>
        <v>0.44452322057232868</v>
      </c>
      <c r="J89" s="90">
        <f t="shared" si="19"/>
        <v>13.240949246633363</v>
      </c>
      <c r="K89" s="90">
        <f t="shared" si="13"/>
        <v>0.13240949246633363</v>
      </c>
      <c r="L89" s="90">
        <f t="shared" si="20"/>
        <v>56.718122114159215</v>
      </c>
      <c r="M89" s="90">
        <f t="shared" si="14"/>
        <v>0.42835389712395688</v>
      </c>
      <c r="N89" s="91">
        <f t="shared" si="15"/>
        <v>0.12759315934302373</v>
      </c>
      <c r="P89" s="86">
        <f t="shared" si="21"/>
        <v>86.326530612244497</v>
      </c>
      <c r="Q89" s="47">
        <f t="shared" si="22"/>
        <v>0.72332304862874996</v>
      </c>
      <c r="R89" s="87">
        <f t="shared" si="16"/>
        <v>0.132409492466321</v>
      </c>
      <c r="S89" s="47">
        <f t="shared" si="23"/>
        <v>5.5565402571541085E-2</v>
      </c>
      <c r="T89" s="88">
        <f t="shared" si="24"/>
        <v>0.72332304862881713</v>
      </c>
      <c r="U89" s="88">
        <f t="shared" si="25"/>
        <v>55.565402571541085</v>
      </c>
      <c r="V89" s="88">
        <f t="shared" si="26"/>
        <v>13.240949246633363</v>
      </c>
    </row>
    <row r="90" spans="1:22" x14ac:dyDescent="0.2">
      <c r="A90" s="80">
        <v>49</v>
      </c>
      <c r="B90" s="81">
        <v>176.326530612244</v>
      </c>
      <c r="C90" s="82">
        <v>1.5502792281737201</v>
      </c>
      <c r="D90" s="82">
        <v>7.1550957367608706E-2</v>
      </c>
      <c r="E90" s="75">
        <v>0.43335017942488602</v>
      </c>
      <c r="G90" s="89">
        <f t="shared" si="17"/>
        <v>1.5502792281740874</v>
      </c>
      <c r="H90" s="90">
        <f t="shared" si="18"/>
        <v>453.50878026321152</v>
      </c>
      <c r="I90" s="90">
        <f t="shared" si="12"/>
        <v>0.45350878026321151</v>
      </c>
      <c r="J90" s="90">
        <f t="shared" si="19"/>
        <v>7.1550957367625756</v>
      </c>
      <c r="K90" s="90">
        <f t="shared" si="13"/>
        <v>7.1550957367625762E-2</v>
      </c>
      <c r="L90" s="90">
        <f t="shared" si="20"/>
        <v>31.037222915069627</v>
      </c>
      <c r="M90" s="90">
        <f t="shared" si="14"/>
        <v>0.43377788441881637</v>
      </c>
      <c r="N90" s="91">
        <f t="shared" si="15"/>
        <v>6.8437975769853818E-2</v>
      </c>
      <c r="P90" s="86">
        <f t="shared" si="21"/>
        <v>88.163265306122</v>
      </c>
      <c r="Q90" s="47">
        <f t="shared" si="22"/>
        <v>0.38756980704343003</v>
      </c>
      <c r="R90" s="87">
        <f t="shared" si="16"/>
        <v>7.1550957367608706E-2</v>
      </c>
      <c r="S90" s="47">
        <f t="shared" si="23"/>
        <v>5.6688597532901439E-2</v>
      </c>
      <c r="T90" s="88">
        <f t="shared" si="24"/>
        <v>0.38756980704352184</v>
      </c>
      <c r="U90" s="88">
        <f t="shared" si="25"/>
        <v>56.68859753290144</v>
      </c>
      <c r="V90" s="88">
        <f t="shared" si="26"/>
        <v>7.1550957367625756</v>
      </c>
    </row>
    <row r="91" spans="1:22" x14ac:dyDescent="0.2">
      <c r="A91" s="92">
        <v>50</v>
      </c>
      <c r="B91" s="93">
        <v>180</v>
      </c>
      <c r="C91" s="94">
        <v>0.15133136126484401</v>
      </c>
      <c r="D91" s="94">
        <v>4.42108727301729E-3</v>
      </c>
      <c r="E91" s="78">
        <v>0.69887450078121705</v>
      </c>
      <c r="G91" s="95">
        <f t="shared" si="17"/>
        <v>0.15133136126484459</v>
      </c>
      <c r="H91" s="96">
        <f t="shared" si="18"/>
        <v>465.66508850130504</v>
      </c>
      <c r="I91" s="96">
        <f t="shared" si="12"/>
        <v>0.46566508850130506</v>
      </c>
      <c r="J91" s="96">
        <f t="shared" si="19"/>
        <v>0.44210872730172923</v>
      </c>
      <c r="K91" s="96">
        <f t="shared" si="13"/>
        <v>4.4210872730172926E-3</v>
      </c>
      <c r="L91" s="96">
        <f t="shared" si="20"/>
        <v>3.0928346958502497</v>
      </c>
      <c r="M91" s="96">
        <f t="shared" si="14"/>
        <v>0.69956427115257103</v>
      </c>
      <c r="N91" s="97">
        <f t="shared" si="15"/>
        <v>6.6417577186303972E-3</v>
      </c>
      <c r="P91" s="86">
        <f t="shared" si="21"/>
        <v>90</v>
      </c>
      <c r="Q91" s="47">
        <f t="shared" si="22"/>
        <v>3.7832840316211001E-2</v>
      </c>
      <c r="R91" s="87">
        <f t="shared" si="16"/>
        <v>4.42108727301729E-3</v>
      </c>
      <c r="S91" s="47">
        <f t="shared" si="23"/>
        <v>5.8208136062663132E-2</v>
      </c>
      <c r="T91" s="88">
        <f t="shared" si="24"/>
        <v>3.7832840316211147E-2</v>
      </c>
      <c r="U91" s="88">
        <f t="shared" si="25"/>
        <v>58.208136062663129</v>
      </c>
      <c r="V91" s="88">
        <f t="shared" si="26"/>
        <v>0.44210872730172923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ABFB5-2110-4D93-8815-4CDFD759823D}">
  <sheetPr codeName="Лист6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NHV760</v>
      </c>
      <c r="C1" s="64"/>
      <c r="D1" s="64"/>
      <c r="E1" s="65">
        <v>68</v>
      </c>
      <c r="G1" s="64" t="s">
        <v>424</v>
      </c>
      <c r="H1" s="66">
        <f>VLOOKUP(num,'tnav 254'!A1:Q263,7,1)</f>
        <v>100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[0,18.5,37,55.5,74,92.5,111,129.5,148,166.5,185]</v>
      </c>
    </row>
    <row r="2" spans="1:47" x14ac:dyDescent="0.2">
      <c r="A2" s="67" t="s">
        <v>144</v>
      </c>
      <c r="B2" s="68" t="str">
        <f>"ЭЦН"&amp;L1&amp;"-"&amp;H1&amp;"@"&amp;f_nom&amp;"Гц"</f>
        <v>ЭЦН5А-100@50Гц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[0,18.5,37,55.5,74,92.5,111,129.5,148,166.5,185]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8.3927395929999999</v>
      </c>
      <c r="C5" s="73">
        <f>Напор0*(f_50_hz/f_nom)^2</f>
        <v>8.3927395929999999</v>
      </c>
      <c r="R5" s="47">
        <f>S1+num</f>
        <v>2068</v>
      </c>
      <c r="S5" s="47" t="s">
        <v>478</v>
      </c>
      <c r="T5" s="47" t="s">
        <v>479</v>
      </c>
      <c r="U5" s="47" t="str">
        <f>B2</f>
        <v>ЭЦН5А-100@50Гц</v>
      </c>
      <c r="V5" s="47">
        <v>1000</v>
      </c>
      <c r="W5" s="47">
        <f>q_nom</f>
        <v>100</v>
      </c>
      <c r="X5" s="47">
        <f>VLOOKUP(num,'tnav 254'!A1:Q263,10,1)</f>
        <v>70</v>
      </c>
      <c r="Y5" s="47">
        <f>VLOOKUP(num,'tnav 254'!A1:Q263,11,1)</f>
        <v>140</v>
      </c>
      <c r="Z5" s="47">
        <f>VLOOKUP(num,'tnav 254'!A1:Q263,9,1)</f>
        <v>185</v>
      </c>
      <c r="AA5" s="47">
        <f>VLOOKUP(num,'tnav 254'!A1:Q263,15,1)</f>
        <v>2910</v>
      </c>
      <c r="AB5" s="47">
        <f>f_nom</f>
        <v>50</v>
      </c>
      <c r="AC5" s="87">
        <f>MAX(КПД)</f>
        <v>0.58402572501805405</v>
      </c>
      <c r="AE5" s="47" t="str">
        <f>L1</f>
        <v>5А</v>
      </c>
      <c r="AF5" s="47">
        <f>VLOOKUP(num,'tnav 254'!A1:Q263,12,1)*1000</f>
        <v>103</v>
      </c>
      <c r="AQ5" s="98">
        <f>$R$5</f>
        <v>2068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8.3927395929999999</v>
      </c>
      <c r="AT5" s="104" cm="1">
        <f t="array" ref="AT5">[1]!crv_interpolation(Подача_пласт_м3_сут,$I$42:$I$91,AR5,2)</f>
        <v>0.1061379239</v>
      </c>
      <c r="AU5" s="105">
        <v>0</v>
      </c>
    </row>
    <row r="6" spans="1:47" x14ac:dyDescent="0.2">
      <c r="A6" s="74" t="s">
        <v>431</v>
      </c>
      <c r="B6" s="75">
        <v>7.2614746119999997E-3</v>
      </c>
      <c r="C6" s="76">
        <f>Напор1/(f_50_hz/f_nom)*(f_50_hz/f_nom)^2</f>
        <v>7.2614746119999997E-3</v>
      </c>
      <c r="R6" s="47">
        <f>T1+num</f>
        <v>3068</v>
      </c>
      <c r="S6" s="47" t="s">
        <v>480</v>
      </c>
      <c r="T6" s="47" t="s">
        <v>481</v>
      </c>
      <c r="U6" s="47" t="str">
        <f>"ЭЦН"&amp;L1&amp;"-"&amp;H1&amp;"@"&amp;f_50_hz&amp;"Гц"</f>
        <v>ЭЦН5А-100@50Гц</v>
      </c>
      <c r="V6" s="47">
        <v>1000</v>
      </c>
      <c r="W6" s="47">
        <f>W5*f_50_hz/f_nom</f>
        <v>100</v>
      </c>
      <c r="X6" s="47">
        <f>X5*f_50_hz/f_nom</f>
        <v>70</v>
      </c>
      <c r="Y6" s="47">
        <f>Y5*f_50_hz/f_nom</f>
        <v>140</v>
      </c>
      <c r="Z6" s="47">
        <f>Z5*f_50_hz/f_nom</f>
        <v>185</v>
      </c>
      <c r="AA6" s="47">
        <f>AA5*f_50_hz/f_nom</f>
        <v>2910</v>
      </c>
      <c r="AB6" s="47">
        <f>f_50_hz</f>
        <v>50</v>
      </c>
      <c r="AC6" s="87">
        <f>AC5</f>
        <v>0.58402572501805405</v>
      </c>
      <c r="AE6" s="47" t="str">
        <f>AE5</f>
        <v>5А</v>
      </c>
      <c r="AF6" s="47">
        <f>AF5</f>
        <v>103</v>
      </c>
      <c r="AQ6" s="100">
        <f t="shared" ref="AQ6:AQ15" si="0">$R$5</f>
        <v>2068</v>
      </c>
      <c r="AR6" s="101">
        <v>18.5</v>
      </c>
      <c r="AS6" s="106" cm="1">
        <f t="array" ref="AS6">[1]!crv_interpolation(Подача_пласт_м3_сут,Напор_м,AR6,2)</f>
        <v>8.5722069290793588</v>
      </c>
      <c r="AT6" s="106" cm="1">
        <f t="array" ref="AT6">[1]!crv_interpolation(Подача_пласт_м3_сут,$I$42:$I$91,AR6,2)</f>
        <v>0.11384780881719848</v>
      </c>
      <c r="AU6" s="107" cm="1">
        <f t="array" ref="AU6">[1]!crv_interpolation(Подача_пласт_м3_сут,КПД,AR6,2)</f>
        <v>0.15859117838083811</v>
      </c>
    </row>
    <row r="7" spans="1:47" x14ac:dyDescent="0.2">
      <c r="A7" s="74" t="s">
        <v>432</v>
      </c>
      <c r="B7" s="75">
        <v>2.9887828070000001E-4</v>
      </c>
      <c r="C7" s="76">
        <f>Напор2/((f_50_hz/f_nom)^2)*(f_50_hz/f_nom)^2</f>
        <v>2.9887828070000001E-4</v>
      </c>
      <c r="AQ7" s="100">
        <f t="shared" si="0"/>
        <v>2068</v>
      </c>
      <c r="AR7" s="101">
        <v>37</v>
      </c>
      <c r="AS7" s="106" cm="1">
        <f t="array" ref="AS7">[1]!crv_interpolation(Подача_пласт_м3_сут,Напор_м,AR7,2)</f>
        <v>8.6801812279521471</v>
      </c>
      <c r="AT7" s="106" cm="1">
        <f t="array" ref="AT7">[1]!crv_interpolation(Подача_пласт_м3_сут,$I$42:$I$91,AR7,2)</f>
        <v>0.12062753178492813</v>
      </c>
      <c r="AU7" s="107" cm="1">
        <f t="array" ref="AU7">[1]!crv_interpolation(Подача_пласт_м3_сут,КПД,AR7,2)</f>
        <v>0.30169261270292064</v>
      </c>
    </row>
    <row r="8" spans="1:47" x14ac:dyDescent="0.2">
      <c r="A8" s="74" t="s">
        <v>433</v>
      </c>
      <c r="B8" s="75">
        <v>-1.0567725649999999E-5</v>
      </c>
      <c r="C8" s="76">
        <f>Напор3/((f_50_hz/f_nom)^3)*(f_50_hz/f_nom)^2</f>
        <v>-1.0567725649999999E-5</v>
      </c>
      <c r="AQ8" s="100">
        <f t="shared" si="0"/>
        <v>2068</v>
      </c>
      <c r="AR8" s="101">
        <v>55.5</v>
      </c>
      <c r="AS8" s="106" cm="1">
        <f t="array" ref="AS8">[1]!crv_interpolation(Подача_пласт_м3_сут,Напор_м,AR8,2)</f>
        <v>8.5872617323178115</v>
      </c>
      <c r="AT8" s="106" cm="1">
        <f t="array" ref="AT8">[1]!crv_interpolation(Подача_пласт_м3_сут,$I$42:$I$91,AR8,2)</f>
        <v>0.1272013353122837</v>
      </c>
      <c r="AU8" s="107" cm="1">
        <f t="array" ref="AU8">[1]!crv_interpolation(Подача_пласт_м3_сут,КПД,AR8,2)</f>
        <v>0.42324710910542324</v>
      </c>
    </row>
    <row r="9" spans="1:47" x14ac:dyDescent="0.2">
      <c r="A9" s="74" t="s">
        <v>434</v>
      </c>
      <c r="B9" s="75">
        <v>9.0219730909999997E-8</v>
      </c>
      <c r="C9" s="76">
        <f>Напор4/((f_50_hz/f_nom)^4)*(f_50_hz/f_nom)^2</f>
        <v>9.0219730909999997E-8</v>
      </c>
      <c r="AQ9" s="100">
        <f t="shared" si="0"/>
        <v>2068</v>
      </c>
      <c r="AR9" s="101">
        <v>74</v>
      </c>
      <c r="AS9" s="106" cm="1">
        <f t="array" ref="AS9">[1]!crv_interpolation(Подача_пласт_м3_сут,Напор_м,AR9,2)</f>
        <v>8.2590920916768571</v>
      </c>
      <c r="AT9" s="106" cm="1">
        <f t="array" ref="AT9">[1]!crv_interpolation(Подача_пласт_м3_сут,$I$42:$I$91,AR9,2)</f>
        <v>0.13411716467094512</v>
      </c>
      <c r="AU9" s="107" cm="1">
        <f t="array" ref="AU9">[1]!crv_interpolation(Подача_пласт_м3_сут,КПД,AR9,2)</f>
        <v>0.51573777387544972</v>
      </c>
    </row>
    <row r="10" spans="1:47" x14ac:dyDescent="0.2">
      <c r="A10" s="74" t="s">
        <v>435</v>
      </c>
      <c r="B10" s="75">
        <v>-3.6811167349999998E-10</v>
      </c>
      <c r="C10" s="76">
        <f>Напор5/((f_50_hz/f_nom)^5)*(f_50_hz/f_nom)^2</f>
        <v>-3.6811167349999998E-10</v>
      </c>
      <c r="AQ10" s="100">
        <f t="shared" si="0"/>
        <v>2068</v>
      </c>
      <c r="AR10" s="101">
        <v>92.5</v>
      </c>
      <c r="AS10" s="106" cm="1">
        <f t="array" ref="AS10">[1]!crv_interpolation(Подача_пласт_м3_сут,Напор_м,AR10,2)</f>
        <v>7.6984262980788793</v>
      </c>
      <c r="AT10" s="106" cm="1">
        <f t="array" ref="AT10">[1]!crv_interpolation(Подача_пласт_м3_сут,$I$42:$I$91,AR10,2)</f>
        <v>0.14174673533514681</v>
      </c>
      <c r="AU10" s="107" cm="1">
        <f t="array" ref="AU10">[1]!crv_interpolation(Подача_пласт_м3_сут,КПД,AR10,2)</f>
        <v>0.57135414957708475</v>
      </c>
    </row>
    <row r="11" spans="1:47" x14ac:dyDescent="0.2">
      <c r="A11" s="74" t="s">
        <v>436</v>
      </c>
      <c r="B11" s="75">
        <v>5.2435660370000004E-13</v>
      </c>
      <c r="C11" s="76">
        <f>Напор6/((f_50_hz/f_nom)^6)*(f_50_hz/f_nom)^2</f>
        <v>5.2435660370000004E-13</v>
      </c>
      <c r="AQ11" s="100">
        <f t="shared" si="0"/>
        <v>2068</v>
      </c>
      <c r="AR11" s="101">
        <v>111</v>
      </c>
      <c r="AS11" s="106" cm="1">
        <f t="array" ref="AS11">[1]!crv_interpolation(Подача_пласт_м3_сут,Напор_м,AR11,2)</f>
        <v>6.9023570566737691</v>
      </c>
      <c r="AT11" s="106" cm="1">
        <f t="array" ref="AT11">[1]!crv_interpolation(Подача_пласт_м3_сут,$I$42:$I$91,AR11,2)</f>
        <v>0.15028549400019486</v>
      </c>
      <c r="AU11" s="107" cm="1">
        <f t="array" ref="AU11">[1]!crv_interpolation(Подача_пласт_м3_сут,КПД,AR11,2)</f>
        <v>0.581992215128188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2068</v>
      </c>
      <c r="AR12" s="101">
        <v>129.5</v>
      </c>
      <c r="AS12" s="106" cm="1">
        <f t="array" ref="AS12">[1]!crv_interpolation(Подача_пласт_м3_сут,Напор_м,AR12,2)</f>
        <v>5.8346886172029615</v>
      </c>
      <c r="AT12" s="106" cm="1">
        <f t="array" ref="AT12">[1]!crv_interpolation(Подача_пласт_м3_сут,$I$42:$I$91,AR12,2)</f>
        <v>0.15975262818193106</v>
      </c>
      <c r="AU12" s="107" cm="1">
        <f t="array" ref="AU12">[1]!crv_interpolation(Подача_пласт_м3_сут,КПД,AR12,2)</f>
        <v>0.53925438582017493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2068</v>
      </c>
      <c r="AR13" s="101">
        <v>148</v>
      </c>
      <c r="AS13" s="106" cm="1">
        <f t="array" ref="AS13">[1]!crv_interpolation(Подача_пласт_м3_сут,Напор_м,AR13,2)</f>
        <v>4.4134553038576563</v>
      </c>
      <c r="AT13" s="106" cm="1">
        <f t="array" ref="AT13">[1]!crv_interpolation(Подача_пласт_м3_сут,$I$42:$I$91,AR13,2)</f>
        <v>0.16999106615720766</v>
      </c>
      <c r="AU13" s="107" cm="1">
        <f t="array" ref="AU13">[1]!crv_interpolation(Подача_пласт_м3_сут,КПД,AR13,2)</f>
        <v>0.43444951332474463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2068</v>
      </c>
      <c r="AR14" s="101">
        <v>166.5</v>
      </c>
      <c r="AS14" s="106" cm="1">
        <f t="array" ref="AS14">[1]!crv_interpolation(Подача_пласт_м3_сут,Напор_м,AR14,2)</f>
        <v>2.5135859236059614</v>
      </c>
      <c r="AT14" s="106" cm="1">
        <f t="array" ref="AT14">[1]!crv_interpolation(Подача_пласт_м3_сут,$I$42:$I$91,AR14,2)</f>
        <v>0.18066730066945286</v>
      </c>
      <c r="AU14" s="107" cm="1">
        <f t="array" ref="AU14">[1]!crv_interpolation(Подача_пласт_м3_сут,КПД,AR14,2)</f>
        <v>0.25859288569663874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2068</v>
      </c>
      <c r="AR15" s="103">
        <v>185</v>
      </c>
      <c r="AS15" s="108">
        <v>0</v>
      </c>
      <c r="AT15" s="108" cm="1">
        <f t="array" ref="AT15">[1]!crv_interpolation(Подача_пласт_м3_сут,$I$42:$I$91,AR15,2)</f>
        <v>0.19127226344460491</v>
      </c>
      <c r="AU15" s="109">
        <v>0</v>
      </c>
    </row>
    <row r="16" spans="1:47" x14ac:dyDescent="0.2">
      <c r="A16" s="71" t="s">
        <v>441</v>
      </c>
      <c r="B16" s="72">
        <v>106.1379239</v>
      </c>
      <c r="C16" s="73">
        <f>Мощность0*(f_50_hz/f_nom)^3</f>
        <v>106.1379239</v>
      </c>
      <c r="AQ16" s="98">
        <f>$R$6</f>
        <v>3068</v>
      </c>
      <c r="AR16" s="99">
        <f t="array" ref="AR16:AR26">[1]!decode_json($AR$2)</f>
        <v>0</v>
      </c>
      <c r="AS16" s="104" cm="1">
        <f t="array" ref="AS16">[1]!crv_interpolation(Подача_f50_,$Q$42:$Q$91,AR16,2)</f>
        <v>8.3927395929999999</v>
      </c>
      <c r="AT16" s="104" cm="1">
        <f t="array" ref="AT16">[1]!crv_interpolation(Подача_f50_,$S$42:$S$91,AR16,2)</f>
        <v>0.1061379239</v>
      </c>
      <c r="AU16" s="105">
        <v>0</v>
      </c>
    </row>
    <row r="17" spans="1:47" x14ac:dyDescent="0.2">
      <c r="A17" s="74" t="s">
        <v>442</v>
      </c>
      <c r="B17" s="75">
        <v>0.45730584549999997</v>
      </c>
      <c r="C17" s="76">
        <f>Мощность1/(f_50_hz/f_nom)*(f_50_hz/f_nom)^3</f>
        <v>0.45730584549999997</v>
      </c>
      <c r="AQ17" s="100">
        <f t="shared" ref="AQ17:AQ26" si="1">$R$6</f>
        <v>3068</v>
      </c>
      <c r="AR17" s="101">
        <v>18.5</v>
      </c>
      <c r="AS17" s="106" cm="1">
        <f t="array" ref="AS17">[1]!crv_interpolation(Подача_f50_,$Q$42:$Q$91,AR17,2)</f>
        <v>8.5722069290793588</v>
      </c>
      <c r="AT17" s="106" cm="1">
        <f t="array" ref="AT17">[1]!crv_interpolation(Подача_f50_,$S$42:$S$91,AR17,2)</f>
        <v>0.11384780881719848</v>
      </c>
      <c r="AU17" s="107" cm="1">
        <f t="array" ref="AU17">[1]!crv_interpolation(Подача_f50_,$R$42:$R$91,AR17,2)</f>
        <v>0.15859117838083811</v>
      </c>
    </row>
    <row r="18" spans="1:47" x14ac:dyDescent="0.2">
      <c r="A18" s="74" t="s">
        <v>443</v>
      </c>
      <c r="B18" s="75">
        <v>-2.6525680479999999E-3</v>
      </c>
      <c r="C18" s="76">
        <f>Мощность2/((f_50_hz/f_nom)^2)*(f_50_hz/f_nom)^3</f>
        <v>-2.6525680479999999E-3</v>
      </c>
      <c r="AQ18" s="100">
        <f t="shared" si="1"/>
        <v>3068</v>
      </c>
      <c r="AR18" s="101">
        <v>37</v>
      </c>
      <c r="AS18" s="106" cm="1">
        <f t="array" ref="AS18">[1]!crv_interpolation(Подача_f50_,$Q$42:$Q$91,AR18,2)</f>
        <v>8.6801812279521471</v>
      </c>
      <c r="AT18" s="106" cm="1">
        <f t="array" ref="AT18">[1]!crv_interpolation(Подача_f50_,$S$42:$S$91,AR18,2)</f>
        <v>0.12062753178492813</v>
      </c>
      <c r="AU18" s="107" cm="1">
        <f t="array" ref="AU18">[1]!crv_interpolation(Подача_f50_,$R$42:$R$91,AR18,2)</f>
        <v>0.30169261270292064</v>
      </c>
    </row>
    <row r="19" spans="1:47" x14ac:dyDescent="0.2">
      <c r="A19" s="74" t="s">
        <v>444</v>
      </c>
      <c r="B19" s="75">
        <v>2.6019890659999999E-5</v>
      </c>
      <c r="C19" s="76">
        <f>Мощность3/((f_50_hz/f_nom)^3)*(f_50_hz/f_nom)^3</f>
        <v>2.6019890659999999E-5</v>
      </c>
      <c r="AQ19" s="100">
        <f t="shared" si="1"/>
        <v>3068</v>
      </c>
      <c r="AR19" s="101">
        <v>55.5</v>
      </c>
      <c r="AS19" s="106" cm="1">
        <f t="array" ref="AS19">[1]!crv_interpolation(Подача_f50_,$Q$42:$Q$91,AR19,2)</f>
        <v>8.5872617323178115</v>
      </c>
      <c r="AT19" s="106" cm="1">
        <f t="array" ref="AT19">[1]!crv_interpolation(Подача_f50_,$S$42:$S$91,AR19,2)</f>
        <v>0.1272013353122837</v>
      </c>
      <c r="AU19" s="107" cm="1">
        <f t="array" ref="AU19">[1]!crv_interpolation(Подача_f50_,$R$42:$R$91,AR19,2)</f>
        <v>0.42324710910542324</v>
      </c>
    </row>
    <row r="20" spans="1:47" x14ac:dyDescent="0.2">
      <c r="A20" s="74" t="s">
        <v>445</v>
      </c>
      <c r="B20" s="75">
        <v>-6.2689419430000006E-8</v>
      </c>
      <c r="C20" s="76">
        <f>Мощность4/((f_50_hz/f_nom)^4)*(f_50_hz/f_nom)^3</f>
        <v>-6.2689419430000006E-8</v>
      </c>
      <c r="AQ20" s="100">
        <f t="shared" si="1"/>
        <v>3068</v>
      </c>
      <c r="AR20" s="101">
        <v>74</v>
      </c>
      <c r="AS20" s="106" cm="1">
        <f t="array" ref="AS20">[1]!crv_interpolation(Подача_f50_,$Q$42:$Q$91,AR20,2)</f>
        <v>8.2590920916768571</v>
      </c>
      <c r="AT20" s="106" cm="1">
        <f t="array" ref="AT20">[1]!crv_interpolation(Подача_f50_,$S$42:$S$91,AR20,2)</f>
        <v>0.13411716467094512</v>
      </c>
      <c r="AU20" s="107" cm="1">
        <f t="array" ref="AU20">[1]!crv_interpolation(Подача_f50_,$R$42:$R$91,AR20,2)</f>
        <v>0.51573777387544972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3068</v>
      </c>
      <c r="AR21" s="101">
        <v>92.5</v>
      </c>
      <c r="AS21" s="106" cm="1">
        <f t="array" ref="AS21">[1]!crv_interpolation(Подача_f50_,$Q$42:$Q$91,AR21,2)</f>
        <v>7.6984262980788793</v>
      </c>
      <c r="AT21" s="106" cm="1">
        <f t="array" ref="AT21">[1]!crv_interpolation(Подача_f50_,$S$42:$S$91,AR21,2)</f>
        <v>0.14174673533514681</v>
      </c>
      <c r="AU21" s="107" cm="1">
        <f t="array" ref="AU21">[1]!crv_interpolation(Подача_f50_,$R$42:$R$91,AR21,2)</f>
        <v>0.57135414957708475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3068</v>
      </c>
      <c r="AR22" s="101">
        <v>111</v>
      </c>
      <c r="AS22" s="106" cm="1">
        <f t="array" ref="AS22">[1]!crv_interpolation(Подача_f50_,$Q$42:$Q$91,AR22,2)</f>
        <v>6.9023570566737691</v>
      </c>
      <c r="AT22" s="106" cm="1">
        <f t="array" ref="AT22">[1]!crv_interpolation(Подача_f50_,$S$42:$S$91,AR22,2)</f>
        <v>0.15028549400019486</v>
      </c>
      <c r="AU22" s="107" cm="1">
        <f t="array" ref="AU22">[1]!crv_interpolation(Подача_f50_,$R$42:$R$91,AR22,2)</f>
        <v>0.581992215128188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3068</v>
      </c>
      <c r="AR23" s="101">
        <v>129.5</v>
      </c>
      <c r="AS23" s="106" cm="1">
        <f t="array" ref="AS23">[1]!crv_interpolation(Подача_f50_,$Q$42:$Q$91,AR23,2)</f>
        <v>5.8346886172029615</v>
      </c>
      <c r="AT23" s="106" cm="1">
        <f t="array" ref="AT23">[1]!crv_interpolation(Подача_f50_,$S$42:$S$91,AR23,2)</f>
        <v>0.15975262818193106</v>
      </c>
      <c r="AU23" s="107" cm="1">
        <f t="array" ref="AU23">[1]!crv_interpolation(Подача_f50_,$R$42:$R$91,AR23,2)</f>
        <v>0.53925438582017493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3068</v>
      </c>
      <c r="AR24" s="101">
        <v>148</v>
      </c>
      <c r="AS24" s="106" cm="1">
        <f t="array" ref="AS24">[1]!crv_interpolation(Подача_f50_,$Q$42:$Q$91,AR24,2)</f>
        <v>4.4134553038576563</v>
      </c>
      <c r="AT24" s="106" cm="1">
        <f t="array" ref="AT24">[1]!crv_interpolation(Подача_f50_,$S$42:$S$91,AR24,2)</f>
        <v>0.16999106615720766</v>
      </c>
      <c r="AU24" s="107" cm="1">
        <f t="array" ref="AU24">[1]!crv_interpolation(Подача_f50_,$R$42:$R$91,AR24,2)</f>
        <v>0.43444951332474463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3068</v>
      </c>
      <c r="AR25" s="101">
        <v>166.5</v>
      </c>
      <c r="AS25" s="106" cm="1">
        <f t="array" ref="AS25">[1]!crv_interpolation(Подача_f50_,$Q$42:$Q$91,AR25,2)</f>
        <v>2.5135859236059614</v>
      </c>
      <c r="AT25" s="106" cm="1">
        <f t="array" ref="AT25">[1]!crv_interpolation(Подача_f50_,$S$42:$S$91,AR25,2)</f>
        <v>0.18066730066945286</v>
      </c>
      <c r="AU25" s="107" cm="1">
        <f t="array" ref="AU25">[1]!crv_interpolation(Подача_f50_,$R$42:$R$91,AR25,2)</f>
        <v>0.25859288569663874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3068</v>
      </c>
      <c r="AR26" s="103">
        <v>185</v>
      </c>
      <c r="AS26" s="108">
        <v>0</v>
      </c>
      <c r="AT26" s="108" cm="1">
        <f t="array" ref="AT26">[1]!crv_interpolation(Подача_f50_,$S$42:$S$91,AR26,2)</f>
        <v>0.19127226344460491</v>
      </c>
      <c r="AU26" s="109">
        <v>0</v>
      </c>
    </row>
    <row r="27" spans="1:47" x14ac:dyDescent="0.2">
      <c r="A27" s="74" t="s">
        <v>452</v>
      </c>
      <c r="B27" s="75">
        <v>0.1166135623</v>
      </c>
      <c r="C27" s="73">
        <f>К.П.Д.0</f>
        <v>0.1166135623</v>
      </c>
    </row>
    <row r="28" spans="1:47" x14ac:dyDescent="0.2">
      <c r="A28" s="74" t="s">
        <v>453</v>
      </c>
      <c r="B28" s="75">
        <v>0.87705071089999997</v>
      </c>
      <c r="C28" s="76">
        <f>К.П.Д.1/(f_50_hz/f_nom)</f>
        <v>0.87705071089999997</v>
      </c>
    </row>
    <row r="29" spans="1:47" x14ac:dyDescent="0.2">
      <c r="A29" s="74" t="s">
        <v>454</v>
      </c>
      <c r="B29" s="75">
        <v>-1.076750554E-3</v>
      </c>
      <c r="C29" s="76">
        <f>К.П.Д.2/((f_50_hz/f_nom)^2)</f>
        <v>-1.076750554E-3</v>
      </c>
    </row>
    <row r="30" spans="1:47" x14ac:dyDescent="0.2">
      <c r="A30" s="74" t="s">
        <v>455</v>
      </c>
      <c r="B30" s="75">
        <v>-1.7854573270000002E-5</v>
      </c>
      <c r="C30" s="76">
        <f>К.П.Д.3/((f_50_hz/f_nom)^3)</f>
        <v>-1.7854573270000002E-5</v>
      </c>
    </row>
    <row r="31" spans="1:47" x14ac:dyDescent="0.2">
      <c r="A31" s="74" t="s">
        <v>456</v>
      </c>
      <c r="B31" s="75">
        <v>-1.0441042920000001E-8</v>
      </c>
      <c r="C31" s="76">
        <f>К.П.Д.4/((f_50_hz/f_nom)^4)</f>
        <v>-1.0441042920000001E-8</v>
      </c>
    </row>
    <row r="32" spans="1:47" x14ac:dyDescent="0.2">
      <c r="A32" s="74" t="s">
        <v>457</v>
      </c>
      <c r="B32" s="75">
        <v>0</v>
      </c>
      <c r="C32" s="76">
        <f>К.П.Д.5/((f_50_hz/f_nom)^5)</f>
        <v>0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8.3927395929999999</v>
      </c>
      <c r="D42" s="82">
        <v>1.1661356229999999E-3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8.3927395929999999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106.1379239</v>
      </c>
      <c r="I42" s="84">
        <f>H42/1000</f>
        <v>0.1061379239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0.1166135623</v>
      </c>
      <c r="K42" s="84">
        <f>J42/100</f>
        <v>1.1661356230000001E-3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8.3927395929999999</v>
      </c>
      <c r="R42" s="87">
        <f>D42</f>
        <v>1.1661356229999999E-3</v>
      </c>
      <c r="S42" s="47">
        <f t="shared" ref="S42:S73" si="8">I42*(f_50_hz/f_nom)^3</f>
        <v>0.1061379239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8.3927395929999999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106.1379239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0.1166135623</v>
      </c>
    </row>
    <row r="43" spans="1:22" x14ac:dyDescent="0.2">
      <c r="A43" s="80">
        <v>2</v>
      </c>
      <c r="B43" s="81">
        <v>3.77551020408163</v>
      </c>
      <c r="C43" s="82">
        <v>8.42386503598253</v>
      </c>
      <c r="D43" s="82">
        <v>3.4116159368759301E-2</v>
      </c>
      <c r="E43" s="75">
        <v>0.105743517605454</v>
      </c>
      <c r="G43" s="89">
        <f t="shared" si="2"/>
        <v>8.4238650359825318</v>
      </c>
      <c r="H43" s="90">
        <f t="shared" si="3"/>
        <v>107.82806341368185</v>
      </c>
      <c r="I43" s="90">
        <f t="shared" ref="I43:I91" si="12">H43/1000</f>
        <v>0.10782806341368184</v>
      </c>
      <c r="J43" s="90">
        <f t="shared" si="4"/>
        <v>3.4116159368759345</v>
      </c>
      <c r="K43" s="90">
        <f t="shared" ref="K43:K91" si="13">J43/100</f>
        <v>3.4116159368759343E-2</v>
      </c>
      <c r="L43" s="90">
        <f t="shared" si="5"/>
        <v>3.6111232663815396</v>
      </c>
      <c r="M43" s="90">
        <f t="shared" ref="M43:M91" si="14">IF(K43&gt;0,L43/K43,0)/1000</f>
        <v>0.10584788361870232</v>
      </c>
      <c r="N43" s="91">
        <f t="shared" ref="N43:N91" si="15">L43/H43</f>
        <v>3.3489642232815427E-2</v>
      </c>
      <c r="P43" s="86">
        <f t="shared" si="6"/>
        <v>3.7755102040816295</v>
      </c>
      <c r="Q43" s="47">
        <f t="shared" si="7"/>
        <v>8.42386503598253</v>
      </c>
      <c r="R43" s="87">
        <f t="shared" ref="R43:R91" si="16">D43</f>
        <v>3.4116159368759301E-2</v>
      </c>
      <c r="S43" s="47">
        <f t="shared" si="8"/>
        <v>0.10782806341368184</v>
      </c>
      <c r="T43" s="88">
        <f t="shared" si="9"/>
        <v>8.4238650359825318</v>
      </c>
      <c r="U43" s="88">
        <f t="shared" si="10"/>
        <v>107.82806341368183</v>
      </c>
      <c r="V43" s="88">
        <f t="shared" si="11"/>
        <v>3.411615936875934</v>
      </c>
    </row>
    <row r="44" spans="1:22" x14ac:dyDescent="0.2">
      <c r="A44" s="80">
        <v>3</v>
      </c>
      <c r="B44" s="81">
        <v>7.5510204081632599</v>
      </c>
      <c r="C44" s="82">
        <v>8.4603470548442097</v>
      </c>
      <c r="D44" s="82">
        <v>6.6701262010969806E-2</v>
      </c>
      <c r="E44" s="75">
        <v>0.108639213059238</v>
      </c>
      <c r="G44" s="89">
        <f t="shared" si="2"/>
        <v>8.4603470548442168</v>
      </c>
      <c r="H44" s="90">
        <f t="shared" si="3"/>
        <v>109.45080467417877</v>
      </c>
      <c r="I44" s="90">
        <f t="shared" si="12"/>
        <v>0.10945080467417877</v>
      </c>
      <c r="J44" s="90">
        <f t="shared" si="4"/>
        <v>6.6701262010969833</v>
      </c>
      <c r="K44" s="90">
        <f t="shared" si="13"/>
        <v>6.6701262010969833E-2</v>
      </c>
      <c r="L44" s="90">
        <f t="shared" si="5"/>
        <v>7.253524590175739</v>
      </c>
      <c r="M44" s="90">
        <f t="shared" si="14"/>
        <v>0.10874643704616577</v>
      </c>
      <c r="N44" s="91">
        <f t="shared" si="15"/>
        <v>6.6272007883071901E-2</v>
      </c>
      <c r="P44" s="86">
        <f t="shared" si="6"/>
        <v>7.551020408163259</v>
      </c>
      <c r="Q44" s="47">
        <f t="shared" si="7"/>
        <v>8.4603470548442097</v>
      </c>
      <c r="R44" s="87">
        <f t="shared" si="16"/>
        <v>6.6701262010969806E-2</v>
      </c>
      <c r="S44" s="47">
        <f t="shared" si="8"/>
        <v>0.10945080467417877</v>
      </c>
      <c r="T44" s="88">
        <f t="shared" si="9"/>
        <v>8.4603470548442168</v>
      </c>
      <c r="U44" s="88">
        <f t="shared" si="10"/>
        <v>109.45080467417877</v>
      </c>
      <c r="V44" s="88">
        <f t="shared" si="11"/>
        <v>6.6701262010969824</v>
      </c>
    </row>
    <row r="45" spans="1:22" x14ac:dyDescent="0.2">
      <c r="A45" s="80">
        <v>4</v>
      </c>
      <c r="B45" s="81">
        <v>11.326530612244801</v>
      </c>
      <c r="C45" s="82">
        <v>8.4993916552975897</v>
      </c>
      <c r="D45" s="82">
        <v>9.8863026039006693E-2</v>
      </c>
      <c r="E45" s="75">
        <v>0.110453042975256</v>
      </c>
      <c r="G45" s="89">
        <f t="shared" si="2"/>
        <v>8.4993916552975985</v>
      </c>
      <c r="H45" s="90">
        <f t="shared" si="3"/>
        <v>111.01409113720706</v>
      </c>
      <c r="I45" s="90">
        <f t="shared" si="12"/>
        <v>0.11101409113720706</v>
      </c>
      <c r="J45" s="90">
        <f t="shared" si="4"/>
        <v>9.8863026039005941</v>
      </c>
      <c r="K45" s="90">
        <f t="shared" si="13"/>
        <v>9.8863026039005944E-2</v>
      </c>
      <c r="L45" s="90">
        <f t="shared" si="5"/>
        <v>10.930499536293013</v>
      </c>
      <c r="M45" s="90">
        <f t="shared" si="14"/>
        <v>0.11056205716361986</v>
      </c>
      <c r="N45" s="91">
        <f t="shared" si="15"/>
        <v>9.8460469516284566E-2</v>
      </c>
      <c r="P45" s="86">
        <f t="shared" si="6"/>
        <v>11.326530612244801</v>
      </c>
      <c r="Q45" s="47">
        <f t="shared" si="7"/>
        <v>8.4993916552975897</v>
      </c>
      <c r="R45" s="87">
        <f t="shared" si="16"/>
        <v>9.8863026039006693E-2</v>
      </c>
      <c r="S45" s="47">
        <f t="shared" si="8"/>
        <v>0.11101409113720706</v>
      </c>
      <c r="T45" s="88">
        <f t="shared" si="9"/>
        <v>8.4993916552975985</v>
      </c>
      <c r="U45" s="88">
        <f t="shared" si="10"/>
        <v>111.01409113720706</v>
      </c>
      <c r="V45" s="88">
        <f t="shared" si="11"/>
        <v>9.8863026039005941</v>
      </c>
    </row>
    <row r="46" spans="1:22" x14ac:dyDescent="0.2">
      <c r="A46" s="80">
        <v>5</v>
      </c>
      <c r="B46" s="81">
        <v>15.1020408163265</v>
      </c>
      <c r="C46" s="82">
        <v>8.5385793995425896</v>
      </c>
      <c r="D46" s="82">
        <v>0.13054252477821399</v>
      </c>
      <c r="E46" s="75">
        <v>0.11204593169820801</v>
      </c>
      <c r="G46" s="89">
        <f t="shared" si="2"/>
        <v>8.5385793995425896</v>
      </c>
      <c r="H46" s="90">
        <f t="shared" si="3"/>
        <v>112.52556054958242</v>
      </c>
      <c r="I46" s="90">
        <f t="shared" si="12"/>
        <v>0.11252556054958242</v>
      </c>
      <c r="J46" s="90">
        <f t="shared" si="4"/>
        <v>13.054252477821384</v>
      </c>
      <c r="K46" s="90">
        <f t="shared" si="13"/>
        <v>0.13054252477821385</v>
      </c>
      <c r="L46" s="90">
        <f t="shared" si="5"/>
        <v>14.641195033314286</v>
      </c>
      <c r="M46" s="90">
        <f t="shared" si="14"/>
        <v>0.11215651802498112</v>
      </c>
      <c r="N46" s="91">
        <f t="shared" si="15"/>
        <v>0.13011439322590976</v>
      </c>
      <c r="P46" s="86">
        <f t="shared" si="6"/>
        <v>15.1020408163265</v>
      </c>
      <c r="Q46" s="47">
        <f t="shared" si="7"/>
        <v>8.5385793995425896</v>
      </c>
      <c r="R46" s="87">
        <f t="shared" si="16"/>
        <v>0.13054252477821399</v>
      </c>
      <c r="S46" s="47">
        <f t="shared" si="8"/>
        <v>0.11252556054958242</v>
      </c>
      <c r="T46" s="88">
        <f t="shared" si="9"/>
        <v>8.5385793995425896</v>
      </c>
      <c r="U46" s="88">
        <f t="shared" si="10"/>
        <v>112.52556054958242</v>
      </c>
      <c r="V46" s="88">
        <f t="shared" si="11"/>
        <v>13.054252477821384</v>
      </c>
    </row>
    <row r="47" spans="1:22" x14ac:dyDescent="0.2">
      <c r="A47" s="80">
        <v>6</v>
      </c>
      <c r="B47" s="81">
        <v>18.877551020408099</v>
      </c>
      <c r="C47" s="82">
        <v>8.57583425251614</v>
      </c>
      <c r="D47" s="82">
        <v>0.16168032238990401</v>
      </c>
      <c r="E47" s="75">
        <v>0.113577342876248</v>
      </c>
      <c r="G47" s="89">
        <f t="shared" si="2"/>
        <v>8.5758342525161382</v>
      </c>
      <c r="H47" s="90">
        <f t="shared" si="3"/>
        <v>113.99254494922009</v>
      </c>
      <c r="I47" s="90">
        <f t="shared" si="12"/>
        <v>0.11399254494922009</v>
      </c>
      <c r="J47" s="90">
        <f t="shared" si="4"/>
        <v>16.168032238990428</v>
      </c>
      <c r="K47" s="90">
        <f t="shared" si="13"/>
        <v>0.16168032238990426</v>
      </c>
      <c r="L47" s="90">
        <f t="shared" si="5"/>
        <v>18.381345419003761</v>
      </c>
      <c r="M47" s="90">
        <f t="shared" si="14"/>
        <v>0.11368944066474437</v>
      </c>
      <c r="N47" s="91">
        <f t="shared" si="15"/>
        <v>0.16125041709694299</v>
      </c>
      <c r="P47" s="86">
        <f t="shared" si="6"/>
        <v>18.877551020408099</v>
      </c>
      <c r="Q47" s="47">
        <f t="shared" si="7"/>
        <v>8.57583425251614</v>
      </c>
      <c r="R47" s="87">
        <f t="shared" si="16"/>
        <v>0.16168032238990401</v>
      </c>
      <c r="S47" s="47">
        <f t="shared" si="8"/>
        <v>0.11399254494922009</v>
      </c>
      <c r="T47" s="88">
        <f t="shared" si="9"/>
        <v>8.5758342525161382</v>
      </c>
      <c r="U47" s="88">
        <f t="shared" si="10"/>
        <v>113.99254494922009</v>
      </c>
      <c r="V47" s="88">
        <f t="shared" si="11"/>
        <v>16.168032238990428</v>
      </c>
    </row>
    <row r="48" spans="1:22" x14ac:dyDescent="0.2">
      <c r="A48" s="80">
        <v>7</v>
      </c>
      <c r="B48" s="81">
        <v>22.653061224489701</v>
      </c>
      <c r="C48" s="82">
        <v>8.6093935216277302</v>
      </c>
      <c r="D48" s="82">
        <v>0.19221647387136001</v>
      </c>
      <c r="E48" s="75">
        <v>0.11508949679048799</v>
      </c>
      <c r="G48" s="89">
        <f t="shared" si="2"/>
        <v>8.6093935216277337</v>
      </c>
      <c r="H48" s="90">
        <f t="shared" si="3"/>
        <v>115.42207066513483</v>
      </c>
      <c r="I48" s="90">
        <f t="shared" si="12"/>
        <v>0.11542207066513482</v>
      </c>
      <c r="J48" s="90">
        <f t="shared" si="4"/>
        <v>19.221647387135988</v>
      </c>
      <c r="K48" s="90">
        <f t="shared" si="13"/>
        <v>0.19221647387135987</v>
      </c>
      <c r="L48" s="90">
        <f t="shared" si="5"/>
        <v>22.143931168829397</v>
      </c>
      <c r="M48" s="90">
        <f t="shared" si="14"/>
        <v>0.11520308703430454</v>
      </c>
      <c r="N48" s="91">
        <f t="shared" si="15"/>
        <v>0.19185179265301763</v>
      </c>
      <c r="P48" s="86">
        <f t="shared" si="6"/>
        <v>22.653061224489701</v>
      </c>
      <c r="Q48" s="47">
        <f t="shared" si="7"/>
        <v>8.6093935216277302</v>
      </c>
      <c r="R48" s="87">
        <f t="shared" si="16"/>
        <v>0.19221647387136001</v>
      </c>
      <c r="S48" s="47">
        <f t="shared" si="8"/>
        <v>0.11542207066513482</v>
      </c>
      <c r="T48" s="88">
        <f t="shared" si="9"/>
        <v>8.6093935216277337</v>
      </c>
      <c r="U48" s="88">
        <f t="shared" si="10"/>
        <v>115.42207066513483</v>
      </c>
      <c r="V48" s="88">
        <f t="shared" si="11"/>
        <v>19.221647387135988</v>
      </c>
    </row>
    <row r="49" spans="1:22" x14ac:dyDescent="0.2">
      <c r="A49" s="80">
        <v>8</v>
      </c>
      <c r="B49" s="81">
        <v>26.428571428571399</v>
      </c>
      <c r="C49" s="82">
        <v>8.6377788899805594</v>
      </c>
      <c r="D49" s="82">
        <v>0.22209052505583199</v>
      </c>
      <c r="E49" s="75">
        <v>0.116593027529429</v>
      </c>
      <c r="G49" s="89">
        <f t="shared" si="2"/>
        <v>8.6377788899805683</v>
      </c>
      <c r="H49" s="90">
        <f t="shared" si="3"/>
        <v>116.82085831744104</v>
      </c>
      <c r="I49" s="90">
        <f t="shared" si="12"/>
        <v>0.11682085831744103</v>
      </c>
      <c r="J49" s="90">
        <f t="shared" si="4"/>
        <v>22.209052505583198</v>
      </c>
      <c r="K49" s="90">
        <f t="shared" si="13"/>
        <v>0.22209052505583199</v>
      </c>
      <c r="L49" s="90">
        <f t="shared" si="5"/>
        <v>25.919763588758599</v>
      </c>
      <c r="M49" s="90">
        <f t="shared" si="14"/>
        <v>0.11670810171772322</v>
      </c>
      <c r="N49" s="91">
        <f t="shared" si="15"/>
        <v>0.22187616117599479</v>
      </c>
      <c r="P49" s="86">
        <f t="shared" si="6"/>
        <v>26.428571428571399</v>
      </c>
      <c r="Q49" s="47">
        <f t="shared" si="7"/>
        <v>8.6377788899805594</v>
      </c>
      <c r="R49" s="87">
        <f t="shared" si="16"/>
        <v>0.22209052505583199</v>
      </c>
      <c r="S49" s="47">
        <f t="shared" si="8"/>
        <v>0.11682085831744103</v>
      </c>
      <c r="T49" s="88">
        <f t="shared" si="9"/>
        <v>8.6377788899805683</v>
      </c>
      <c r="U49" s="88">
        <f t="shared" si="10"/>
        <v>116.82085831744104</v>
      </c>
      <c r="V49" s="88">
        <f t="shared" si="11"/>
        <v>22.209052505583198</v>
      </c>
    </row>
    <row r="50" spans="1:22" x14ac:dyDescent="0.2">
      <c r="A50" s="80">
        <v>9</v>
      </c>
      <c r="B50" s="81">
        <v>30.204081632653001</v>
      </c>
      <c r="C50" s="82">
        <v>8.6597685430785205</v>
      </c>
      <c r="D50" s="82">
        <v>0.25124151261253802</v>
      </c>
      <c r="E50" s="75">
        <v>0.11808843299150699</v>
      </c>
      <c r="G50" s="89">
        <f t="shared" si="2"/>
        <v>8.6597685430785258</v>
      </c>
      <c r="H50" s="90">
        <f t="shared" si="3"/>
        <v>118.19532281735246</v>
      </c>
      <c r="I50" s="90">
        <f t="shared" si="12"/>
        <v>0.11819532281735247</v>
      </c>
      <c r="J50" s="90">
        <f t="shared" si="4"/>
        <v>25.124151261253843</v>
      </c>
      <c r="K50" s="90">
        <f t="shared" si="13"/>
        <v>0.25124151261253841</v>
      </c>
      <c r="L50" s="90">
        <f t="shared" si="5"/>
        <v>29.697998753601702</v>
      </c>
      <c r="M50" s="90">
        <f t="shared" si="14"/>
        <v>0.11820498310484856</v>
      </c>
      <c r="N50" s="91">
        <f t="shared" si="15"/>
        <v>0.25126204697197785</v>
      </c>
      <c r="P50" s="86">
        <f t="shared" si="6"/>
        <v>30.204081632653001</v>
      </c>
      <c r="Q50" s="47">
        <f t="shared" si="7"/>
        <v>8.6597685430785205</v>
      </c>
      <c r="R50" s="87">
        <f t="shared" si="16"/>
        <v>0.25124151261253802</v>
      </c>
      <c r="S50" s="47">
        <f t="shared" si="8"/>
        <v>0.11819532281735247</v>
      </c>
      <c r="T50" s="88">
        <f t="shared" si="9"/>
        <v>8.6597685430785258</v>
      </c>
      <c r="U50" s="88">
        <f t="shared" si="10"/>
        <v>118.19532281735246</v>
      </c>
      <c r="V50" s="88">
        <f t="shared" si="11"/>
        <v>25.124151261253843</v>
      </c>
    </row>
    <row r="51" spans="1:22" x14ac:dyDescent="0.2">
      <c r="A51" s="80">
        <v>10</v>
      </c>
      <c r="B51" s="81">
        <v>33.979591836734599</v>
      </c>
      <c r="C51" s="82">
        <v>8.6743703890188808</v>
      </c>
      <c r="D51" s="82">
        <v>0.27960796404666899</v>
      </c>
      <c r="E51" s="75">
        <v>0.119573081669439</v>
      </c>
      <c r="G51" s="89">
        <f t="shared" si="2"/>
        <v>8.6743703890188826</v>
      </c>
      <c r="H51" s="90">
        <f t="shared" si="3"/>
        <v>119.55157336718256</v>
      </c>
      <c r="I51" s="90">
        <f t="shared" si="12"/>
        <v>0.11955157336718256</v>
      </c>
      <c r="J51" s="90">
        <f t="shared" si="4"/>
        <v>27.96079640466683</v>
      </c>
      <c r="K51" s="90">
        <f t="shared" si="13"/>
        <v>0.27960796404666832</v>
      </c>
      <c r="L51" s="90">
        <f t="shared" si="5"/>
        <v>33.466583972174476</v>
      </c>
      <c r="M51" s="90">
        <f t="shared" si="14"/>
        <v>0.11969109709117118</v>
      </c>
      <c r="N51" s="91">
        <f t="shared" si="15"/>
        <v>0.27993428300092288</v>
      </c>
      <c r="P51" s="86">
        <f t="shared" si="6"/>
        <v>33.979591836734599</v>
      </c>
      <c r="Q51" s="47">
        <f t="shared" si="7"/>
        <v>8.6743703890188808</v>
      </c>
      <c r="R51" s="87">
        <f t="shared" si="16"/>
        <v>0.27960796404666899</v>
      </c>
      <c r="S51" s="47">
        <f t="shared" si="8"/>
        <v>0.11955157336718256</v>
      </c>
      <c r="T51" s="88">
        <f t="shared" si="9"/>
        <v>8.6743703890188826</v>
      </c>
      <c r="U51" s="88">
        <f t="shared" si="10"/>
        <v>119.55157336718256</v>
      </c>
      <c r="V51" s="88">
        <f t="shared" si="11"/>
        <v>27.96079640466683</v>
      </c>
    </row>
    <row r="52" spans="1:22" x14ac:dyDescent="0.2">
      <c r="A52" s="80">
        <v>11</v>
      </c>
      <c r="B52" s="81">
        <v>37.755102040816297</v>
      </c>
      <c r="C52" s="82">
        <v>8.6807963721707804</v>
      </c>
      <c r="D52" s="82">
        <v>0.30712789769937898</v>
      </c>
      <c r="E52" s="75">
        <v>0.12104386698807</v>
      </c>
      <c r="G52" s="89">
        <f t="shared" si="2"/>
        <v>8.6807963721707821</v>
      </c>
      <c r="H52" s="90">
        <f t="shared" si="3"/>
        <v>120.89541346034426</v>
      </c>
      <c r="I52" s="90">
        <f t="shared" si="12"/>
        <v>0.12089541346034426</v>
      </c>
      <c r="J52" s="90">
        <f t="shared" si="4"/>
        <v>30.712789769937945</v>
      </c>
      <c r="K52" s="90">
        <f t="shared" si="13"/>
        <v>0.30712789769937943</v>
      </c>
      <c r="L52" s="90">
        <f t="shared" si="5"/>
        <v>37.212640060549248</v>
      </c>
      <c r="M52" s="90">
        <f t="shared" si="14"/>
        <v>0.12116333403542988</v>
      </c>
      <c r="N52" s="91">
        <f t="shared" si="15"/>
        <v>0.30780853462861618</v>
      </c>
      <c r="P52" s="86">
        <f t="shared" si="6"/>
        <v>37.755102040816297</v>
      </c>
      <c r="Q52" s="47">
        <f t="shared" si="7"/>
        <v>8.6807963721707804</v>
      </c>
      <c r="R52" s="87">
        <f t="shared" si="16"/>
        <v>0.30712789769937898</v>
      </c>
      <c r="S52" s="47">
        <f t="shared" si="8"/>
        <v>0.12089541346034426</v>
      </c>
      <c r="T52" s="88">
        <f t="shared" si="9"/>
        <v>8.6807963721707821</v>
      </c>
      <c r="U52" s="88">
        <f t="shared" si="10"/>
        <v>120.89541346034426</v>
      </c>
      <c r="V52" s="88">
        <f t="shared" si="11"/>
        <v>30.712789769937945</v>
      </c>
    </row>
    <row r="53" spans="1:22" x14ac:dyDescent="0.2">
      <c r="A53" s="80">
        <v>12</v>
      </c>
      <c r="B53" s="81">
        <v>41.530612244897902</v>
      </c>
      <c r="C53" s="82">
        <v>8.6784378803394304</v>
      </c>
      <c r="D53" s="82">
        <v>0.33373882274779598</v>
      </c>
      <c r="E53" s="75">
        <v>0.122498283251312</v>
      </c>
      <c r="G53" s="89">
        <f t="shared" si="2"/>
        <v>8.6784378803394375</v>
      </c>
      <c r="H53" s="90">
        <f t="shared" si="3"/>
        <v>122.23234088134991</v>
      </c>
      <c r="I53" s="90">
        <f t="shared" si="12"/>
        <v>0.12223234088134992</v>
      </c>
      <c r="J53" s="90">
        <f t="shared" si="4"/>
        <v>33.373882274779639</v>
      </c>
      <c r="K53" s="90">
        <f t="shared" si="13"/>
        <v>0.33373882274779637</v>
      </c>
      <c r="L53" s="90">
        <f t="shared" si="5"/>
        <v>40.922782704665991</v>
      </c>
      <c r="M53" s="90">
        <f t="shared" si="14"/>
        <v>0.1226191857684804</v>
      </c>
      <c r="N53" s="91">
        <f t="shared" si="15"/>
        <v>0.33479505022643274</v>
      </c>
      <c r="P53" s="86">
        <f t="shared" si="6"/>
        <v>41.530612244897902</v>
      </c>
      <c r="Q53" s="47">
        <f t="shared" si="7"/>
        <v>8.6784378803394304</v>
      </c>
      <c r="R53" s="87">
        <f t="shared" si="16"/>
        <v>0.33373882274779598</v>
      </c>
      <c r="S53" s="47">
        <f t="shared" si="8"/>
        <v>0.12223234088134992</v>
      </c>
      <c r="T53" s="88">
        <f t="shared" si="9"/>
        <v>8.6784378803394375</v>
      </c>
      <c r="U53" s="88">
        <f t="shared" si="10"/>
        <v>122.23234088134991</v>
      </c>
      <c r="V53" s="88">
        <f t="shared" si="11"/>
        <v>33.373882274779639</v>
      </c>
    </row>
    <row r="54" spans="1:22" x14ac:dyDescent="0.2">
      <c r="A54" s="80">
        <v>13</v>
      </c>
      <c r="B54" s="81">
        <v>45.306122448979501</v>
      </c>
      <c r="C54" s="82">
        <v>8.6668422454161007</v>
      </c>
      <c r="D54" s="82">
        <v>0.35937773920501498</v>
      </c>
      <c r="E54" s="75">
        <v>0.12393485215115101</v>
      </c>
      <c r="G54" s="89">
        <f t="shared" si="2"/>
        <v>8.6668422454161043</v>
      </c>
      <c r="H54" s="90">
        <f t="shared" si="3"/>
        <v>123.56754770581158</v>
      </c>
      <c r="I54" s="90">
        <f t="shared" si="12"/>
        <v>0.12356754770581158</v>
      </c>
      <c r="J54" s="90">
        <f t="shared" si="4"/>
        <v>35.937773920501463</v>
      </c>
      <c r="K54" s="90">
        <f t="shared" si="13"/>
        <v>0.35937773920501465</v>
      </c>
      <c r="L54" s="90">
        <f t="shared" si="5"/>
        <v>44.583386193575343</v>
      </c>
      <c r="M54" s="90">
        <f t="shared" si="14"/>
        <v>0.12405717252325917</v>
      </c>
      <c r="N54" s="91">
        <f t="shared" si="15"/>
        <v>0.36080173978785302</v>
      </c>
      <c r="P54" s="86">
        <f t="shared" si="6"/>
        <v>45.306122448979501</v>
      </c>
      <c r="Q54" s="47">
        <f t="shared" si="7"/>
        <v>8.6668422454161007</v>
      </c>
      <c r="R54" s="87">
        <f t="shared" si="16"/>
        <v>0.35937773920501498</v>
      </c>
      <c r="S54" s="47">
        <f t="shared" si="8"/>
        <v>0.12356754770581158</v>
      </c>
      <c r="T54" s="88">
        <f t="shared" si="9"/>
        <v>8.6668422454161043</v>
      </c>
      <c r="U54" s="88">
        <f t="shared" si="10"/>
        <v>123.56754770581158</v>
      </c>
      <c r="V54" s="88">
        <f t="shared" si="11"/>
        <v>35.937773920501463</v>
      </c>
    </row>
    <row r="55" spans="1:22" x14ac:dyDescent="0.2">
      <c r="A55" s="80">
        <v>14</v>
      </c>
      <c r="B55" s="81">
        <v>49.081632653061199</v>
      </c>
      <c r="C55" s="82">
        <v>8.6456903375138001</v>
      </c>
      <c r="D55" s="82">
        <v>0.38398113792009803</v>
      </c>
      <c r="E55" s="75">
        <v>0.125353257724063</v>
      </c>
      <c r="G55" s="89">
        <f t="shared" si="2"/>
        <v>8.645690337513809</v>
      </c>
      <c r="H55" s="90">
        <f t="shared" si="3"/>
        <v>124.9059203004408</v>
      </c>
      <c r="I55" s="90">
        <f t="shared" si="12"/>
        <v>0.1249059203004408</v>
      </c>
      <c r="J55" s="90">
        <f t="shared" si="4"/>
        <v>38.398113792009838</v>
      </c>
      <c r="K55" s="90">
        <f t="shared" si="13"/>
        <v>0.38398113792009836</v>
      </c>
      <c r="L55" s="90">
        <f t="shared" si="5"/>
        <v>48.18079280458236</v>
      </c>
      <c r="M55" s="90">
        <f t="shared" si="14"/>
        <v>0.12547697802439498</v>
      </c>
      <c r="N55" s="91">
        <f t="shared" si="15"/>
        <v>0.38573666235108256</v>
      </c>
      <c r="P55" s="86">
        <f t="shared" si="6"/>
        <v>49.081632653061199</v>
      </c>
      <c r="Q55" s="47">
        <f t="shared" si="7"/>
        <v>8.6456903375138001</v>
      </c>
      <c r="R55" s="87">
        <f t="shared" si="16"/>
        <v>0.38398113792009803</v>
      </c>
      <c r="S55" s="47">
        <f t="shared" si="8"/>
        <v>0.1249059203004408</v>
      </c>
      <c r="T55" s="88">
        <f t="shared" si="9"/>
        <v>8.645690337513809</v>
      </c>
      <c r="U55" s="88">
        <f t="shared" si="10"/>
        <v>124.9059203004408</v>
      </c>
      <c r="V55" s="88">
        <f t="shared" si="11"/>
        <v>38.398113792009838</v>
      </c>
    </row>
    <row r="56" spans="1:22" x14ac:dyDescent="0.2">
      <c r="A56" s="80">
        <v>15</v>
      </c>
      <c r="B56" s="81">
        <v>52.857142857142797</v>
      </c>
      <c r="C56" s="82">
        <v>8.6147752525887995</v>
      </c>
      <c r="D56" s="82">
        <v>0.40748500057807902</v>
      </c>
      <c r="E56" s="75">
        <v>0.126754342853757</v>
      </c>
      <c r="G56" s="89">
        <f t="shared" si="2"/>
        <v>8.6147752525888013</v>
      </c>
      <c r="H56" s="90">
        <f t="shared" si="3"/>
        <v>126.25203932304854</v>
      </c>
      <c r="I56" s="90">
        <f t="shared" si="12"/>
        <v>0.12625203932304854</v>
      </c>
      <c r="J56" s="90">
        <f t="shared" si="4"/>
        <v>40.748500057807888</v>
      </c>
      <c r="K56" s="90">
        <f t="shared" si="13"/>
        <v>0.4074850005780789</v>
      </c>
      <c r="L56" s="90">
        <f t="shared" si="5"/>
        <v>51.70147112156338</v>
      </c>
      <c r="M56" s="90">
        <f t="shared" si="14"/>
        <v>0.1268794459875015</v>
      </c>
      <c r="N56" s="91">
        <f t="shared" si="15"/>
        <v>0.40950998810618638</v>
      </c>
      <c r="P56" s="86">
        <f t="shared" si="6"/>
        <v>52.857142857142797</v>
      </c>
      <c r="Q56" s="47">
        <f t="shared" si="7"/>
        <v>8.6147752525887995</v>
      </c>
      <c r="R56" s="87">
        <f t="shared" si="16"/>
        <v>0.40748500057807902</v>
      </c>
      <c r="S56" s="47">
        <f t="shared" si="8"/>
        <v>0.12625203932304854</v>
      </c>
      <c r="T56" s="88">
        <f t="shared" si="9"/>
        <v>8.6147752525888013</v>
      </c>
      <c r="U56" s="88">
        <f t="shared" si="10"/>
        <v>126.25203932304854</v>
      </c>
      <c r="V56" s="88">
        <f t="shared" si="11"/>
        <v>40.748500057807888</v>
      </c>
    </row>
    <row r="57" spans="1:22" x14ac:dyDescent="0.2">
      <c r="A57" s="80">
        <v>16</v>
      </c>
      <c r="B57" s="81">
        <v>56.632653061224403</v>
      </c>
      <c r="C57" s="82">
        <v>8.5739820935477908</v>
      </c>
      <c r="D57" s="82">
        <v>0.42982479969995802</v>
      </c>
      <c r="E57" s="75">
        <v>0.12814003828857301</v>
      </c>
      <c r="G57" s="89">
        <f t="shared" si="2"/>
        <v>8.5739820935477979</v>
      </c>
      <c r="H57" s="90">
        <f t="shared" si="3"/>
        <v>127.61017972254541</v>
      </c>
      <c r="I57" s="90">
        <f t="shared" si="12"/>
        <v>0.1276101797225454</v>
      </c>
      <c r="J57" s="90">
        <f t="shared" si="4"/>
        <v>42.982479969995815</v>
      </c>
      <c r="K57" s="90">
        <f t="shared" si="13"/>
        <v>0.42982479969995813</v>
      </c>
      <c r="L57" s="90">
        <f t="shared" si="5"/>
        <v>55.132126567726708</v>
      </c>
      <c r="M57" s="90">
        <f t="shared" si="14"/>
        <v>0.12826650906651274</v>
      </c>
      <c r="N57" s="91">
        <f t="shared" si="15"/>
        <v>0.4320354903315467</v>
      </c>
      <c r="P57" s="86">
        <f t="shared" si="6"/>
        <v>56.632653061224403</v>
      </c>
      <c r="Q57" s="47">
        <f t="shared" si="7"/>
        <v>8.5739820935477908</v>
      </c>
      <c r="R57" s="87">
        <f t="shared" si="16"/>
        <v>0.42982479969995802</v>
      </c>
      <c r="S57" s="47">
        <f t="shared" si="8"/>
        <v>0.1276101797225454</v>
      </c>
      <c r="T57" s="88">
        <f t="shared" si="9"/>
        <v>8.5739820935477979</v>
      </c>
      <c r="U57" s="88">
        <f t="shared" si="10"/>
        <v>127.61017972254541</v>
      </c>
      <c r="V57" s="88">
        <f t="shared" si="11"/>
        <v>42.982479969995815</v>
      </c>
    </row>
    <row r="58" spans="1:22" x14ac:dyDescent="0.2">
      <c r="A58" s="80">
        <v>17</v>
      </c>
      <c r="B58" s="81">
        <v>60.408163265306101</v>
      </c>
      <c r="C58" s="82">
        <v>8.5232688448409295</v>
      </c>
      <c r="D58" s="82">
        <v>0.45093549864270599</v>
      </c>
      <c r="E58" s="75">
        <v>0.12951325916718601</v>
      </c>
      <c r="G58" s="89">
        <f t="shared" si="2"/>
        <v>8.5232688448409331</v>
      </c>
      <c r="H58" s="90">
        <f t="shared" si="3"/>
        <v>128.98431073894153</v>
      </c>
      <c r="I58" s="90">
        <f t="shared" si="12"/>
        <v>0.12898431073894154</v>
      </c>
      <c r="J58" s="90">
        <f t="shared" si="4"/>
        <v>45.09354986427067</v>
      </c>
      <c r="K58" s="90">
        <f t="shared" si="13"/>
        <v>0.45093549864270671</v>
      </c>
      <c r="L58" s="90">
        <f t="shared" si="5"/>
        <v>58.459767434087524</v>
      </c>
      <c r="M58" s="90">
        <f t="shared" si="14"/>
        <v>0.12964108527727025</v>
      </c>
      <c r="N58" s="91">
        <f t="shared" si="15"/>
        <v>0.45323161475357632</v>
      </c>
      <c r="P58" s="86">
        <f t="shared" si="6"/>
        <v>60.408163265306101</v>
      </c>
      <c r="Q58" s="47">
        <f t="shared" si="7"/>
        <v>8.5232688448409295</v>
      </c>
      <c r="R58" s="87">
        <f t="shared" si="16"/>
        <v>0.45093549864270599</v>
      </c>
      <c r="S58" s="47">
        <f t="shared" si="8"/>
        <v>0.12898431073894154</v>
      </c>
      <c r="T58" s="88">
        <f t="shared" si="9"/>
        <v>8.5232688448409331</v>
      </c>
      <c r="U58" s="88">
        <f t="shared" si="10"/>
        <v>128.98431073894153</v>
      </c>
      <c r="V58" s="88">
        <f t="shared" si="11"/>
        <v>45.09354986427067</v>
      </c>
    </row>
    <row r="59" spans="1:22" x14ac:dyDescent="0.2">
      <c r="A59" s="80">
        <v>18</v>
      </c>
      <c r="B59" s="81">
        <v>64.183673469387699</v>
      </c>
      <c r="C59" s="82">
        <v>8.4626483405405093</v>
      </c>
      <c r="D59" s="82">
        <v>0.47075155159926202</v>
      </c>
      <c r="E59" s="75">
        <v>0.13087778712603301</v>
      </c>
      <c r="G59" s="89">
        <f t="shared" si="2"/>
        <v>8.4626483405405146</v>
      </c>
      <c r="H59" s="90">
        <f t="shared" si="3"/>
        <v>130.37809590334655</v>
      </c>
      <c r="I59" s="90">
        <f t="shared" si="12"/>
        <v>0.13037809590334654</v>
      </c>
      <c r="J59" s="90">
        <f t="shared" si="4"/>
        <v>47.075155159926268</v>
      </c>
      <c r="K59" s="90">
        <f t="shared" si="13"/>
        <v>0.47075155159926269</v>
      </c>
      <c r="L59" s="90">
        <f t="shared" si="5"/>
        <v>61.671729684927442</v>
      </c>
      <c r="M59" s="90">
        <f t="shared" si="14"/>
        <v>0.13100695998858189</v>
      </c>
      <c r="N59" s="91">
        <f t="shared" si="15"/>
        <v>0.47302216877478154</v>
      </c>
      <c r="P59" s="86">
        <f t="shared" si="6"/>
        <v>64.183673469387699</v>
      </c>
      <c r="Q59" s="47">
        <f t="shared" si="7"/>
        <v>8.4626483405405093</v>
      </c>
      <c r="R59" s="87">
        <f t="shared" si="16"/>
        <v>0.47075155159926202</v>
      </c>
      <c r="S59" s="47">
        <f t="shared" si="8"/>
        <v>0.13037809590334654</v>
      </c>
      <c r="T59" s="88">
        <f t="shared" si="9"/>
        <v>8.4626483405405146</v>
      </c>
      <c r="U59" s="88">
        <f t="shared" si="10"/>
        <v>130.37809590334655</v>
      </c>
      <c r="V59" s="88">
        <f t="shared" si="11"/>
        <v>47.075155159926268</v>
      </c>
    </row>
    <row r="60" spans="1:22" x14ac:dyDescent="0.2">
      <c r="A60" s="80">
        <v>19</v>
      </c>
      <c r="B60" s="81">
        <v>67.959183673469298</v>
      </c>
      <c r="C60" s="82">
        <v>8.3921713259054798</v>
      </c>
      <c r="D60" s="82">
        <v>0.48920690359853403</v>
      </c>
      <c r="E60" s="75">
        <v>0.13223814762449199</v>
      </c>
      <c r="G60" s="89">
        <f t="shared" si="2"/>
        <v>8.3921713259054833</v>
      </c>
      <c r="H60" s="90">
        <f t="shared" si="3"/>
        <v>131.79489303796962</v>
      </c>
      <c r="I60" s="90">
        <f t="shared" si="12"/>
        <v>0.13179489303796962</v>
      </c>
      <c r="J60" s="90">
        <f t="shared" si="4"/>
        <v>48.920690359853424</v>
      </c>
      <c r="K60" s="90">
        <f t="shared" si="13"/>
        <v>0.48920690359853425</v>
      </c>
      <c r="L60" s="90">
        <f t="shared" si="5"/>
        <v>64.755663821511646</v>
      </c>
      <c r="M60" s="90">
        <f t="shared" si="14"/>
        <v>0.13236866312633463</v>
      </c>
      <c r="N60" s="91">
        <f t="shared" si="15"/>
        <v>0.4913366696451264</v>
      </c>
      <c r="P60" s="86">
        <f t="shared" si="6"/>
        <v>67.959183673469298</v>
      </c>
      <c r="Q60" s="47">
        <f t="shared" si="7"/>
        <v>8.3921713259054798</v>
      </c>
      <c r="R60" s="87">
        <f t="shared" si="16"/>
        <v>0.48920690359853403</v>
      </c>
      <c r="S60" s="47">
        <f t="shared" si="8"/>
        <v>0.13179489303796962</v>
      </c>
      <c r="T60" s="88">
        <f t="shared" si="9"/>
        <v>8.3921713259054833</v>
      </c>
      <c r="U60" s="88">
        <f t="shared" si="10"/>
        <v>131.79489303796962</v>
      </c>
      <c r="V60" s="88">
        <f t="shared" si="11"/>
        <v>48.920690359853424</v>
      </c>
    </row>
    <row r="61" spans="1:22" x14ac:dyDescent="0.2">
      <c r="A61" s="80">
        <v>20</v>
      </c>
      <c r="B61" s="81">
        <v>71.734693877550995</v>
      </c>
      <c r="C61" s="82">
        <v>8.31191061243163</v>
      </c>
      <c r="D61" s="82">
        <v>0.506234990505398</v>
      </c>
      <c r="E61" s="75">
        <v>0.13359948770736699</v>
      </c>
      <c r="G61" s="89">
        <f t="shared" si="2"/>
        <v>8.3119106124316335</v>
      </c>
      <c r="H61" s="90">
        <f t="shared" si="3"/>
        <v>133.23775425611944</v>
      </c>
      <c r="I61" s="90">
        <f t="shared" si="12"/>
        <v>0.13323775425611945</v>
      </c>
      <c r="J61" s="90">
        <f t="shared" si="4"/>
        <v>50.623499050539849</v>
      </c>
      <c r="K61" s="90">
        <f t="shared" si="13"/>
        <v>0.50623499050539844</v>
      </c>
      <c r="L61" s="90">
        <f t="shared" si="5"/>
        <v>67.699487085331441</v>
      </c>
      <c r="M61" s="90">
        <f t="shared" si="14"/>
        <v>0.13373134681532747</v>
      </c>
      <c r="N61" s="91">
        <f t="shared" si="15"/>
        <v>0.50811038855544266</v>
      </c>
      <c r="P61" s="86">
        <f t="shared" si="6"/>
        <v>71.734693877550995</v>
      </c>
      <c r="Q61" s="47">
        <f t="shared" si="7"/>
        <v>8.31191061243163</v>
      </c>
      <c r="R61" s="87">
        <f t="shared" si="16"/>
        <v>0.506234990505398</v>
      </c>
      <c r="S61" s="47">
        <f t="shared" si="8"/>
        <v>0.13323775425611945</v>
      </c>
      <c r="T61" s="88">
        <f t="shared" si="9"/>
        <v>8.3119106124316335</v>
      </c>
      <c r="U61" s="88">
        <f t="shared" si="10"/>
        <v>133.23775425611944</v>
      </c>
      <c r="V61" s="88">
        <f t="shared" si="11"/>
        <v>50.623499050539849</v>
      </c>
    </row>
    <row r="62" spans="1:22" x14ac:dyDescent="0.2">
      <c r="A62" s="80">
        <v>21</v>
      </c>
      <c r="B62" s="81">
        <v>75.510204081632594</v>
      </c>
      <c r="C62" s="82">
        <v>8.22194632638762</v>
      </c>
      <c r="D62" s="82">
        <v>0.52176873902069998</v>
      </c>
      <c r="E62" s="75">
        <v>0.13496745701610399</v>
      </c>
      <c r="G62" s="89">
        <f t="shared" si="2"/>
        <v>8.2219463263876325</v>
      </c>
      <c r="H62" s="90">
        <f t="shared" si="3"/>
        <v>134.70942596220425</v>
      </c>
      <c r="I62" s="90">
        <f t="shared" si="12"/>
        <v>0.13470942596220425</v>
      </c>
      <c r="J62" s="90">
        <f t="shared" si="4"/>
        <v>52.176873902070021</v>
      </c>
      <c r="K62" s="90">
        <f t="shared" si="13"/>
        <v>0.5217687390207002</v>
      </c>
      <c r="L62" s="90">
        <f t="shared" si="5"/>
        <v>70.491304282145506</v>
      </c>
      <c r="M62" s="90">
        <f t="shared" si="14"/>
        <v>0.13510066627304954</v>
      </c>
      <c r="N62" s="91">
        <f t="shared" si="15"/>
        <v>0.5232841263975353</v>
      </c>
      <c r="P62" s="86">
        <f t="shared" si="6"/>
        <v>75.510204081632594</v>
      </c>
      <c r="Q62" s="47">
        <f t="shared" si="7"/>
        <v>8.22194632638762</v>
      </c>
      <c r="R62" s="87">
        <f t="shared" si="16"/>
        <v>0.52176873902069998</v>
      </c>
      <c r="S62" s="47">
        <f t="shared" si="8"/>
        <v>0.13470942596220425</v>
      </c>
      <c r="T62" s="88">
        <f t="shared" si="9"/>
        <v>8.2219463263876325</v>
      </c>
      <c r="U62" s="88">
        <f t="shared" si="10"/>
        <v>134.70942596220425</v>
      </c>
      <c r="V62" s="88">
        <f t="shared" si="11"/>
        <v>52.176873902070021</v>
      </c>
    </row>
    <row r="63" spans="1:22" x14ac:dyDescent="0.2">
      <c r="A63" s="80">
        <v>22</v>
      </c>
      <c r="B63" s="81">
        <v>79.285714285714207</v>
      </c>
      <c r="C63" s="82">
        <v>8.1223522508367001</v>
      </c>
      <c r="D63" s="82">
        <v>0.53574056668125403</v>
      </c>
      <c r="E63" s="75">
        <v>0.13634809350035501</v>
      </c>
      <c r="G63" s="89">
        <f t="shared" si="2"/>
        <v>8.1223522508367054</v>
      </c>
      <c r="H63" s="90">
        <f t="shared" si="3"/>
        <v>136.21234885173183</v>
      </c>
      <c r="I63" s="90">
        <f t="shared" si="12"/>
        <v>0.13621234885173183</v>
      </c>
      <c r="J63" s="90">
        <f t="shared" si="4"/>
        <v>53.574056668125408</v>
      </c>
      <c r="K63" s="90">
        <f t="shared" si="13"/>
        <v>0.53574056668125403</v>
      </c>
      <c r="L63" s="90">
        <f t="shared" si="5"/>
        <v>73.119300508090134</v>
      </c>
      <c r="M63" s="90">
        <f t="shared" si="14"/>
        <v>0.13648266540844842</v>
      </c>
      <c r="N63" s="91">
        <f t="shared" si="15"/>
        <v>0.53680375622683851</v>
      </c>
      <c r="P63" s="86">
        <f t="shared" si="6"/>
        <v>79.285714285714207</v>
      </c>
      <c r="Q63" s="47">
        <f t="shared" si="7"/>
        <v>8.1223522508367001</v>
      </c>
      <c r="R63" s="87">
        <f t="shared" si="16"/>
        <v>0.53574056668125403</v>
      </c>
      <c r="S63" s="47">
        <f t="shared" si="8"/>
        <v>0.13621234885173183</v>
      </c>
      <c r="T63" s="88">
        <f t="shared" si="9"/>
        <v>8.1223522508367054</v>
      </c>
      <c r="U63" s="88">
        <f t="shared" si="10"/>
        <v>136.21234885173183</v>
      </c>
      <c r="V63" s="88">
        <f t="shared" si="11"/>
        <v>53.574056668125408</v>
      </c>
    </row>
    <row r="64" spans="1:22" x14ac:dyDescent="0.2">
      <c r="A64" s="80">
        <v>23</v>
      </c>
      <c r="B64" s="81">
        <v>83.061224489795904</v>
      </c>
      <c r="C64" s="82">
        <v>8.0131832611441496</v>
      </c>
      <c r="D64" s="82">
        <v>0.54808238185984304</v>
      </c>
      <c r="E64" s="75">
        <v>0.137747714488479</v>
      </c>
      <c r="G64" s="89">
        <f t="shared" si="2"/>
        <v>8.0131832611441549</v>
      </c>
      <c r="H64" s="90">
        <f t="shared" si="3"/>
        <v>137.74865791130955</v>
      </c>
      <c r="I64" s="90">
        <f t="shared" si="12"/>
        <v>0.13774865791130955</v>
      </c>
      <c r="J64" s="90">
        <f t="shared" si="4"/>
        <v>54.808238185984372</v>
      </c>
      <c r="K64" s="90">
        <f t="shared" si="13"/>
        <v>0.5480823818598437</v>
      </c>
      <c r="L64" s="90">
        <f t="shared" si="5"/>
        <v>75.571609059127951</v>
      </c>
      <c r="M64" s="90">
        <f t="shared" si="14"/>
        <v>0.13788366778491562</v>
      </c>
      <c r="N64" s="91">
        <f t="shared" si="15"/>
        <v>0.54861956700721737</v>
      </c>
      <c r="P64" s="86">
        <f t="shared" si="6"/>
        <v>83.06122448979589</v>
      </c>
      <c r="Q64" s="47">
        <f t="shared" si="7"/>
        <v>8.0131832611441496</v>
      </c>
      <c r="R64" s="87">
        <f t="shared" si="16"/>
        <v>0.54808238185984304</v>
      </c>
      <c r="S64" s="47">
        <f t="shared" si="8"/>
        <v>0.13774865791130955</v>
      </c>
      <c r="T64" s="88">
        <f t="shared" si="9"/>
        <v>8.0131832611441567</v>
      </c>
      <c r="U64" s="88">
        <f t="shared" si="10"/>
        <v>137.74865791130952</v>
      </c>
      <c r="V64" s="88">
        <f t="shared" si="11"/>
        <v>54.808238185984365</v>
      </c>
    </row>
    <row r="65" spans="1:22" x14ac:dyDescent="0.2">
      <c r="A65" s="80">
        <v>24</v>
      </c>
      <c r="B65" s="81">
        <v>86.836734693877503</v>
      </c>
      <c r="C65" s="82">
        <v>7.8944638539706</v>
      </c>
      <c r="D65" s="82">
        <v>0.55872558376521997</v>
      </c>
      <c r="E65" s="75">
        <v>0.13917281329681699</v>
      </c>
      <c r="G65" s="89">
        <f t="shared" si="2"/>
        <v>7.8944638539706036</v>
      </c>
      <c r="H65" s="90">
        <f t="shared" si="3"/>
        <v>139.32018241864409</v>
      </c>
      <c r="I65" s="90">
        <f t="shared" si="12"/>
        <v>0.13932018241864411</v>
      </c>
      <c r="J65" s="90">
        <f t="shared" si="4"/>
        <v>55.872558376522043</v>
      </c>
      <c r="K65" s="90">
        <f t="shared" si="13"/>
        <v>0.55872558376522041</v>
      </c>
      <c r="L65" s="90">
        <f t="shared" si="5"/>
        <v>77.836157805108272</v>
      </c>
      <c r="M65" s="90">
        <f t="shared" si="14"/>
        <v>0.13931017312752134</v>
      </c>
      <c r="N65" s="91">
        <f t="shared" si="15"/>
        <v>0.55868544279692312</v>
      </c>
      <c r="P65" s="86">
        <f t="shared" si="6"/>
        <v>86.836734693877503</v>
      </c>
      <c r="Q65" s="47">
        <f t="shared" si="7"/>
        <v>7.8944638539706</v>
      </c>
      <c r="R65" s="87">
        <f t="shared" si="16"/>
        <v>0.55872558376521997</v>
      </c>
      <c r="S65" s="47">
        <f t="shared" si="8"/>
        <v>0.13932018241864411</v>
      </c>
      <c r="T65" s="88">
        <f t="shared" si="9"/>
        <v>7.8944638539706036</v>
      </c>
      <c r="U65" s="88">
        <f t="shared" si="10"/>
        <v>139.32018241864409</v>
      </c>
      <c r="V65" s="88">
        <f t="shared" si="11"/>
        <v>55.872558376522043</v>
      </c>
    </row>
    <row r="66" spans="1:22" x14ac:dyDescent="0.2">
      <c r="A66" s="80">
        <v>25</v>
      </c>
      <c r="B66" s="81">
        <v>90.612244897959101</v>
      </c>
      <c r="C66" s="82">
        <v>7.7661777697509304</v>
      </c>
      <c r="D66" s="82">
        <v>0.56760106244210495</v>
      </c>
      <c r="E66" s="75">
        <v>0.14062996125470101</v>
      </c>
      <c r="G66" s="89">
        <f t="shared" si="2"/>
        <v>7.7661777697509429</v>
      </c>
      <c r="H66" s="90">
        <f t="shared" si="3"/>
        <v>140.928445942542</v>
      </c>
      <c r="I66" s="90">
        <f t="shared" si="12"/>
        <v>0.140928445942542</v>
      </c>
      <c r="J66" s="90">
        <f t="shared" si="4"/>
        <v>56.760106244210547</v>
      </c>
      <c r="K66" s="90">
        <f t="shared" si="13"/>
        <v>0.56760106244210551</v>
      </c>
      <c r="L66" s="90">
        <f t="shared" si="5"/>
        <v>79.900497309707845</v>
      </c>
      <c r="M66" s="90">
        <f t="shared" si="14"/>
        <v>0.1407687592513229</v>
      </c>
      <c r="N66" s="91">
        <f t="shared" si="15"/>
        <v>0.56695791098330928</v>
      </c>
      <c r="P66" s="86">
        <f t="shared" si="6"/>
        <v>90.612244897959101</v>
      </c>
      <c r="Q66" s="47">
        <f t="shared" si="7"/>
        <v>7.7661777697509304</v>
      </c>
      <c r="R66" s="87">
        <f t="shared" si="16"/>
        <v>0.56760106244210495</v>
      </c>
      <c r="S66" s="47">
        <f t="shared" si="8"/>
        <v>0.140928445942542</v>
      </c>
      <c r="T66" s="88">
        <f t="shared" si="9"/>
        <v>7.7661777697509429</v>
      </c>
      <c r="U66" s="88">
        <f t="shared" si="10"/>
        <v>140.928445942542</v>
      </c>
      <c r="V66" s="88">
        <f t="shared" si="11"/>
        <v>56.760106244210547</v>
      </c>
    </row>
    <row r="67" spans="1:22" x14ac:dyDescent="0.2">
      <c r="A67" s="80">
        <v>26</v>
      </c>
      <c r="B67" s="81">
        <v>94.387755102040799</v>
      </c>
      <c r="C67" s="82">
        <v>7.6282587086591098</v>
      </c>
      <c r="D67" s="82">
        <v>0.57463919877118796</v>
      </c>
      <c r="E67" s="75">
        <v>0.14212571481512001</v>
      </c>
      <c r="G67" s="89">
        <f t="shared" si="2"/>
        <v>7.6282587086591098</v>
      </c>
      <c r="H67" s="90">
        <f t="shared" si="3"/>
        <v>142.57466634290907</v>
      </c>
      <c r="I67" s="90">
        <f t="shared" si="12"/>
        <v>0.14257466634290908</v>
      </c>
      <c r="J67" s="90">
        <f t="shared" si="4"/>
        <v>57.463919877118855</v>
      </c>
      <c r="K67" s="90">
        <f t="shared" si="13"/>
        <v>0.57463919877118852</v>
      </c>
      <c r="L67" s="90">
        <f t="shared" si="5"/>
        <v>81.75161397752494</v>
      </c>
      <c r="M67" s="90">
        <f t="shared" si="14"/>
        <v>0.14226598908035343</v>
      </c>
      <c r="N67" s="91">
        <f t="shared" si="15"/>
        <v>0.57339509237147757</v>
      </c>
      <c r="P67" s="86">
        <f t="shared" si="6"/>
        <v>94.387755102040785</v>
      </c>
      <c r="Q67" s="47">
        <f t="shared" si="7"/>
        <v>7.6282587086591098</v>
      </c>
      <c r="R67" s="87">
        <f t="shared" si="16"/>
        <v>0.57463919877118796</v>
      </c>
      <c r="S67" s="47">
        <f t="shared" si="8"/>
        <v>0.14257466634290908</v>
      </c>
      <c r="T67" s="88">
        <f t="shared" si="9"/>
        <v>7.6282587086591107</v>
      </c>
      <c r="U67" s="88">
        <f t="shared" si="10"/>
        <v>142.57466634290907</v>
      </c>
      <c r="V67" s="88">
        <f t="shared" si="11"/>
        <v>57.463919877118848</v>
      </c>
    </row>
    <row r="68" spans="1:22" x14ac:dyDescent="0.2">
      <c r="A68" s="80">
        <v>27</v>
      </c>
      <c r="B68" s="81">
        <v>98.163265306122398</v>
      </c>
      <c r="C68" s="82">
        <v>7.4805821400585701</v>
      </c>
      <c r="D68" s="82">
        <v>0.57976986446912704</v>
      </c>
      <c r="E68" s="75">
        <v>0.143666527260078</v>
      </c>
      <c r="G68" s="89">
        <f t="shared" si="2"/>
        <v>7.4805821400585799</v>
      </c>
      <c r="H68" s="90">
        <f t="shared" si="3"/>
        <v>144.25975577075076</v>
      </c>
      <c r="I68" s="90">
        <f t="shared" si="12"/>
        <v>0.14425975577075076</v>
      </c>
      <c r="J68" s="90">
        <f t="shared" si="4"/>
        <v>57.97698644691279</v>
      </c>
      <c r="K68" s="90">
        <f t="shared" si="13"/>
        <v>0.57976986446912793</v>
      </c>
      <c r="L68" s="90">
        <f t="shared" si="5"/>
        <v>83.37573150959409</v>
      </c>
      <c r="M68" s="90">
        <f t="shared" si="14"/>
        <v>0.14380832226583201</v>
      </c>
      <c r="N68" s="91">
        <f t="shared" si="15"/>
        <v>0.57795558480003228</v>
      </c>
      <c r="P68" s="86">
        <f t="shared" si="6"/>
        <v>98.163265306122398</v>
      </c>
      <c r="Q68" s="47">
        <f t="shared" si="7"/>
        <v>7.4805821400585701</v>
      </c>
      <c r="R68" s="87">
        <f t="shared" si="16"/>
        <v>0.57976986446912704</v>
      </c>
      <c r="S68" s="47">
        <f t="shared" si="8"/>
        <v>0.14425975577075076</v>
      </c>
      <c r="T68" s="88">
        <f t="shared" si="9"/>
        <v>7.4805821400585799</v>
      </c>
      <c r="U68" s="88">
        <f t="shared" si="10"/>
        <v>144.25975577075076</v>
      </c>
      <c r="V68" s="88">
        <f t="shared" si="11"/>
        <v>57.97698644691279</v>
      </c>
    </row>
    <row r="69" spans="1:22" x14ac:dyDescent="0.2">
      <c r="A69" s="80">
        <v>28</v>
      </c>
      <c r="B69" s="81">
        <v>101.938775510204</v>
      </c>
      <c r="C69" s="82">
        <v>7.3229582054385798</v>
      </c>
      <c r="D69" s="82">
        <v>0.58292242208855105</v>
      </c>
      <c r="E69" s="75">
        <v>0.145258664360044</v>
      </c>
      <c r="G69" s="89">
        <f t="shared" si="2"/>
        <v>7.3229582054385842</v>
      </c>
      <c r="H69" s="90">
        <f t="shared" si="3"/>
        <v>145.98432066817199</v>
      </c>
      <c r="I69" s="90">
        <f t="shared" si="12"/>
        <v>0.14598432066817199</v>
      </c>
      <c r="J69" s="90">
        <f t="shared" si="4"/>
        <v>58.292242208855114</v>
      </c>
      <c r="K69" s="90">
        <f t="shared" si="13"/>
        <v>0.58292242208855116</v>
      </c>
      <c r="L69" s="90">
        <f t="shared" si="5"/>
        <v>84.758103948598205</v>
      </c>
      <c r="M69" s="90">
        <f t="shared" si="14"/>
        <v>0.14540203076237596</v>
      </c>
      <c r="N69" s="91">
        <f t="shared" si="15"/>
        <v>0.58059731045539231</v>
      </c>
      <c r="P69" s="86">
        <f t="shared" si="6"/>
        <v>101.938775510204</v>
      </c>
      <c r="Q69" s="47">
        <f t="shared" si="7"/>
        <v>7.3229582054385798</v>
      </c>
      <c r="R69" s="87">
        <f t="shared" si="16"/>
        <v>0.58292242208855105</v>
      </c>
      <c r="S69" s="47">
        <f t="shared" si="8"/>
        <v>0.14598432066817199</v>
      </c>
      <c r="T69" s="88">
        <f t="shared" si="9"/>
        <v>7.3229582054385842</v>
      </c>
      <c r="U69" s="88">
        <f t="shared" si="10"/>
        <v>145.98432066817199</v>
      </c>
      <c r="V69" s="88">
        <f t="shared" si="11"/>
        <v>58.292242208855114</v>
      </c>
    </row>
    <row r="70" spans="1:22" x14ac:dyDescent="0.2">
      <c r="A70" s="80">
        <v>29</v>
      </c>
      <c r="B70" s="81">
        <v>105.714285714285</v>
      </c>
      <c r="C70" s="82">
        <v>7.1551257148361298</v>
      </c>
      <c r="D70" s="82">
        <v>0.58402572501805405</v>
      </c>
      <c r="E70" s="75">
        <v>0.14690812317906801</v>
      </c>
      <c r="G70" s="89">
        <f t="shared" si="2"/>
        <v>7.1551257148361671</v>
      </c>
      <c r="H70" s="90">
        <f t="shared" si="3"/>
        <v>147.74866176837702</v>
      </c>
      <c r="I70" s="90">
        <f t="shared" si="12"/>
        <v>0.14774866176837703</v>
      </c>
      <c r="J70" s="90">
        <f t="shared" si="4"/>
        <v>58.402572501805452</v>
      </c>
      <c r="K70" s="90">
        <f t="shared" si="13"/>
        <v>0.5840257250180545</v>
      </c>
      <c r="L70" s="90">
        <f t="shared" si="5"/>
        <v>85.882803595041423</v>
      </c>
      <c r="M70" s="90">
        <f t="shared" si="14"/>
        <v>0.14705311755297501</v>
      </c>
      <c r="N70" s="91">
        <f t="shared" si="15"/>
        <v>0.58127635517726983</v>
      </c>
      <c r="P70" s="86">
        <f t="shared" si="6"/>
        <v>105.714285714285</v>
      </c>
      <c r="Q70" s="47">
        <f t="shared" si="7"/>
        <v>7.1551257148361298</v>
      </c>
      <c r="R70" s="87">
        <f t="shared" si="16"/>
        <v>0.58402572501805405</v>
      </c>
      <c r="S70" s="47">
        <f t="shared" si="8"/>
        <v>0.14774866176837703</v>
      </c>
      <c r="T70" s="88">
        <f t="shared" si="9"/>
        <v>7.1551257148361671</v>
      </c>
      <c r="U70" s="88">
        <f t="shared" si="10"/>
        <v>147.74866176837702</v>
      </c>
      <c r="V70" s="88">
        <f t="shared" si="11"/>
        <v>58.402572501805452</v>
      </c>
    </row>
    <row r="71" spans="1:22" x14ac:dyDescent="0.2">
      <c r="A71" s="80">
        <v>30</v>
      </c>
      <c r="B71" s="81">
        <v>109.48979591836699</v>
      </c>
      <c r="C71" s="82">
        <v>6.9767472367437504</v>
      </c>
      <c r="D71" s="82">
        <v>0.58300811748220305</v>
      </c>
      <c r="E71" s="75">
        <v>0.148620552999987</v>
      </c>
      <c r="G71" s="89">
        <f t="shared" si="2"/>
        <v>6.9767472367437691</v>
      </c>
      <c r="H71" s="90">
        <f t="shared" si="3"/>
        <v>149.55277409567057</v>
      </c>
      <c r="I71" s="90">
        <f t="shared" si="12"/>
        <v>0.14955277409567058</v>
      </c>
      <c r="J71" s="90">
        <f t="shared" si="4"/>
        <v>58.300811748220333</v>
      </c>
      <c r="K71" s="90">
        <f t="shared" si="13"/>
        <v>0.58300811748220338</v>
      </c>
      <c r="L71" s="90">
        <f t="shared" si="5"/>
        <v>86.73250707566288</v>
      </c>
      <c r="M71" s="90">
        <f t="shared" si="14"/>
        <v>0.14876723749615792</v>
      </c>
      <c r="N71" s="91">
        <f t="shared" si="15"/>
        <v>0.57994582581383036</v>
      </c>
      <c r="P71" s="86">
        <f t="shared" si="6"/>
        <v>109.48979591836699</v>
      </c>
      <c r="Q71" s="47">
        <f t="shared" si="7"/>
        <v>6.9767472367437504</v>
      </c>
      <c r="R71" s="87">
        <f t="shared" si="16"/>
        <v>0.58300811748220305</v>
      </c>
      <c r="S71" s="47">
        <f t="shared" si="8"/>
        <v>0.14955277409567058</v>
      </c>
      <c r="T71" s="88">
        <f t="shared" si="9"/>
        <v>6.9767472367437691</v>
      </c>
      <c r="U71" s="88">
        <f t="shared" si="10"/>
        <v>149.55277409567057</v>
      </c>
      <c r="V71" s="88">
        <f t="shared" si="11"/>
        <v>58.300811748220333</v>
      </c>
    </row>
    <row r="72" spans="1:22" x14ac:dyDescent="0.2">
      <c r="A72" s="80">
        <v>31</v>
      </c>
      <c r="B72" s="81">
        <v>113.265306122448</v>
      </c>
      <c r="C72" s="82">
        <v>6.7874052815029797</v>
      </c>
      <c r="D72" s="82">
        <v>0.57979743454152999</v>
      </c>
      <c r="E72" s="75">
        <v>0.15040117703766301</v>
      </c>
      <c r="G72" s="89">
        <f t="shared" si="2"/>
        <v>6.7874052815030321</v>
      </c>
      <c r="H72" s="90">
        <f t="shared" si="3"/>
        <v>151.39634696545539</v>
      </c>
      <c r="I72" s="90">
        <f t="shared" si="12"/>
        <v>0.1513963469654554</v>
      </c>
      <c r="J72" s="90">
        <f t="shared" si="4"/>
        <v>57.979743454153187</v>
      </c>
      <c r="K72" s="90">
        <f t="shared" si="13"/>
        <v>0.57979743454153188</v>
      </c>
      <c r="L72" s="90">
        <f t="shared" si="5"/>
        <v>87.288282845348462</v>
      </c>
      <c r="M72" s="90">
        <f t="shared" si="14"/>
        <v>0.15054961896195809</v>
      </c>
      <c r="N72" s="91">
        <f t="shared" si="15"/>
        <v>0.5765547491397881</v>
      </c>
      <c r="P72" s="86">
        <f t="shared" si="6"/>
        <v>113.265306122448</v>
      </c>
      <c r="Q72" s="47">
        <f t="shared" si="7"/>
        <v>6.7874052815029797</v>
      </c>
      <c r="R72" s="87">
        <f t="shared" si="16"/>
        <v>0.57979743454152999</v>
      </c>
      <c r="S72" s="47">
        <f t="shared" si="8"/>
        <v>0.1513963469654554</v>
      </c>
      <c r="T72" s="88">
        <f t="shared" si="9"/>
        <v>6.7874052815030321</v>
      </c>
      <c r="U72" s="88">
        <f t="shared" si="10"/>
        <v>151.39634696545539</v>
      </c>
      <c r="V72" s="88">
        <f t="shared" si="11"/>
        <v>57.979743454153187</v>
      </c>
    </row>
    <row r="73" spans="1:22" x14ac:dyDescent="0.2">
      <c r="A73" s="80">
        <v>32</v>
      </c>
      <c r="B73" s="81">
        <v>117.04081632653001</v>
      </c>
      <c r="C73" s="82">
        <v>6.5865995781836304</v>
      </c>
      <c r="D73" s="82">
        <v>0.57432100209254</v>
      </c>
      <c r="E73" s="75">
        <v>0.152254713153788</v>
      </c>
      <c r="G73" s="89">
        <f t="shared" si="2"/>
        <v>6.5865995781836659</v>
      </c>
      <c r="H73" s="90">
        <f t="shared" si="3"/>
        <v>153.27876398423541</v>
      </c>
      <c r="I73" s="90">
        <f t="shared" si="12"/>
        <v>0.1532787639842354</v>
      </c>
      <c r="J73" s="90">
        <f t="shared" si="4"/>
        <v>57.432100209254131</v>
      </c>
      <c r="K73" s="90">
        <f t="shared" si="13"/>
        <v>0.57432100209254133</v>
      </c>
      <c r="L73" s="90">
        <f t="shared" si="5"/>
        <v>87.529383403831616</v>
      </c>
      <c r="M73" s="90">
        <f t="shared" si="14"/>
        <v>0.152404984468473</v>
      </c>
      <c r="N73" s="91">
        <f t="shared" si="15"/>
        <v>0.57104703305693372</v>
      </c>
      <c r="P73" s="86">
        <f t="shared" si="6"/>
        <v>117.04081632653001</v>
      </c>
      <c r="Q73" s="47">
        <f t="shared" si="7"/>
        <v>6.5865995781836304</v>
      </c>
      <c r="R73" s="87">
        <f t="shared" si="16"/>
        <v>0.57432100209254</v>
      </c>
      <c r="S73" s="47">
        <f t="shared" si="8"/>
        <v>0.1532787639842354</v>
      </c>
      <c r="T73" s="88">
        <f t="shared" si="9"/>
        <v>6.5865995781836659</v>
      </c>
      <c r="U73" s="88">
        <f t="shared" si="10"/>
        <v>153.27876398423541</v>
      </c>
      <c r="V73" s="88">
        <f t="shared" si="11"/>
        <v>57.432100209254131</v>
      </c>
    </row>
    <row r="74" spans="1:22" x14ac:dyDescent="0.2">
      <c r="A74" s="80">
        <v>33</v>
      </c>
      <c r="B74" s="81">
        <v>120.816326530612</v>
      </c>
      <c r="C74" s="82">
        <v>6.3737454449487796</v>
      </c>
      <c r="D74" s="82">
        <v>0.56650563686770194</v>
      </c>
      <c r="E74" s="75">
        <v>0.15418529109174001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6.3737454449487956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155.1991030496128</v>
      </c>
      <c r="I74" s="90">
        <f t="shared" si="12"/>
        <v>0.15519910304961279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56.650563686770347</v>
      </c>
      <c r="K74" s="90">
        <f t="shared" si="13"/>
        <v>0.5665056368677035</v>
      </c>
      <c r="L74" s="90">
        <f t="shared" ref="L74:L91" si="20">Подача_пласт_м3_сут*Напор_м*9.81*1000/86400</f>
        <v>87.433045508429856</v>
      </c>
      <c r="M74" s="90">
        <f t="shared" si="14"/>
        <v>0.15433746783502555</v>
      </c>
      <c r="N74" s="91">
        <f t="shared" si="15"/>
        <v>0.5633605078276771</v>
      </c>
      <c r="P74" s="86">
        <f t="shared" ref="P74:P91" si="21">Подача_пласт_м3_сут*f_50_hz/f_nom</f>
        <v>120.816326530612</v>
      </c>
      <c r="Q74" s="47">
        <f t="shared" ref="Q74:Q91" si="22">Напор_м*(f_50_hz/f_nom)^2</f>
        <v>6.3737454449487796</v>
      </c>
      <c r="R74" s="87">
        <f t="shared" si="16"/>
        <v>0.56650563686770194</v>
      </c>
      <c r="S74" s="47">
        <f t="shared" ref="S74:S91" si="23">I74*(f_50_hz/f_nom)^3</f>
        <v>0.15519910304961279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6.3737454449487956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155.1991030496128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56.650563686770347</v>
      </c>
    </row>
    <row r="75" spans="1:22" x14ac:dyDescent="0.2">
      <c r="A75" s="80">
        <v>34</v>
      </c>
      <c r="B75" s="81">
        <v>124.591836734693</v>
      </c>
      <c r="C75" s="82">
        <v>6.1481732529055302</v>
      </c>
      <c r="D75" s="82">
        <v>0.55627764643545896</v>
      </c>
      <c r="E75" s="75">
        <v>0.15619636266069101</v>
      </c>
      <c r="G75" s="89">
        <f t="shared" si="17"/>
        <v>6.1481732529055906</v>
      </c>
      <c r="H75" s="90">
        <f t="shared" si="18"/>
        <v>157.15613635028927</v>
      </c>
      <c r="I75" s="90">
        <f t="shared" si="12"/>
        <v>0.15715613635028927</v>
      </c>
      <c r="J75" s="90">
        <f t="shared" si="19"/>
        <v>55.627764643546215</v>
      </c>
      <c r="K75" s="90">
        <f t="shared" si="13"/>
        <v>0.55627764643546218</v>
      </c>
      <c r="L75" s="90">
        <f t="shared" si="20"/>
        <v>86.974301664109092</v>
      </c>
      <c r="M75" s="90">
        <f t="shared" si="14"/>
        <v>0.15635052427762727</v>
      </c>
      <c r="N75" s="91">
        <f t="shared" si="15"/>
        <v>0.55342606202948308</v>
      </c>
      <c r="P75" s="86">
        <f t="shared" si="21"/>
        <v>124.591836734693</v>
      </c>
      <c r="Q75" s="47">
        <f t="shared" si="22"/>
        <v>6.1481732529055302</v>
      </c>
      <c r="R75" s="87">
        <f t="shared" si="16"/>
        <v>0.55627764643545896</v>
      </c>
      <c r="S75" s="47">
        <f t="shared" si="23"/>
        <v>0.15715613635028927</v>
      </c>
      <c r="T75" s="88">
        <f t="shared" si="24"/>
        <v>6.1481732529055906</v>
      </c>
      <c r="U75" s="88">
        <f t="shared" si="25"/>
        <v>157.15613635028927</v>
      </c>
      <c r="V75" s="88">
        <f t="shared" si="26"/>
        <v>55.627764643546215</v>
      </c>
    </row>
    <row r="76" spans="1:22" x14ac:dyDescent="0.2">
      <c r="A76" s="80">
        <v>35</v>
      </c>
      <c r="B76" s="81">
        <v>128.367346938775</v>
      </c>
      <c r="C76" s="82">
        <v>5.9091289834415397</v>
      </c>
      <c r="D76" s="82">
        <v>0.54356282920021903</v>
      </c>
      <c r="E76" s="75">
        <v>0.158290599550101</v>
      </c>
      <c r="G76" s="89">
        <f t="shared" si="17"/>
        <v>5.9091289834415806</v>
      </c>
      <c r="H76" s="90">
        <f t="shared" si="18"/>
        <v>159.14833036606751</v>
      </c>
      <c r="I76" s="90">
        <f t="shared" si="12"/>
        <v>0.15914833036606751</v>
      </c>
      <c r="J76" s="90">
        <f t="shared" si="19"/>
        <v>54.356282920022089</v>
      </c>
      <c r="K76" s="90">
        <f t="shared" si="13"/>
        <v>0.54356282920022092</v>
      </c>
      <c r="L76" s="90">
        <f t="shared" si="20"/>
        <v>86.125806172137288</v>
      </c>
      <c r="M76" s="90">
        <f t="shared" si="14"/>
        <v>0.15844682812262889</v>
      </c>
      <c r="N76" s="91">
        <f t="shared" si="15"/>
        <v>0.5411668848427984</v>
      </c>
      <c r="P76" s="86">
        <f t="shared" si="21"/>
        <v>128.367346938775</v>
      </c>
      <c r="Q76" s="47">
        <f t="shared" si="22"/>
        <v>5.9091289834415397</v>
      </c>
      <c r="R76" s="87">
        <f t="shared" si="16"/>
        <v>0.54356282920021903</v>
      </c>
      <c r="S76" s="47">
        <f t="shared" si="23"/>
        <v>0.15914833036606751</v>
      </c>
      <c r="T76" s="88">
        <f t="shared" si="24"/>
        <v>5.9091289834415806</v>
      </c>
      <c r="U76" s="88">
        <f t="shared" si="25"/>
        <v>159.14833036606751</v>
      </c>
      <c r="V76" s="88">
        <f t="shared" si="26"/>
        <v>54.356282920022089</v>
      </c>
    </row>
    <row r="77" spans="1:22" x14ac:dyDescent="0.2">
      <c r="A77" s="80">
        <v>36</v>
      </c>
      <c r="B77" s="81">
        <v>132.142857142857</v>
      </c>
      <c r="C77" s="82">
        <v>5.6557758790472397</v>
      </c>
      <c r="D77" s="82">
        <v>0.52828647440235899</v>
      </c>
      <c r="E77" s="75">
        <v>0.160469770578516</v>
      </c>
      <c r="G77" s="89">
        <f t="shared" si="17"/>
        <v>5.6557758790472574</v>
      </c>
      <c r="H77" s="90">
        <f t="shared" si="18"/>
        <v>161.17384586784814</v>
      </c>
      <c r="I77" s="90">
        <f t="shared" si="12"/>
        <v>0.16117384586784814</v>
      </c>
      <c r="J77" s="90">
        <f t="shared" si="19"/>
        <v>52.828647440236068</v>
      </c>
      <c r="K77" s="90">
        <f t="shared" si="13"/>
        <v>0.52828647440236065</v>
      </c>
      <c r="L77" s="90">
        <f t="shared" si="20"/>
        <v>84.857679018591867</v>
      </c>
      <c r="M77" s="90">
        <f t="shared" si="14"/>
        <v>0.16062814993435062</v>
      </c>
      <c r="N77" s="91">
        <f t="shared" si="15"/>
        <v>0.52649782327692007</v>
      </c>
      <c r="P77" s="86">
        <f t="shared" si="21"/>
        <v>132.142857142857</v>
      </c>
      <c r="Q77" s="47">
        <f t="shared" si="22"/>
        <v>5.6557758790472397</v>
      </c>
      <c r="R77" s="87">
        <f t="shared" si="16"/>
        <v>0.52828647440235899</v>
      </c>
      <c r="S77" s="47">
        <f t="shared" si="23"/>
        <v>0.16117384586784814</v>
      </c>
      <c r="T77" s="88">
        <f t="shared" si="24"/>
        <v>5.6557758790472574</v>
      </c>
      <c r="U77" s="88">
        <f t="shared" si="25"/>
        <v>161.17384586784814</v>
      </c>
      <c r="V77" s="88">
        <f t="shared" si="26"/>
        <v>52.828647440236068</v>
      </c>
    </row>
    <row r="78" spans="1:22" x14ac:dyDescent="0.2">
      <c r="A78" s="80">
        <v>37</v>
      </c>
      <c r="B78" s="81">
        <v>135.918367346938</v>
      </c>
      <c r="C78" s="82">
        <v>5.38719718762386</v>
      </c>
      <c r="D78" s="82">
        <v>0.51037336211822804</v>
      </c>
      <c r="E78" s="75">
        <v>0.16273458530752</v>
      </c>
      <c r="G78" s="89">
        <f t="shared" si="17"/>
        <v>5.3871971876239249</v>
      </c>
      <c r="H78" s="90">
        <f t="shared" si="18"/>
        <v>163.23053791763152</v>
      </c>
      <c r="I78" s="90">
        <f t="shared" si="12"/>
        <v>0.16323053791763154</v>
      </c>
      <c r="J78" s="90">
        <f t="shared" si="19"/>
        <v>51.037336211823281</v>
      </c>
      <c r="K78" s="90">
        <f t="shared" si="13"/>
        <v>0.51037336211823281</v>
      </c>
      <c r="L78" s="90">
        <f t="shared" si="20"/>
        <v>83.137370884006017</v>
      </c>
      <c r="M78" s="90">
        <f t="shared" si="14"/>
        <v>0.16289519997469315</v>
      </c>
      <c r="N78" s="91">
        <f t="shared" si="15"/>
        <v>0.50932486006973976</v>
      </c>
      <c r="P78" s="86">
        <f t="shared" si="21"/>
        <v>135.918367346938</v>
      </c>
      <c r="Q78" s="47">
        <f t="shared" si="22"/>
        <v>5.38719718762386</v>
      </c>
      <c r="R78" s="87">
        <f t="shared" si="16"/>
        <v>0.51037336211822804</v>
      </c>
      <c r="S78" s="47">
        <f t="shared" si="23"/>
        <v>0.16323053791763154</v>
      </c>
      <c r="T78" s="88">
        <f t="shared" si="24"/>
        <v>5.3871971876239249</v>
      </c>
      <c r="U78" s="88">
        <f t="shared" si="25"/>
        <v>163.23053791763152</v>
      </c>
      <c r="V78" s="88">
        <f t="shared" si="26"/>
        <v>51.037336211823281</v>
      </c>
    </row>
    <row r="79" spans="1:22" x14ac:dyDescent="0.2">
      <c r="A79" s="80">
        <v>38</v>
      </c>
      <c r="B79" s="81">
        <v>139.69387755101999</v>
      </c>
      <c r="C79" s="82">
        <v>5.1024000002772096</v>
      </c>
      <c r="D79" s="82">
        <v>0.48974776326014102</v>
      </c>
      <c r="E79" s="75">
        <v>0.16508448242499099</v>
      </c>
      <c r="G79" s="89">
        <f t="shared" si="17"/>
        <v>5.1024000002772505</v>
      </c>
      <c r="H79" s="90">
        <f t="shared" si="18"/>
        <v>165.31595586851893</v>
      </c>
      <c r="I79" s="90">
        <f t="shared" si="12"/>
        <v>0.16531595586851894</v>
      </c>
      <c r="J79" s="90">
        <f t="shared" si="19"/>
        <v>48.974776326014407</v>
      </c>
      <c r="K79" s="90">
        <f t="shared" si="13"/>
        <v>0.48974776326014408</v>
      </c>
      <c r="L79" s="90">
        <f t="shared" si="20"/>
        <v>80.929552555417018</v>
      </c>
      <c r="M79" s="90">
        <f t="shared" si="14"/>
        <v>0.16524741637753818</v>
      </c>
      <c r="N79" s="91">
        <f t="shared" si="15"/>
        <v>0.48954471533154903</v>
      </c>
      <c r="P79" s="86">
        <f t="shared" si="21"/>
        <v>139.69387755101999</v>
      </c>
      <c r="Q79" s="47">
        <f t="shared" si="22"/>
        <v>5.1024000002772096</v>
      </c>
      <c r="R79" s="87">
        <f t="shared" si="16"/>
        <v>0.48974776326014102</v>
      </c>
      <c r="S79" s="47">
        <f t="shared" si="23"/>
        <v>0.16531595586851894</v>
      </c>
      <c r="T79" s="88">
        <f t="shared" si="24"/>
        <v>5.1024000002772505</v>
      </c>
      <c r="U79" s="88">
        <f t="shared" si="25"/>
        <v>165.31595586851893</v>
      </c>
      <c r="V79" s="88">
        <f t="shared" si="26"/>
        <v>48.974776326014407</v>
      </c>
    </row>
    <row r="80" spans="1:22" x14ac:dyDescent="0.2">
      <c r="A80" s="80">
        <v>39</v>
      </c>
      <c r="B80" s="81">
        <v>143.46938775510199</v>
      </c>
      <c r="C80" s="82">
        <v>4.80032018259719</v>
      </c>
      <c r="D80" s="82">
        <v>0.46633343957638201</v>
      </c>
      <c r="E80" s="75">
        <v>0.167517325811916</v>
      </c>
      <c r="G80" s="89">
        <f t="shared" si="17"/>
        <v>4.8003201825971846</v>
      </c>
      <c r="H80" s="90">
        <f t="shared" si="18"/>
        <v>167.42734336470963</v>
      </c>
      <c r="I80" s="90">
        <f t="shared" si="12"/>
        <v>0.16742734336470963</v>
      </c>
      <c r="J80" s="90">
        <f t="shared" si="19"/>
        <v>46.63334395763831</v>
      </c>
      <c r="K80" s="90">
        <f t="shared" si="13"/>
        <v>0.46633343957638312</v>
      </c>
      <c r="L80" s="90">
        <f t="shared" si="20"/>
        <v>78.196032022082221</v>
      </c>
      <c r="M80" s="90">
        <f t="shared" si="14"/>
        <v>0.16768266091557882</v>
      </c>
      <c r="N80" s="91">
        <f t="shared" si="15"/>
        <v>0.46704457259258164</v>
      </c>
      <c r="P80" s="86">
        <f t="shared" si="21"/>
        <v>143.46938775510199</v>
      </c>
      <c r="Q80" s="47">
        <f t="shared" si="22"/>
        <v>4.80032018259719</v>
      </c>
      <c r="R80" s="87">
        <f t="shared" si="16"/>
        <v>0.46633343957638201</v>
      </c>
      <c r="S80" s="47">
        <f t="shared" si="23"/>
        <v>0.16742734336470963</v>
      </c>
      <c r="T80" s="88">
        <f t="shared" si="24"/>
        <v>4.8003201825971846</v>
      </c>
      <c r="U80" s="88">
        <f t="shared" si="25"/>
        <v>167.42734336470963</v>
      </c>
      <c r="V80" s="88">
        <f t="shared" si="26"/>
        <v>46.63334395763831</v>
      </c>
    </row>
    <row r="81" spans="1:22" x14ac:dyDescent="0.2">
      <c r="A81" s="80">
        <v>40</v>
      </c>
      <c r="B81" s="81">
        <v>147.24489795918299</v>
      </c>
      <c r="C81" s="82">
        <v>4.4798283994229999</v>
      </c>
      <c r="D81" s="82">
        <v>0.44005364365120497</v>
      </c>
      <c r="E81" s="75">
        <v>0.17002894181862199</v>
      </c>
      <c r="G81" s="89">
        <f t="shared" si="17"/>
        <v>4.4798283994230514</v>
      </c>
      <c r="H81" s="90">
        <f t="shared" si="18"/>
        <v>169.56163834150249</v>
      </c>
      <c r="I81" s="90">
        <f t="shared" si="12"/>
        <v>0.16956163834150248</v>
      </c>
      <c r="J81" s="90">
        <f t="shared" si="19"/>
        <v>44.005364365121068</v>
      </c>
      <c r="K81" s="90">
        <f t="shared" si="13"/>
        <v>0.44005364365121069</v>
      </c>
      <c r="L81" s="90">
        <f t="shared" si="20"/>
        <v>74.895702536143929</v>
      </c>
      <c r="M81" s="90">
        <f t="shared" si="14"/>
        <v>0.17019675581985802</v>
      </c>
      <c r="N81" s="91">
        <f t="shared" si="15"/>
        <v>0.44170192779867828</v>
      </c>
      <c r="P81" s="86">
        <f t="shared" si="21"/>
        <v>147.24489795918299</v>
      </c>
      <c r="Q81" s="47">
        <f t="shared" si="22"/>
        <v>4.4798283994229999</v>
      </c>
      <c r="R81" s="87">
        <f t="shared" si="16"/>
        <v>0.44005364365120497</v>
      </c>
      <c r="S81" s="47">
        <f t="shared" si="23"/>
        <v>0.16956163834150248</v>
      </c>
      <c r="T81" s="88">
        <f t="shared" si="24"/>
        <v>4.4798283994230514</v>
      </c>
      <c r="U81" s="88">
        <f t="shared" si="25"/>
        <v>169.56163834150249</v>
      </c>
      <c r="V81" s="88">
        <f t="shared" si="26"/>
        <v>44.005364365121068</v>
      </c>
    </row>
    <row r="82" spans="1:22" x14ac:dyDescent="0.2">
      <c r="A82" s="80">
        <v>41</v>
      </c>
      <c r="B82" s="81">
        <v>151.02040816326499</v>
      </c>
      <c r="C82" s="82">
        <v>4.1397372330942499</v>
      </c>
      <c r="D82" s="82">
        <v>0.41083111890483298</v>
      </c>
      <c r="E82" s="75">
        <v>0.17261237261427601</v>
      </c>
      <c r="G82" s="89">
        <f t="shared" si="17"/>
        <v>4.1397372330942783</v>
      </c>
      <c r="H82" s="90">
        <f t="shared" si="18"/>
        <v>171.71547302529746</v>
      </c>
      <c r="I82" s="90">
        <f t="shared" si="12"/>
        <v>0.17171547302529747</v>
      </c>
      <c r="J82" s="90">
        <f t="shared" si="19"/>
        <v>41.083111890483558</v>
      </c>
      <c r="K82" s="90">
        <f t="shared" si="13"/>
        <v>0.41083111890483559</v>
      </c>
      <c r="L82" s="90">
        <f t="shared" si="20"/>
        <v>70.984524919511387</v>
      </c>
      <c r="M82" s="90">
        <f t="shared" si="14"/>
        <v>0.17278273639235728</v>
      </c>
      <c r="N82" s="91">
        <f t="shared" si="15"/>
        <v>0.4133845580069177</v>
      </c>
      <c r="P82" s="86">
        <f t="shared" si="21"/>
        <v>151.02040816326499</v>
      </c>
      <c r="Q82" s="47">
        <f t="shared" si="22"/>
        <v>4.1397372330942499</v>
      </c>
      <c r="R82" s="87">
        <f t="shared" si="16"/>
        <v>0.41083111890483298</v>
      </c>
      <c r="S82" s="47">
        <f t="shared" si="23"/>
        <v>0.17171547302529747</v>
      </c>
      <c r="T82" s="88">
        <f t="shared" si="24"/>
        <v>4.1397372330942783</v>
      </c>
      <c r="U82" s="88">
        <f t="shared" si="25"/>
        <v>171.71547302529746</v>
      </c>
      <c r="V82" s="88">
        <f t="shared" si="26"/>
        <v>41.083111890483558</v>
      </c>
    </row>
    <row r="83" spans="1:22" x14ac:dyDescent="0.2">
      <c r="A83" s="80">
        <v>42</v>
      </c>
      <c r="B83" s="81">
        <v>154.79591836734599</v>
      </c>
      <c r="C83" s="82">
        <v>3.7788093951876802</v>
      </c>
      <c r="D83" s="82">
        <v>0.37858809959345602</v>
      </c>
      <c r="E83" s="75">
        <v>0.17525659612580599</v>
      </c>
      <c r="G83" s="89">
        <f t="shared" si="17"/>
        <v>3.7788093951877739</v>
      </c>
      <c r="H83" s="90">
        <f t="shared" si="18"/>
        <v>173.88517393359177</v>
      </c>
      <c r="I83" s="90">
        <f t="shared" si="12"/>
        <v>0.17388517393359176</v>
      </c>
      <c r="J83" s="90">
        <f t="shared" si="19"/>
        <v>37.858809959346431</v>
      </c>
      <c r="K83" s="90">
        <f t="shared" si="13"/>
        <v>0.37858809959346429</v>
      </c>
      <c r="L83" s="90">
        <f t="shared" si="20"/>
        <v>66.415547398221165</v>
      </c>
      <c r="M83" s="90">
        <f t="shared" si="14"/>
        <v>0.17542956968150755</v>
      </c>
      <c r="N83" s="91">
        <f t="shared" si="15"/>
        <v>0.38195060507910711</v>
      </c>
      <c r="P83" s="86">
        <f t="shared" si="21"/>
        <v>154.79591836734599</v>
      </c>
      <c r="Q83" s="47">
        <f t="shared" si="22"/>
        <v>3.7788093951876802</v>
      </c>
      <c r="R83" s="87">
        <f t="shared" si="16"/>
        <v>0.37858809959345602</v>
      </c>
      <c r="S83" s="47">
        <f t="shared" si="23"/>
        <v>0.17388517393359176</v>
      </c>
      <c r="T83" s="88">
        <f t="shared" si="24"/>
        <v>3.7788093951877739</v>
      </c>
      <c r="U83" s="88">
        <f t="shared" si="25"/>
        <v>173.88517393359177</v>
      </c>
      <c r="V83" s="88">
        <f t="shared" si="26"/>
        <v>37.858809959346431</v>
      </c>
    </row>
    <row r="84" spans="1:22" x14ac:dyDescent="0.2">
      <c r="A84" s="80">
        <v>43</v>
      </c>
      <c r="B84" s="81">
        <v>158.57142857142799</v>
      </c>
      <c r="C84" s="82">
        <v>3.3957670317396502</v>
      </c>
      <c r="D84" s="82">
        <v>0.34324631080923301</v>
      </c>
      <c r="E84" s="75">
        <v>0.17794417973741899</v>
      </c>
      <c r="G84" s="89">
        <f t="shared" si="17"/>
        <v>3.3957670317397213</v>
      </c>
      <c r="H84" s="90">
        <f t="shared" si="18"/>
        <v>176.06676187498465</v>
      </c>
      <c r="I84" s="90">
        <f t="shared" si="12"/>
        <v>0.17606676187498466</v>
      </c>
      <c r="J84" s="90">
        <f t="shared" si="19"/>
        <v>34.324631080923965</v>
      </c>
      <c r="K84" s="90">
        <f t="shared" si="13"/>
        <v>0.34324631080923962</v>
      </c>
      <c r="L84" s="90">
        <f t="shared" si="20"/>
        <v>61.13896624556233</v>
      </c>
      <c r="M84" s="90">
        <f t="shared" si="14"/>
        <v>0.17811980586599963</v>
      </c>
      <c r="N84" s="91">
        <f t="shared" si="15"/>
        <v>0.34724876856072218</v>
      </c>
      <c r="P84" s="86">
        <f t="shared" si="21"/>
        <v>158.57142857142799</v>
      </c>
      <c r="Q84" s="47">
        <f t="shared" si="22"/>
        <v>3.3957670317396502</v>
      </c>
      <c r="R84" s="87">
        <f t="shared" si="16"/>
        <v>0.34324631080923301</v>
      </c>
      <c r="S84" s="47">
        <f t="shared" si="23"/>
        <v>0.17606676187498466</v>
      </c>
      <c r="T84" s="88">
        <f t="shared" si="24"/>
        <v>3.3957670317397213</v>
      </c>
      <c r="U84" s="88">
        <f t="shared" si="25"/>
        <v>176.06676187498465</v>
      </c>
      <c r="V84" s="88">
        <f t="shared" si="26"/>
        <v>34.324631080923965</v>
      </c>
    </row>
    <row r="85" spans="1:22" x14ac:dyDescent="0.2">
      <c r="A85" s="80">
        <v>44</v>
      </c>
      <c r="B85" s="81">
        <v>162.34693877551001</v>
      </c>
      <c r="C85" s="82">
        <v>2.9893021219545002</v>
      </c>
      <c r="D85" s="82">
        <v>0.30472696848029601</v>
      </c>
      <c r="E85" s="75">
        <v>0.18064662931038</v>
      </c>
      <c r="G85" s="89">
        <f t="shared" si="17"/>
        <v>2.9893021219545322</v>
      </c>
      <c r="H85" s="90">
        <f t="shared" si="18"/>
        <v>178.25595194917295</v>
      </c>
      <c r="I85" s="90">
        <f t="shared" si="12"/>
        <v>0.17825595194917296</v>
      </c>
      <c r="J85" s="90">
        <f t="shared" si="19"/>
        <v>30.472696848029816</v>
      </c>
      <c r="K85" s="90">
        <f t="shared" si="13"/>
        <v>0.30472696848029818</v>
      </c>
      <c r="L85" s="90">
        <f t="shared" si="20"/>
        <v>55.102230515223937</v>
      </c>
      <c r="M85" s="90">
        <f t="shared" si="14"/>
        <v>0.18082492268414543</v>
      </c>
      <c r="N85" s="91">
        <f t="shared" si="15"/>
        <v>0.30911860116141043</v>
      </c>
      <c r="P85" s="86">
        <f t="shared" si="21"/>
        <v>162.34693877551001</v>
      </c>
      <c r="Q85" s="47">
        <f t="shared" si="22"/>
        <v>2.9893021219545002</v>
      </c>
      <c r="R85" s="87">
        <f t="shared" si="16"/>
        <v>0.30472696848029601</v>
      </c>
      <c r="S85" s="47">
        <f t="shared" si="23"/>
        <v>0.17825595194917296</v>
      </c>
      <c r="T85" s="88">
        <f t="shared" si="24"/>
        <v>2.9893021219545322</v>
      </c>
      <c r="U85" s="88">
        <f t="shared" si="25"/>
        <v>178.25595194917295</v>
      </c>
      <c r="V85" s="88">
        <f t="shared" si="26"/>
        <v>30.472696848029816</v>
      </c>
    </row>
    <row r="86" spans="1:22" x14ac:dyDescent="0.2">
      <c r="A86" s="80">
        <v>45</v>
      </c>
      <c r="B86" s="81">
        <v>166.12244897959101</v>
      </c>
      <c r="C86" s="82">
        <v>2.5580879703984798</v>
      </c>
      <c r="D86" s="82">
        <v>0.26295077937074002</v>
      </c>
      <c r="E86" s="75">
        <v>0.18331422926247901</v>
      </c>
      <c r="G86" s="89">
        <f t="shared" si="17"/>
        <v>2.5580879703985726</v>
      </c>
      <c r="H86" s="90">
        <f t="shared" si="18"/>
        <v>180.44815354695305</v>
      </c>
      <c r="I86" s="90">
        <f t="shared" si="12"/>
        <v>0.18044815354695304</v>
      </c>
      <c r="J86" s="90">
        <f t="shared" si="19"/>
        <v>26.295077937074957</v>
      </c>
      <c r="K86" s="90">
        <f t="shared" si="13"/>
        <v>0.26295077937074957</v>
      </c>
      <c r="L86" s="90">
        <f t="shared" si="20"/>
        <v>48.25019414574286</v>
      </c>
      <c r="M86" s="90">
        <f t="shared" si="14"/>
        <v>0.18349515548578052</v>
      </c>
      <c r="N86" s="91">
        <f t="shared" si="15"/>
        <v>0.2673908998087256</v>
      </c>
      <c r="P86" s="86">
        <f t="shared" si="21"/>
        <v>166.12244897959101</v>
      </c>
      <c r="Q86" s="47">
        <f t="shared" si="22"/>
        <v>2.5580879703984798</v>
      </c>
      <c r="R86" s="87">
        <f t="shared" si="16"/>
        <v>0.26295077937074002</v>
      </c>
      <c r="S86" s="47">
        <f t="shared" si="23"/>
        <v>0.18044815354695304</v>
      </c>
      <c r="T86" s="88">
        <f t="shared" si="24"/>
        <v>2.5580879703985726</v>
      </c>
      <c r="U86" s="88">
        <f t="shared" si="25"/>
        <v>180.44815354695305</v>
      </c>
      <c r="V86" s="88">
        <f t="shared" si="26"/>
        <v>26.295077937074957</v>
      </c>
    </row>
    <row r="87" spans="1:22" x14ac:dyDescent="0.2">
      <c r="A87" s="80">
        <v>46</v>
      </c>
      <c r="B87" s="81">
        <v>169.89795918367301</v>
      </c>
      <c r="C87" s="82">
        <v>2.10079179267959</v>
      </c>
      <c r="D87" s="82">
        <v>0.21783794108063201</v>
      </c>
      <c r="E87" s="75">
        <v>0.18585082356375099</v>
      </c>
      <c r="G87" s="89">
        <f t="shared" si="17"/>
        <v>2.1007917926796491</v>
      </c>
      <c r="H87" s="90">
        <f t="shared" si="18"/>
        <v>182.63847035022269</v>
      </c>
      <c r="I87" s="90">
        <f t="shared" si="12"/>
        <v>0.18263847035022268</v>
      </c>
      <c r="J87" s="90">
        <f t="shared" si="19"/>
        <v>21.783794108063844</v>
      </c>
      <c r="K87" s="90">
        <f t="shared" si="13"/>
        <v>0.21783794108063845</v>
      </c>
      <c r="L87" s="90">
        <f t="shared" si="20"/>
        <v>40.525318717522786</v>
      </c>
      <c r="M87" s="90">
        <f t="shared" si="14"/>
        <v>0.18603425333753626</v>
      </c>
      <c r="N87" s="91">
        <f t="shared" si="15"/>
        <v>0.22188818511134326</v>
      </c>
      <c r="P87" s="86">
        <f t="shared" si="21"/>
        <v>169.89795918367301</v>
      </c>
      <c r="Q87" s="47">
        <f t="shared" si="22"/>
        <v>2.10079179267959</v>
      </c>
      <c r="R87" s="87">
        <f t="shared" si="16"/>
        <v>0.21783794108063201</v>
      </c>
      <c r="S87" s="47">
        <f t="shared" si="23"/>
        <v>0.18263847035022268</v>
      </c>
      <c r="T87" s="88">
        <f t="shared" si="24"/>
        <v>2.1007917926796491</v>
      </c>
      <c r="U87" s="88">
        <f t="shared" si="25"/>
        <v>182.63847035022269</v>
      </c>
      <c r="V87" s="88">
        <f t="shared" si="26"/>
        <v>21.783794108063844</v>
      </c>
    </row>
    <row r="88" spans="1:22" x14ac:dyDescent="0.2">
      <c r="A88" s="80">
        <v>47</v>
      </c>
      <c r="B88" s="81">
        <v>173.67346938775501</v>
      </c>
      <c r="C88" s="82">
        <v>1.6160883946130999</v>
      </c>
      <c r="D88" s="82">
        <v>0.169308142046008</v>
      </c>
      <c r="E88" s="75">
        <v>0.188038850227986</v>
      </c>
      <c r="G88" s="89">
        <f t="shared" si="17"/>
        <v>1.6160883946130937</v>
      </c>
      <c r="H88" s="90">
        <f t="shared" si="18"/>
        <v>184.82170033197741</v>
      </c>
      <c r="I88" s="90">
        <f t="shared" si="12"/>
        <v>0.18482170033197742</v>
      </c>
      <c r="J88" s="90">
        <f t="shared" si="19"/>
        <v>16.930814204600949</v>
      </c>
      <c r="K88" s="90">
        <f t="shared" si="13"/>
        <v>0.1693081420460095</v>
      </c>
      <c r="L88" s="90">
        <f t="shared" si="20"/>
        <v>31.867930143689719</v>
      </c>
      <c r="M88" s="90">
        <f t="shared" si="14"/>
        <v>0.18822443952535731</v>
      </c>
      <c r="N88" s="91">
        <f t="shared" si="15"/>
        <v>0.1724252622200122</v>
      </c>
      <c r="P88" s="86">
        <f t="shared" si="21"/>
        <v>173.67346938775501</v>
      </c>
      <c r="Q88" s="47">
        <f t="shared" si="22"/>
        <v>1.6160883946130999</v>
      </c>
      <c r="R88" s="87">
        <f t="shared" si="16"/>
        <v>0.169308142046008</v>
      </c>
      <c r="S88" s="47">
        <f t="shared" si="23"/>
        <v>0.18482170033197742</v>
      </c>
      <c r="T88" s="88">
        <f t="shared" si="24"/>
        <v>1.6160883946130937</v>
      </c>
      <c r="U88" s="88">
        <f t="shared" si="25"/>
        <v>184.82170033197741</v>
      </c>
      <c r="V88" s="88">
        <f t="shared" si="26"/>
        <v>16.930814204600949</v>
      </c>
    </row>
    <row r="89" spans="1:22" x14ac:dyDescent="0.2">
      <c r="A89" s="80">
        <v>48</v>
      </c>
      <c r="B89" s="81">
        <v>177.44897959183601</v>
      </c>
      <c r="C89" s="82">
        <v>1.10267494487273</v>
      </c>
      <c r="D89" s="82">
        <v>0.11728056153887199</v>
      </c>
      <c r="E89" s="75">
        <v>0.18924386772810201</v>
      </c>
      <c r="G89" s="89">
        <f t="shared" si="17"/>
        <v>1.1026749448728381</v>
      </c>
      <c r="H89" s="90">
        <f t="shared" si="18"/>
        <v>186.99233575631212</v>
      </c>
      <c r="I89" s="90">
        <f t="shared" si="12"/>
        <v>0.18699233575631211</v>
      </c>
      <c r="J89" s="90">
        <f t="shared" si="19"/>
        <v>11.728056153888256</v>
      </c>
      <c r="K89" s="90">
        <f t="shared" si="13"/>
        <v>0.11728056153888256</v>
      </c>
      <c r="L89" s="90">
        <f t="shared" si="20"/>
        <v>22.216532576059734</v>
      </c>
      <c r="M89" s="90">
        <f t="shared" si="14"/>
        <v>0.18943064634538084</v>
      </c>
      <c r="N89" s="91">
        <f t="shared" si="15"/>
        <v>0.11880985649065455</v>
      </c>
      <c r="P89" s="86">
        <f t="shared" si="21"/>
        <v>177.44897959183601</v>
      </c>
      <c r="Q89" s="47">
        <f t="shared" si="22"/>
        <v>1.10267494487273</v>
      </c>
      <c r="R89" s="87">
        <f t="shared" si="16"/>
        <v>0.11728056153887199</v>
      </c>
      <c r="S89" s="47">
        <f t="shared" si="23"/>
        <v>0.18699233575631211</v>
      </c>
      <c r="T89" s="88">
        <f t="shared" si="24"/>
        <v>1.1026749448728381</v>
      </c>
      <c r="U89" s="88">
        <f t="shared" si="25"/>
        <v>186.99233575631212</v>
      </c>
      <c r="V89" s="88">
        <f t="shared" si="26"/>
        <v>11.728056153888256</v>
      </c>
    </row>
    <row r="90" spans="1:22" x14ac:dyDescent="0.2">
      <c r="A90" s="80">
        <v>49</v>
      </c>
      <c r="B90" s="81">
        <v>181.224489795918</v>
      </c>
      <c r="C90" s="82">
        <v>0.55928684112794202</v>
      </c>
      <c r="D90" s="82">
        <v>6.1673869667196499E-2</v>
      </c>
      <c r="E90" s="75">
        <v>0.18641340005557699</v>
      </c>
      <c r="G90" s="89">
        <f t="shared" si="17"/>
        <v>0.55928684112799587</v>
      </c>
      <c r="H90" s="90">
        <f t="shared" si="18"/>
        <v>189.14456317842325</v>
      </c>
      <c r="I90" s="90">
        <f t="shared" si="12"/>
        <v>0.18914456317842326</v>
      </c>
      <c r="J90" s="90">
        <f t="shared" si="19"/>
        <v>6.1673869667202226</v>
      </c>
      <c r="K90" s="90">
        <f t="shared" si="13"/>
        <v>6.1673869667202223E-2</v>
      </c>
      <c r="L90" s="90">
        <f t="shared" si="20"/>
        <v>11.508182807494826</v>
      </c>
      <c r="M90" s="90">
        <f t="shared" si="14"/>
        <v>0.18659738507724619</v>
      </c>
      <c r="N90" s="91">
        <f t="shared" si="15"/>
        <v>6.084331801088548E-2</v>
      </c>
      <c r="P90" s="86">
        <f t="shared" si="21"/>
        <v>181.224489795918</v>
      </c>
      <c r="Q90" s="47">
        <f t="shared" si="22"/>
        <v>0.55928684112794202</v>
      </c>
      <c r="R90" s="87">
        <f t="shared" si="16"/>
        <v>6.1673869667196499E-2</v>
      </c>
      <c r="S90" s="47">
        <f t="shared" si="23"/>
        <v>0.18914456317842326</v>
      </c>
      <c r="T90" s="88">
        <f t="shared" si="24"/>
        <v>0.55928684112799587</v>
      </c>
      <c r="U90" s="88">
        <f t="shared" si="25"/>
        <v>189.14456317842325</v>
      </c>
      <c r="V90" s="88">
        <f t="shared" si="26"/>
        <v>6.1673869667202226</v>
      </c>
    </row>
    <row r="91" spans="1:22" x14ac:dyDescent="0.2">
      <c r="A91" s="92">
        <v>50</v>
      </c>
      <c r="B91" s="93">
        <v>185</v>
      </c>
      <c r="C91" s="94">
        <v>0</v>
      </c>
      <c r="D91" s="94">
        <v>2.4062273749239399E-3</v>
      </c>
      <c r="E91" s="78">
        <v>0</v>
      </c>
      <c r="G91" s="95">
        <f t="shared" si="17"/>
        <v>-1.5285330333593805E-2</v>
      </c>
      <c r="H91" s="96">
        <f t="shared" si="18"/>
        <v>191.2722634446049</v>
      </c>
      <c r="I91" s="96">
        <f t="shared" si="12"/>
        <v>0.19127226344460491</v>
      </c>
      <c r="J91" s="96">
        <f t="shared" si="19"/>
        <v>0.24062273749239438</v>
      </c>
      <c r="K91" s="96">
        <f t="shared" si="13"/>
        <v>2.4062273749239438E-3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185</v>
      </c>
      <c r="Q91" s="47">
        <f t="shared" si="22"/>
        <v>0</v>
      </c>
      <c r="R91" s="87">
        <f t="shared" si="16"/>
        <v>2.4062273749239399E-3</v>
      </c>
      <c r="S91" s="47">
        <f t="shared" si="23"/>
        <v>0.19127226344460491</v>
      </c>
      <c r="T91" s="88">
        <f t="shared" si="24"/>
        <v>-1.5285330333593805E-2</v>
      </c>
      <c r="U91" s="88">
        <f t="shared" si="25"/>
        <v>191.2722634446049</v>
      </c>
      <c r="V91" s="88">
        <f t="shared" si="26"/>
        <v>0.24062273749239438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B2C97-2D05-493D-B3FE-7E2FF71C71B9}">
  <sheetPr codeName="Лист7"/>
  <dimension ref="A1:AU91"/>
  <sheetViews>
    <sheetView zoomScale="55" zoomScaleNormal="55" workbookViewId="0">
      <selection activeCell="AQ5" sqref="AQ5:AU1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NHV1800</v>
      </c>
      <c r="C1" s="64"/>
      <c r="D1" s="64"/>
      <c r="E1" s="65">
        <v>80</v>
      </c>
      <c r="G1" s="64" t="s">
        <v>424</v>
      </c>
      <c r="H1" s="66">
        <f>VLOOKUP(num,'tnav 254'!A1:Q263,7,1)</f>
        <v>240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[0,40.5,81,121.5,162,202.5,243,283.5,324,364.5,405]</v>
      </c>
    </row>
    <row r="2" spans="1:47" x14ac:dyDescent="0.2">
      <c r="A2" s="67" t="s">
        <v>144</v>
      </c>
      <c r="B2" s="68" t="str">
        <f>"ЭЦН"&amp;L1&amp;"-"&amp;H1&amp;"@"&amp;f_nom&amp;"Гц"</f>
        <v>ЭЦН5А-240@50Гц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[0,40.5,81,121.5,162,202.5,243,283.5,324,364.5,405]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6.610528854</v>
      </c>
      <c r="C5" s="73">
        <f>Напор0*(f_50_hz/f_nom)^2</f>
        <v>6.610528854</v>
      </c>
      <c r="R5" s="47">
        <f>S1+num</f>
        <v>2080</v>
      </c>
      <c r="S5" s="47" t="s">
        <v>478</v>
      </c>
      <c r="T5" s="47" t="s">
        <v>479</v>
      </c>
      <c r="U5" s="47" t="str">
        <f>B2</f>
        <v>ЭЦН5А-240@50Гц</v>
      </c>
      <c r="V5" s="47">
        <v>1000</v>
      </c>
      <c r="W5" s="47">
        <f>q_nom</f>
        <v>240</v>
      </c>
      <c r="X5" s="47">
        <f>VLOOKUP(num,'tnav 254'!A1:Q263,10,1)</f>
        <v>190</v>
      </c>
      <c r="Y5" s="47">
        <f>VLOOKUP(num,'tnav 254'!A1:Q263,11,1)</f>
        <v>280</v>
      </c>
      <c r="Z5" s="47">
        <f>VLOOKUP(num,'tnav 254'!A1:Q263,9,1)</f>
        <v>405</v>
      </c>
      <c r="AA5" s="47">
        <f>VLOOKUP(num,'tnav 254'!A1:Q263,15,1)</f>
        <v>2910</v>
      </c>
      <c r="AB5" s="47">
        <f>f_nom</f>
        <v>50</v>
      </c>
      <c r="AC5" s="87">
        <f>MAX(КПД)</f>
        <v>0.46295460257469101</v>
      </c>
      <c r="AE5" s="47" t="str">
        <f>L1</f>
        <v>5А</v>
      </c>
      <c r="AF5" s="47">
        <f>VLOOKUP(num,'tnav 254'!A1:Q263,12,1)*1000</f>
        <v>103</v>
      </c>
      <c r="AQ5" s="98">
        <f>$R$5</f>
        <v>2080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6.610528854</v>
      </c>
      <c r="AT5" s="104" cm="1">
        <f t="array" ref="AT5">[1]!crv_interpolation(Подача_пласт_м3_сут,$I$42:$I$91,AR5,2)</f>
        <v>0.149076087</v>
      </c>
      <c r="AU5" s="105">
        <v>0</v>
      </c>
    </row>
    <row r="6" spans="1:47" x14ac:dyDescent="0.2">
      <c r="A6" s="74" t="s">
        <v>431</v>
      </c>
      <c r="B6" s="75">
        <v>2.9883225680000002E-3</v>
      </c>
      <c r="C6" s="76">
        <f>Напор1/(f_50_hz/f_nom)*(f_50_hz/f_nom)^2</f>
        <v>2.9883225680000002E-3</v>
      </c>
      <c r="R6" s="47">
        <f>T1+num</f>
        <v>3080</v>
      </c>
      <c r="S6" s="47" t="s">
        <v>480</v>
      </c>
      <c r="T6" s="47" t="s">
        <v>481</v>
      </c>
      <c r="U6" s="47" t="str">
        <f>"ЭЦН"&amp;L1&amp;"-"&amp;H1&amp;"@"&amp;f_50_hz&amp;"Гц"</f>
        <v>ЭЦН5А-240@50Гц</v>
      </c>
      <c r="V6" s="47">
        <v>1000</v>
      </c>
      <c r="W6" s="47">
        <f>W5*f_50_hz/f_nom</f>
        <v>240</v>
      </c>
      <c r="X6" s="47">
        <f>X5*f_50_hz/f_nom</f>
        <v>190</v>
      </c>
      <c r="Y6" s="47">
        <f>Y5*f_50_hz/f_nom</f>
        <v>280</v>
      </c>
      <c r="Z6" s="47">
        <f>Z5*f_50_hz/f_nom</f>
        <v>405</v>
      </c>
      <c r="AA6" s="47">
        <f>AA5*f_50_hz/f_nom</f>
        <v>2910</v>
      </c>
      <c r="AB6" s="47">
        <f>f_50_hz</f>
        <v>50</v>
      </c>
      <c r="AC6" s="87">
        <f>AC5</f>
        <v>0.46295460257469101</v>
      </c>
      <c r="AE6" s="47" t="str">
        <f>AE5</f>
        <v>5А</v>
      </c>
      <c r="AF6" s="47">
        <f>AF5</f>
        <v>103</v>
      </c>
      <c r="AQ6" s="100">
        <f t="shared" ref="AQ6:AQ15" si="0">$R$5</f>
        <v>2080</v>
      </c>
      <c r="AR6" s="101">
        <v>40.5</v>
      </c>
      <c r="AS6" s="106" cm="1">
        <f t="array" ref="AS6">[1]!crv_interpolation(Подача_пласт_м3_сут,Напор_м,AR6,2)</f>
        <v>6.4218466909632728</v>
      </c>
      <c r="AT6" s="106" cm="1">
        <f t="array" ref="AT6">[1]!crv_interpolation(Подача_пласт_м3_сут,$I$42:$I$91,AR6,2)</f>
        <v>0.17780032173555049</v>
      </c>
      <c r="AU6" s="107" cm="1">
        <f t="array" ref="AU6">[1]!crv_interpolation(Подача_пласт_м3_сут,КПД,AR6,2)</f>
        <v>0.16871479874348208</v>
      </c>
    </row>
    <row r="7" spans="1:47" x14ac:dyDescent="0.2">
      <c r="A7" s="74" t="s">
        <v>432</v>
      </c>
      <c r="B7" s="75">
        <v>-3.529177868E-4</v>
      </c>
      <c r="C7" s="76">
        <f>Напор2/((f_50_hz/f_nom)^2)*(f_50_hz/f_nom)^2</f>
        <v>-3.529177868E-4</v>
      </c>
      <c r="AQ7" s="100">
        <f t="shared" si="0"/>
        <v>2080</v>
      </c>
      <c r="AR7" s="101">
        <v>81</v>
      </c>
      <c r="AS7" s="106" cm="1">
        <f t="array" ref="AS7">[1]!crv_interpolation(Подача_пласт_м3_сут,Напор_м,AR7,2)</f>
        <v>6.2517661113853586</v>
      </c>
      <c r="AT7" s="106" cm="1">
        <f t="array" ref="AT7">[1]!crv_interpolation(Подача_пласт_м3_сут,$I$42:$I$91,AR7,2)</f>
        <v>0.2102684636917132</v>
      </c>
      <c r="AU7" s="107" cm="1">
        <f t="array" ref="AU7">[1]!crv_interpolation(Подача_пласт_м3_сут,КПД,AR7,2)</f>
        <v>0.27156967875298027</v>
      </c>
    </row>
    <row r="8" spans="1:47" x14ac:dyDescent="0.2">
      <c r="A8" s="74" t="s">
        <v>433</v>
      </c>
      <c r="B8" s="75">
        <v>5.0604498019999999E-6</v>
      </c>
      <c r="C8" s="76">
        <f>Напор3/((f_50_hz/f_nom)^3)*(f_50_hz/f_nom)^2</f>
        <v>5.0604498019999999E-6</v>
      </c>
      <c r="AQ8" s="100">
        <f t="shared" si="0"/>
        <v>2080</v>
      </c>
      <c r="AR8" s="101">
        <v>121.5</v>
      </c>
      <c r="AS8" s="106" cm="1">
        <f t="array" ref="AS8">[1]!crv_interpolation(Подача_пласт_м3_сут,Напор_м,AR8,2)</f>
        <v>6.3676764799256089</v>
      </c>
      <c r="AT8" s="106" cm="1">
        <f t="array" ref="AT8">[1]!crv_interpolation(Подача_пласт_м3_сут,$I$42:$I$91,AR8,2)</f>
        <v>0.24621705924456647</v>
      </c>
      <c r="AU8" s="107" cm="1">
        <f t="array" ref="AU8">[1]!crv_interpolation(Подача_пласт_м3_сут,КПД,AR8,2)</f>
        <v>0.35536983255044385</v>
      </c>
    </row>
    <row r="9" spans="1:47" x14ac:dyDescent="0.2">
      <c r="A9" s="74" t="s">
        <v>434</v>
      </c>
      <c r="B9" s="75">
        <v>-2.740331153E-8</v>
      </c>
      <c r="C9" s="76">
        <f>Напор4/((f_50_hz/f_nom)^4)*(f_50_hz/f_nom)^2</f>
        <v>-2.740331153E-8</v>
      </c>
      <c r="AQ9" s="100">
        <f t="shared" si="0"/>
        <v>2080</v>
      </c>
      <c r="AR9" s="101">
        <v>162</v>
      </c>
      <c r="AS9" s="106" cm="1">
        <f t="array" ref="AS9">[1]!crv_interpolation(Подача_пласт_м3_сут,Напор_м,AR9,2)</f>
        <v>6.5486884185084513</v>
      </c>
      <c r="AT9" s="106" cm="1">
        <f t="array" ref="AT9">[1]!crv_interpolation(Подача_пласт_м3_сут,$I$42:$I$91,AR9,2)</f>
        <v>0.28482949839241173</v>
      </c>
      <c r="AU9" s="107" cm="1">
        <f t="array" ref="AU9">[1]!crv_interpolation(Подача_пласт_м3_сут,КПД,AR9,2)</f>
        <v>0.42233424573875833</v>
      </c>
    </row>
    <row r="10" spans="1:47" x14ac:dyDescent="0.2">
      <c r="A10" s="74" t="s">
        <v>435</v>
      </c>
      <c r="B10" s="75">
        <v>6.3141804920000005E-11</v>
      </c>
      <c r="C10" s="76">
        <f>Напор5/((f_50_hz/f_nom)^5)*(f_50_hz/f_nom)^2</f>
        <v>6.3141804920000005E-11</v>
      </c>
      <c r="AQ10" s="100">
        <f t="shared" si="0"/>
        <v>2080</v>
      </c>
      <c r="AR10" s="101">
        <v>202.5</v>
      </c>
      <c r="AS10" s="106" cm="1">
        <f t="array" ref="AS10">[1]!crv_interpolation(Подача_пласт_м3_сут,Напор_м,AR10,2)</f>
        <v>6.4862819857652241</v>
      </c>
      <c r="AT10" s="106" cm="1">
        <f t="array" ref="AT10">[1]!crv_interpolation(Подача_пласт_м3_сут,$I$42:$I$91,AR10,2)</f>
        <v>0.32473571739031254</v>
      </c>
      <c r="AU10" s="107" cm="1">
        <f t="array" ref="AU10">[1]!crv_interpolation(Подача_пласт_м3_сут,КПД,AR10,2)</f>
        <v>0.45918341912277327</v>
      </c>
    </row>
    <row r="11" spans="1:47" x14ac:dyDescent="0.2">
      <c r="A11" s="74" t="s">
        <v>436</v>
      </c>
      <c r="B11" s="75">
        <v>-5.3653171320000001E-14</v>
      </c>
      <c r="C11" s="76">
        <f>Напор6/((f_50_hz/f_nom)^6)*(f_50_hz/f_nom)^2</f>
        <v>-5.3653171320000001E-14</v>
      </c>
      <c r="AQ11" s="100">
        <f t="shared" si="0"/>
        <v>2080</v>
      </c>
      <c r="AR11" s="101">
        <v>243</v>
      </c>
      <c r="AS11" s="106" cm="1">
        <f t="array" ref="AS11">[1]!crv_interpolation(Подача_пласт_м3_сут,Напор_м,AR11,2)</f>
        <v>6.0123433732615528</v>
      </c>
      <c r="AT11" s="106" cm="1">
        <f t="array" ref="AT11">[1]!crv_interpolation(Подача_пласт_м3_сут,$I$42:$I$91,AR11,2)</f>
        <v>0.36401371686972328</v>
      </c>
      <c r="AU11" s="107" cm="1">
        <f t="array" ref="AU11">[1]!crv_interpolation(Подача_пласт_м3_сут,КПД,AR11,2)</f>
        <v>0.45663662868014437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2080</v>
      </c>
      <c r="AR12" s="101">
        <v>283.5</v>
      </c>
      <c r="AS12" s="106" cm="1">
        <f t="array" ref="AS12">[1]!crv_interpolation(Подача_пласт_м3_сут,Напор_м,AR12,2)</f>
        <v>5.1582575038089677</v>
      </c>
      <c r="AT12" s="106" cm="1">
        <f t="array" ref="AT12">[1]!crv_interpolation(Подача_пласт_м3_сут,$I$42:$I$91,AR12,2)</f>
        <v>0.40018650265148203</v>
      </c>
      <c r="AU12" s="107" cm="1">
        <f t="array" ref="AU12">[1]!crv_interpolation(Подача_пласт_м3_сут,КПД,AR12,2)</f>
        <v>0.41627738225571892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2080</v>
      </c>
      <c r="AR13" s="101">
        <v>324</v>
      </c>
      <c r="AS13" s="106" cm="1">
        <f t="array" ref="AS13">[1]!crv_interpolation(Подача_пласт_м3_сут,Напор_м,AR13,2)</f>
        <v>4.0427132621920334</v>
      </c>
      <c r="AT13" s="106" cm="1">
        <f t="array" ref="AT13">[1]!crv_interpolation(Подача_пласт_м3_сут,$I$42:$I$91,AR13,2)</f>
        <v>0.43022515716134835</v>
      </c>
      <c r="AU13" s="107" cm="1">
        <f t="array" ref="AU13">[1]!crv_interpolation(Подача_пласт_м3_сут,КПД,AR13,2)</f>
        <v>0.3447832194480982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2080</v>
      </c>
      <c r="AR14" s="101">
        <v>364.5</v>
      </c>
      <c r="AS14" s="106" cm="1">
        <f t="array" ref="AS14">[1]!crv_interpolation(Подача_пласт_м3_сут,Напор_м,AR14,2)</f>
        <v>2.5890533476511512</v>
      </c>
      <c r="AT14" s="106" cm="1">
        <f t="array" ref="AT14">[1]!crv_interpolation(Подача_пласт_м3_сут,$I$42:$I$91,AR14,2)</f>
        <v>0.45054730055959891</v>
      </c>
      <c r="AU14" s="107" cm="1">
        <f t="array" ref="AU14">[1]!crv_interpolation(Подача_пласт_м3_сут,КПД,AR14,2)</f>
        <v>0.23552236009731389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2080</v>
      </c>
      <c r="AR15" s="103">
        <v>405</v>
      </c>
      <c r="AS15" s="108">
        <v>0</v>
      </c>
      <c r="AT15" s="108" cm="1">
        <f t="array" ref="AT15">[1]!crv_interpolation(Подача_пласт_м3_сут,$I$42:$I$91,AR15,2)</f>
        <v>0.45701739846557093</v>
      </c>
      <c r="AU15" s="109">
        <v>0</v>
      </c>
    </row>
    <row r="16" spans="1:47" x14ac:dyDescent="0.2">
      <c r="A16" s="71" t="s">
        <v>441</v>
      </c>
      <c r="B16" s="72">
        <v>149.076087</v>
      </c>
      <c r="C16" s="73">
        <f>Мощность0*(f_50_hz/f_nom)^3</f>
        <v>149.076087</v>
      </c>
      <c r="AQ16" s="98">
        <f>$R$6</f>
        <v>3080</v>
      </c>
      <c r="AR16" s="99">
        <f t="array" ref="AR16:AR26">[1]!decode_json($AR$2)</f>
        <v>0</v>
      </c>
      <c r="AS16" s="104" cm="1">
        <f t="array" ref="AS16">[1]!crv_interpolation(Подача_f50_,$Q$42:$Q$91,AR16,2)</f>
        <v>6.610528854</v>
      </c>
      <c r="AT16" s="104" cm="1">
        <f t="array" ref="AT16">[1]!crv_interpolation(Подача_f50_,$S$42:$S$91,AR16,2)</f>
        <v>0.149076087</v>
      </c>
      <c r="AU16" s="105">
        <v>0</v>
      </c>
    </row>
    <row r="17" spans="1:47" x14ac:dyDescent="0.2">
      <c r="A17" s="74" t="s">
        <v>442</v>
      </c>
      <c r="B17" s="75">
        <v>0.66426150510000004</v>
      </c>
      <c r="C17" s="76">
        <f>Мощность1/(f_50_hz/f_nom)*(f_50_hz/f_nom)^3</f>
        <v>0.66426150510000004</v>
      </c>
      <c r="AQ17" s="100">
        <f t="shared" ref="AQ17:AQ26" si="1">$R$6</f>
        <v>3080</v>
      </c>
      <c r="AR17" s="101">
        <v>40.5</v>
      </c>
      <c r="AS17" s="106" cm="1">
        <f t="array" ref="AS17">[1]!crv_interpolation(Подача_f50_,$Q$42:$Q$91,AR17,2)</f>
        <v>6.4218466909632728</v>
      </c>
      <c r="AT17" s="106" cm="1">
        <f t="array" ref="AT17">[1]!crv_interpolation(Подача_f50_,$S$42:$S$91,AR17,2)</f>
        <v>0.17780032173555049</v>
      </c>
      <c r="AU17" s="107" cm="1">
        <f t="array" ref="AU17">[1]!crv_interpolation(Подача_f50_,$R$42:$R$91,AR17,2)</f>
        <v>0.16871479874348208</v>
      </c>
    </row>
    <row r="18" spans="1:47" x14ac:dyDescent="0.2">
      <c r="A18" s="74" t="s">
        <v>443</v>
      </c>
      <c r="B18" s="75">
        <v>1.0671316940000001E-3</v>
      </c>
      <c r="C18" s="76">
        <f>Мощность2/((f_50_hz/f_nom)^2)*(f_50_hz/f_nom)^3</f>
        <v>1.0671316940000001E-3</v>
      </c>
      <c r="AQ18" s="100">
        <f t="shared" si="1"/>
        <v>3080</v>
      </c>
      <c r="AR18" s="101">
        <v>81</v>
      </c>
      <c r="AS18" s="106" cm="1">
        <f t="array" ref="AS18">[1]!crv_interpolation(Подача_f50_,$Q$42:$Q$91,AR18,2)</f>
        <v>6.2517661113853586</v>
      </c>
      <c r="AT18" s="106" cm="1">
        <f t="array" ref="AT18">[1]!crv_interpolation(Подача_f50_,$S$42:$S$91,AR18,2)</f>
        <v>0.2102684636917132</v>
      </c>
      <c r="AU18" s="107" cm="1">
        <f t="array" ref="AU18">[1]!crv_interpolation(Подача_f50_,$R$42:$R$91,AR18,2)</f>
        <v>0.27156967875298027</v>
      </c>
    </row>
    <row r="19" spans="1:47" x14ac:dyDescent="0.2">
      <c r="A19" s="74" t="s">
        <v>444</v>
      </c>
      <c r="B19" s="75">
        <v>1.419960602E-6</v>
      </c>
      <c r="C19" s="76">
        <f>Мощность3/((f_50_hz/f_nom)^3)*(f_50_hz/f_nom)^3</f>
        <v>1.419960602E-6</v>
      </c>
      <c r="AQ19" s="100">
        <f t="shared" si="1"/>
        <v>3080</v>
      </c>
      <c r="AR19" s="101">
        <v>121.5</v>
      </c>
      <c r="AS19" s="106" cm="1">
        <f t="array" ref="AS19">[1]!crv_interpolation(Подача_f50_,$Q$42:$Q$91,AR19,2)</f>
        <v>6.3676764799256089</v>
      </c>
      <c r="AT19" s="106" cm="1">
        <f t="array" ref="AT19">[1]!crv_interpolation(Подача_f50_,$S$42:$S$91,AR19,2)</f>
        <v>0.24621705924456647</v>
      </c>
      <c r="AU19" s="107" cm="1">
        <f t="array" ref="AU19">[1]!crv_interpolation(Подача_f50_,$R$42:$R$91,AR19,2)</f>
        <v>0.35536983255044385</v>
      </c>
    </row>
    <row r="20" spans="1:47" x14ac:dyDescent="0.2">
      <c r="A20" s="74" t="s">
        <v>445</v>
      </c>
      <c r="B20" s="75">
        <v>-8.5655410360000001E-9</v>
      </c>
      <c r="C20" s="76">
        <f>Мощность4/((f_50_hz/f_nom)^4)*(f_50_hz/f_nom)^3</f>
        <v>-8.5655410360000001E-9</v>
      </c>
      <c r="AQ20" s="100">
        <f t="shared" si="1"/>
        <v>3080</v>
      </c>
      <c r="AR20" s="101">
        <v>162</v>
      </c>
      <c r="AS20" s="106" cm="1">
        <f t="array" ref="AS20">[1]!crv_interpolation(Подача_f50_,$Q$42:$Q$91,AR20,2)</f>
        <v>6.5486884185084513</v>
      </c>
      <c r="AT20" s="106" cm="1">
        <f t="array" ref="AT20">[1]!crv_interpolation(Подача_f50_,$S$42:$S$91,AR20,2)</f>
        <v>0.28482949839241173</v>
      </c>
      <c r="AU20" s="107" cm="1">
        <f t="array" ref="AU20">[1]!crv_interpolation(Подача_f50_,$R$42:$R$91,AR20,2)</f>
        <v>0.42233424573875833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3080</v>
      </c>
      <c r="AR21" s="101">
        <v>202.5</v>
      </c>
      <c r="AS21" s="106" cm="1">
        <f t="array" ref="AS21">[1]!crv_interpolation(Подача_f50_,$Q$42:$Q$91,AR21,2)</f>
        <v>6.4862819857652241</v>
      </c>
      <c r="AT21" s="106" cm="1">
        <f t="array" ref="AT21">[1]!crv_interpolation(Подача_f50_,$S$42:$S$91,AR21,2)</f>
        <v>0.32473571739031254</v>
      </c>
      <c r="AU21" s="107" cm="1">
        <f t="array" ref="AU21">[1]!crv_interpolation(Подача_f50_,$R$42:$R$91,AR21,2)</f>
        <v>0.45918341912277327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3080</v>
      </c>
      <c r="AR22" s="101">
        <v>243</v>
      </c>
      <c r="AS22" s="106" cm="1">
        <f t="array" ref="AS22">[1]!crv_interpolation(Подача_f50_,$Q$42:$Q$91,AR22,2)</f>
        <v>6.0123433732615528</v>
      </c>
      <c r="AT22" s="106" cm="1">
        <f t="array" ref="AT22">[1]!crv_interpolation(Подача_f50_,$S$42:$S$91,AR22,2)</f>
        <v>0.36401371686972334</v>
      </c>
      <c r="AU22" s="107" cm="1">
        <f t="array" ref="AU22">[1]!crv_interpolation(Подача_f50_,$R$42:$R$91,AR22,2)</f>
        <v>0.45663662868014437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3080</v>
      </c>
      <c r="AR23" s="101">
        <v>283.5</v>
      </c>
      <c r="AS23" s="106" cm="1">
        <f t="array" ref="AS23">[1]!crv_interpolation(Подача_f50_,$Q$42:$Q$91,AR23,2)</f>
        <v>5.1582575038089677</v>
      </c>
      <c r="AT23" s="106" cm="1">
        <f t="array" ref="AT23">[1]!crv_interpolation(Подача_f50_,$S$42:$S$91,AR23,2)</f>
        <v>0.40018650265148203</v>
      </c>
      <c r="AU23" s="107" cm="1">
        <f t="array" ref="AU23">[1]!crv_interpolation(Подача_f50_,$R$42:$R$91,AR23,2)</f>
        <v>0.41627738225571892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3080</v>
      </c>
      <c r="AR24" s="101">
        <v>324</v>
      </c>
      <c r="AS24" s="106" cm="1">
        <f t="array" ref="AS24">[1]!crv_interpolation(Подача_f50_,$Q$42:$Q$91,AR24,2)</f>
        <v>4.0427132621920334</v>
      </c>
      <c r="AT24" s="106" cm="1">
        <f t="array" ref="AT24">[1]!crv_interpolation(Подача_f50_,$S$42:$S$91,AR24,2)</f>
        <v>0.43022515716134835</v>
      </c>
      <c r="AU24" s="107" cm="1">
        <f t="array" ref="AU24">[1]!crv_interpolation(Подача_f50_,$R$42:$R$91,AR24,2)</f>
        <v>0.34478321944809814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3080</v>
      </c>
      <c r="AR25" s="101">
        <v>364.5</v>
      </c>
      <c r="AS25" s="106" cm="1">
        <f t="array" ref="AS25">[1]!crv_interpolation(Подача_f50_,$Q$42:$Q$91,AR25,2)</f>
        <v>2.5890533476511512</v>
      </c>
      <c r="AT25" s="106" cm="1">
        <f t="array" ref="AT25">[1]!crv_interpolation(Подача_f50_,$S$42:$S$91,AR25,2)</f>
        <v>0.45054730055959891</v>
      </c>
      <c r="AU25" s="107" cm="1">
        <f t="array" ref="AU25">[1]!crv_interpolation(Подача_f50_,$R$42:$R$91,AR25,2)</f>
        <v>0.23552236009731392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3080</v>
      </c>
      <c r="AR26" s="103">
        <v>405</v>
      </c>
      <c r="AS26" s="108">
        <v>0</v>
      </c>
      <c r="AT26" s="108" cm="1">
        <f t="array" ref="AT26">[1]!crv_interpolation(Подача_f50_,$S$42:$S$91,AR26,2)</f>
        <v>0.45701739846557093</v>
      </c>
      <c r="AU26" s="109">
        <v>0</v>
      </c>
    </row>
    <row r="27" spans="1:47" x14ac:dyDescent="0.2">
      <c r="A27" s="74" t="s">
        <v>452</v>
      </c>
      <c r="B27" s="75">
        <v>-0.3045062046</v>
      </c>
      <c r="C27" s="73">
        <f>К.П.Д.0</f>
        <v>-0.3045062046</v>
      </c>
    </row>
    <row r="28" spans="1:47" x14ac:dyDescent="0.2">
      <c r="A28" s="74" t="s">
        <v>453</v>
      </c>
      <c r="B28" s="75">
        <v>0.6005284434</v>
      </c>
      <c r="C28" s="76">
        <f>К.П.Д.1/(f_50_hz/f_nom)</f>
        <v>0.6005284434</v>
      </c>
    </row>
    <row r="29" spans="1:47" x14ac:dyDescent="0.2">
      <c r="A29" s="74" t="s">
        <v>454</v>
      </c>
      <c r="B29" s="75">
        <v>-6.0567848509999996E-3</v>
      </c>
      <c r="C29" s="76">
        <f>К.П.Д.2/((f_50_hz/f_nom)^2)</f>
        <v>-6.0567848509999996E-3</v>
      </c>
    </row>
    <row r="30" spans="1:47" x14ac:dyDescent="0.2">
      <c r="A30" s="74" t="s">
        <v>455</v>
      </c>
      <c r="B30" s="75">
        <v>5.0448815140000003E-5</v>
      </c>
      <c r="C30" s="76">
        <f>К.П.Д.3/((f_50_hz/f_nom)^3)</f>
        <v>5.0448815140000003E-5</v>
      </c>
    </row>
    <row r="31" spans="1:47" x14ac:dyDescent="0.2">
      <c r="A31" s="74" t="s">
        <v>456</v>
      </c>
      <c r="B31" s="75">
        <v>-2.2857385210000001E-7</v>
      </c>
      <c r="C31" s="76">
        <f>К.П.Д.4/((f_50_hz/f_nom)^4)</f>
        <v>-2.2857385210000001E-7</v>
      </c>
    </row>
    <row r="32" spans="1:47" x14ac:dyDescent="0.2">
      <c r="A32" s="74" t="s">
        <v>457</v>
      </c>
      <c r="B32" s="75">
        <v>4.8696517969999995E-10</v>
      </c>
      <c r="C32" s="76">
        <f>К.П.Д.5/((f_50_hz/f_nom)^5)</f>
        <v>4.8696517969999995E-10</v>
      </c>
    </row>
    <row r="33" spans="1:22" x14ac:dyDescent="0.2">
      <c r="A33" s="74" t="s">
        <v>458</v>
      </c>
      <c r="B33" s="75">
        <v>-3.9734963420000001E-13</v>
      </c>
      <c r="C33" s="76">
        <f>К.П.Д.6/((f_50_hz/f_nom)^6)</f>
        <v>-3.9734963420000001E-13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6.610528854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6.610528854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149.076087</v>
      </c>
      <c r="I42" s="84">
        <f>H42/1000</f>
        <v>0.149076087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-0.3045062046</v>
      </c>
      <c r="K42" s="84">
        <f>J42/100</f>
        <v>-3.0450620460000001E-3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6.610528854</v>
      </c>
      <c r="R42" s="87">
        <f>D42</f>
        <v>1E-3</v>
      </c>
      <c r="S42" s="47">
        <f t="shared" ref="S42:S73" si="8">I42*(f_50_hz/f_nom)^3</f>
        <v>0.149076087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6.610528854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149.076087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-0.3045062046</v>
      </c>
    </row>
    <row r="43" spans="1:22" x14ac:dyDescent="0.2">
      <c r="A43" s="80">
        <v>2</v>
      </c>
      <c r="B43" s="81">
        <v>8.2653061224489797</v>
      </c>
      <c r="C43" s="82">
        <v>6.6138504699068799</v>
      </c>
      <c r="D43" s="82">
        <v>4.2727118978801999E-2</v>
      </c>
      <c r="E43" s="75">
        <v>0.14512309916006499</v>
      </c>
      <c r="G43" s="89">
        <f t="shared" si="2"/>
        <v>6.6138504699068834</v>
      </c>
      <c r="H43" s="90">
        <f t="shared" si="3"/>
        <v>154.64007489207592</v>
      </c>
      <c r="I43" s="90">
        <f t="shared" ref="I43:I91" si="12">H43/1000</f>
        <v>0.15464007489207593</v>
      </c>
      <c r="J43" s="90">
        <f t="shared" si="4"/>
        <v>4.2727118978802094</v>
      </c>
      <c r="K43" s="90">
        <f t="shared" ref="K43:K91" si="13">J43/100</f>
        <v>4.2727118978802096E-2</v>
      </c>
      <c r="L43" s="90">
        <f t="shared" si="5"/>
        <v>6.2068118408596771</v>
      </c>
      <c r="M43" s="90">
        <f t="shared" ref="M43:M91" si="14">IF(K43&gt;0,L43/K43,0)/1000</f>
        <v>0.14526633176318343</v>
      </c>
      <c r="N43" s="91">
        <f t="shared" ref="N43:N91" si="15">L43/H43</f>
        <v>4.0137149734255126E-2</v>
      </c>
      <c r="P43" s="86">
        <f t="shared" si="6"/>
        <v>8.2653061224489797</v>
      </c>
      <c r="Q43" s="47">
        <f t="shared" si="7"/>
        <v>6.6138504699068799</v>
      </c>
      <c r="R43" s="87">
        <f t="shared" ref="R43:R91" si="16">D43</f>
        <v>4.2727118978801999E-2</v>
      </c>
      <c r="S43" s="47">
        <f t="shared" si="8"/>
        <v>0.15464007489207593</v>
      </c>
      <c r="T43" s="88">
        <f t="shared" si="9"/>
        <v>6.6138504699068834</v>
      </c>
      <c r="U43" s="88">
        <f t="shared" si="10"/>
        <v>154.64007489207592</v>
      </c>
      <c r="V43" s="88">
        <f t="shared" si="11"/>
        <v>4.2727118978802094</v>
      </c>
    </row>
    <row r="44" spans="1:22" x14ac:dyDescent="0.2">
      <c r="A44" s="80">
        <v>3</v>
      </c>
      <c r="B44" s="81">
        <v>16.530612244897899</v>
      </c>
      <c r="C44" s="82">
        <v>6.5843784654941704</v>
      </c>
      <c r="D44" s="82">
        <v>8.1789237687907898E-2</v>
      </c>
      <c r="E44" s="75">
        <v>0.15095044707237301</v>
      </c>
      <c r="G44" s="89">
        <f t="shared" si="2"/>
        <v>6.584378465494173</v>
      </c>
      <c r="H44" s="90">
        <f t="shared" si="3"/>
        <v>160.35411660049576</v>
      </c>
      <c r="I44" s="90">
        <f t="shared" si="12"/>
        <v>0.16035411660049576</v>
      </c>
      <c r="J44" s="90">
        <f t="shared" si="4"/>
        <v>8.1789237687907708</v>
      </c>
      <c r="K44" s="90">
        <f t="shared" si="13"/>
        <v>8.1789237687907704E-2</v>
      </c>
      <c r="L44" s="90">
        <f t="shared" si="5"/>
        <v>12.358307285681935</v>
      </c>
      <c r="M44" s="90">
        <f t="shared" si="14"/>
        <v>0.15109943111144894</v>
      </c>
      <c r="N44" s="91">
        <f t="shared" si="15"/>
        <v>7.7068849541738094E-2</v>
      </c>
      <c r="P44" s="86">
        <f t="shared" si="6"/>
        <v>16.530612244897899</v>
      </c>
      <c r="Q44" s="47">
        <f t="shared" si="7"/>
        <v>6.5843784654941704</v>
      </c>
      <c r="R44" s="87">
        <f t="shared" si="16"/>
        <v>8.1789237687907898E-2</v>
      </c>
      <c r="S44" s="47">
        <f t="shared" si="8"/>
        <v>0.16035411660049576</v>
      </c>
      <c r="T44" s="88">
        <f t="shared" si="9"/>
        <v>6.584378465494173</v>
      </c>
      <c r="U44" s="88">
        <f t="shared" si="10"/>
        <v>160.35411660049576</v>
      </c>
      <c r="V44" s="88">
        <f t="shared" si="11"/>
        <v>8.1789237687907708</v>
      </c>
    </row>
    <row r="45" spans="1:22" x14ac:dyDescent="0.2">
      <c r="A45" s="80">
        <v>4</v>
      </c>
      <c r="B45" s="81">
        <v>24.7959183673469</v>
      </c>
      <c r="C45" s="82">
        <v>6.5350090837431196</v>
      </c>
      <c r="D45" s="82">
        <v>0.11549390212614601</v>
      </c>
      <c r="E45" s="75">
        <v>0.15914543217941801</v>
      </c>
      <c r="G45" s="89">
        <f t="shared" si="2"/>
        <v>6.5350090837431294</v>
      </c>
      <c r="H45" s="90">
        <f t="shared" si="3"/>
        <v>166.2215836750984</v>
      </c>
      <c r="I45" s="90">
        <f t="shared" si="12"/>
        <v>0.1662215836750984</v>
      </c>
      <c r="J45" s="90">
        <f t="shared" si="4"/>
        <v>11.549390212614624</v>
      </c>
      <c r="K45" s="90">
        <f t="shared" si="13"/>
        <v>0.11549390212614624</v>
      </c>
      <c r="L45" s="90">
        <f t="shared" si="5"/>
        <v>18.398467857260179</v>
      </c>
      <c r="M45" s="90">
        <f t="shared" si="14"/>
        <v>0.15930250444880428</v>
      </c>
      <c r="N45" s="91">
        <f t="shared" si="15"/>
        <v>0.11068639493426057</v>
      </c>
      <c r="P45" s="86">
        <f t="shared" si="6"/>
        <v>24.7959183673469</v>
      </c>
      <c r="Q45" s="47">
        <f t="shared" si="7"/>
        <v>6.5350090837431196</v>
      </c>
      <c r="R45" s="87">
        <f t="shared" si="16"/>
        <v>0.11549390212614601</v>
      </c>
      <c r="S45" s="47">
        <f t="shared" si="8"/>
        <v>0.1662215836750984</v>
      </c>
      <c r="T45" s="88">
        <f t="shared" si="9"/>
        <v>6.5350090837431294</v>
      </c>
      <c r="U45" s="88">
        <f t="shared" si="10"/>
        <v>166.2215836750984</v>
      </c>
      <c r="V45" s="88">
        <f t="shared" si="11"/>
        <v>11.549390212614624</v>
      </c>
    </row>
    <row r="46" spans="1:22" x14ac:dyDescent="0.2">
      <c r="A46" s="80">
        <v>5</v>
      </c>
      <c r="B46" s="81">
        <v>33.061224489795897</v>
      </c>
      <c r="C46" s="82">
        <v>6.4761270581843702</v>
      </c>
      <c r="D46" s="82">
        <v>0.14498080631361299</v>
      </c>
      <c r="E46" s="75">
        <v>0.16751381282935399</v>
      </c>
      <c r="G46" s="89">
        <f t="shared" si="2"/>
        <v>6.4761270581843755</v>
      </c>
      <c r="H46" s="90">
        <f t="shared" si="3"/>
        <v>172.24488826108265</v>
      </c>
      <c r="I46" s="90">
        <f t="shared" si="12"/>
        <v>0.17224488826108264</v>
      </c>
      <c r="J46" s="90">
        <f t="shared" si="4"/>
        <v>14.498080631361375</v>
      </c>
      <c r="K46" s="90">
        <f t="shared" si="13"/>
        <v>0.14498080631361376</v>
      </c>
      <c r="L46" s="90">
        <f t="shared" si="5"/>
        <v>24.310257566628305</v>
      </c>
      <c r="M46" s="90">
        <f t="shared" si="14"/>
        <v>0.1676791444657979</v>
      </c>
      <c r="N46" s="91">
        <f t="shared" si="15"/>
        <v>0.14113775922208899</v>
      </c>
      <c r="P46" s="86">
        <f t="shared" si="6"/>
        <v>33.061224489795897</v>
      </c>
      <c r="Q46" s="47">
        <f t="shared" si="7"/>
        <v>6.4761270581843702</v>
      </c>
      <c r="R46" s="87">
        <f t="shared" si="16"/>
        <v>0.14498080631361299</v>
      </c>
      <c r="S46" s="47">
        <f t="shared" si="8"/>
        <v>0.17224488826108264</v>
      </c>
      <c r="T46" s="88">
        <f t="shared" si="9"/>
        <v>6.4761270581843755</v>
      </c>
      <c r="U46" s="88">
        <f t="shared" si="10"/>
        <v>172.24488826108265</v>
      </c>
      <c r="V46" s="88">
        <f t="shared" si="11"/>
        <v>14.498080631361375</v>
      </c>
    </row>
    <row r="47" spans="1:22" x14ac:dyDescent="0.2">
      <c r="A47" s="80">
        <v>6</v>
      </c>
      <c r="B47" s="81">
        <v>41.326530612244802</v>
      </c>
      <c r="C47" s="82">
        <v>6.4158670979208798</v>
      </c>
      <c r="D47" s="82">
        <v>0.17119699094482399</v>
      </c>
      <c r="E47" s="75">
        <v>0.17567704549647201</v>
      </c>
      <c r="G47" s="89">
        <f t="shared" si="2"/>
        <v>6.4158670979208869</v>
      </c>
      <c r="H47" s="90">
        <f t="shared" si="3"/>
        <v>178.42548309900729</v>
      </c>
      <c r="I47" s="90">
        <f t="shared" si="12"/>
        <v>0.1784254830990073</v>
      </c>
      <c r="J47" s="90">
        <f t="shared" si="4"/>
        <v>17.119699094482382</v>
      </c>
      <c r="K47" s="90">
        <f t="shared" si="13"/>
        <v>0.17119699094482382</v>
      </c>
      <c r="L47" s="90">
        <f t="shared" si="5"/>
        <v>30.105065161321917</v>
      </c>
      <c r="M47" s="90">
        <f t="shared" si="14"/>
        <v>0.17585043402441969</v>
      </c>
      <c r="N47" s="91">
        <f t="shared" si="15"/>
        <v>0.16872626397551513</v>
      </c>
      <c r="P47" s="86">
        <f t="shared" si="6"/>
        <v>41.326530612244802</v>
      </c>
      <c r="Q47" s="47">
        <f t="shared" si="7"/>
        <v>6.4158670979208798</v>
      </c>
      <c r="R47" s="87">
        <f t="shared" si="16"/>
        <v>0.17119699094482399</v>
      </c>
      <c r="S47" s="47">
        <f t="shared" si="8"/>
        <v>0.1784254830990073</v>
      </c>
      <c r="T47" s="88">
        <f t="shared" si="9"/>
        <v>6.4158670979208869</v>
      </c>
      <c r="U47" s="88">
        <f t="shared" si="10"/>
        <v>178.42548309900729</v>
      </c>
      <c r="V47" s="88">
        <f t="shared" si="11"/>
        <v>17.119699094482382</v>
      </c>
    </row>
    <row r="48" spans="1:22" x14ac:dyDescent="0.2">
      <c r="A48" s="80">
        <v>7</v>
      </c>
      <c r="B48" s="81">
        <v>49.5918367346938</v>
      </c>
      <c r="C48" s="82">
        <v>6.3603630563142897</v>
      </c>
      <c r="D48" s="82">
        <v>0.19491619195316701</v>
      </c>
      <c r="E48" s="75">
        <v>0.18355702961090001</v>
      </c>
      <c r="G48" s="89">
        <f t="shared" si="2"/>
        <v>6.3603630563142985</v>
      </c>
      <c r="H48" s="90">
        <f t="shared" si="3"/>
        <v>184.76386152479139</v>
      </c>
      <c r="I48" s="90">
        <f t="shared" si="12"/>
        <v>0.18476386152479141</v>
      </c>
      <c r="J48" s="90">
        <f t="shared" si="4"/>
        <v>19.49161919531673</v>
      </c>
      <c r="K48" s="90">
        <f t="shared" si="13"/>
        <v>0.19491619195316731</v>
      </c>
      <c r="L48" s="90">
        <f t="shared" si="5"/>
        <v>35.813549377677795</v>
      </c>
      <c r="M48" s="90">
        <f t="shared" si="14"/>
        <v>0.18373819547163506</v>
      </c>
      <c r="N48" s="91">
        <f t="shared" si="15"/>
        <v>0.1938341680138157</v>
      </c>
      <c r="P48" s="86">
        <f t="shared" si="6"/>
        <v>49.5918367346938</v>
      </c>
      <c r="Q48" s="47">
        <f t="shared" si="7"/>
        <v>6.3603630563142897</v>
      </c>
      <c r="R48" s="87">
        <f t="shared" si="16"/>
        <v>0.19491619195316701</v>
      </c>
      <c r="S48" s="47">
        <f t="shared" si="8"/>
        <v>0.18476386152479141</v>
      </c>
      <c r="T48" s="88">
        <f t="shared" si="9"/>
        <v>6.3603630563142985</v>
      </c>
      <c r="U48" s="88">
        <f t="shared" si="10"/>
        <v>184.76386152479139</v>
      </c>
      <c r="V48" s="88">
        <f t="shared" si="11"/>
        <v>19.49161919531673</v>
      </c>
    </row>
    <row r="49" spans="1:22" x14ac:dyDescent="0.2">
      <c r="A49" s="80">
        <v>8</v>
      </c>
      <c r="B49" s="81">
        <v>57.857142857142797</v>
      </c>
      <c r="C49" s="82">
        <v>6.3139847833345097</v>
      </c>
      <c r="D49" s="82">
        <v>0.21675727694068</v>
      </c>
      <c r="E49" s="75">
        <v>0.19116732668253</v>
      </c>
      <c r="G49" s="89">
        <f t="shared" si="2"/>
        <v>6.3139847833345133</v>
      </c>
      <c r="H49" s="90">
        <f t="shared" si="3"/>
        <v>191.2595574697138</v>
      </c>
      <c r="I49" s="90">
        <f t="shared" si="12"/>
        <v>0.19125955746971379</v>
      </c>
      <c r="J49" s="90">
        <f t="shared" si="4"/>
        <v>21.675727694067991</v>
      </c>
      <c r="K49" s="90">
        <f t="shared" si="13"/>
        <v>0.21675727694067992</v>
      </c>
      <c r="L49" s="90">
        <f t="shared" si="5"/>
        <v>41.477806288735373</v>
      </c>
      <c r="M49" s="90">
        <f t="shared" si="14"/>
        <v>0.19135600370218078</v>
      </c>
      <c r="N49" s="91">
        <f t="shared" si="15"/>
        <v>0.21686658087820493</v>
      </c>
      <c r="P49" s="86">
        <f t="shared" si="6"/>
        <v>57.857142857142797</v>
      </c>
      <c r="Q49" s="47">
        <f t="shared" si="7"/>
        <v>6.3139847833345097</v>
      </c>
      <c r="R49" s="87">
        <f t="shared" si="16"/>
        <v>0.21675727694068</v>
      </c>
      <c r="S49" s="47">
        <f t="shared" si="8"/>
        <v>0.19125955746971379</v>
      </c>
      <c r="T49" s="88">
        <f t="shared" si="9"/>
        <v>6.3139847833345133</v>
      </c>
      <c r="U49" s="88">
        <f t="shared" si="10"/>
        <v>191.2595574697138</v>
      </c>
      <c r="V49" s="88">
        <f t="shared" si="11"/>
        <v>21.675727694067991</v>
      </c>
    </row>
    <row r="50" spans="1:22" x14ac:dyDescent="0.2">
      <c r="A50" s="80">
        <v>9</v>
      </c>
      <c r="B50" s="81">
        <v>66.122448979591795</v>
      </c>
      <c r="C50" s="82">
        <v>6.2795626615726201</v>
      </c>
      <c r="D50" s="82">
        <v>0.23720176947312199</v>
      </c>
      <c r="E50" s="75">
        <v>0.19855793315949</v>
      </c>
      <c r="G50" s="89">
        <f t="shared" si="2"/>
        <v>6.2795626615726219</v>
      </c>
      <c r="H50" s="90">
        <f t="shared" si="3"/>
        <v>197.91114546041356</v>
      </c>
      <c r="I50" s="90">
        <f t="shared" si="12"/>
        <v>0.19791114546041355</v>
      </c>
      <c r="J50" s="90">
        <f t="shared" si="4"/>
        <v>23.720176947312236</v>
      </c>
      <c r="K50" s="90">
        <f t="shared" si="13"/>
        <v>0.23720176947312235</v>
      </c>
      <c r="L50" s="90">
        <f t="shared" si="5"/>
        <v>47.144777839306656</v>
      </c>
      <c r="M50" s="90">
        <f t="shared" si="14"/>
        <v>0.19875390450933669</v>
      </c>
      <c r="N50" s="91">
        <f t="shared" si="15"/>
        <v>0.23821183859873427</v>
      </c>
      <c r="P50" s="86">
        <f t="shared" si="6"/>
        <v>66.122448979591795</v>
      </c>
      <c r="Q50" s="47">
        <f t="shared" si="7"/>
        <v>6.2795626615726201</v>
      </c>
      <c r="R50" s="87">
        <f t="shared" si="16"/>
        <v>0.23720176947312199</v>
      </c>
      <c r="S50" s="47">
        <f t="shared" si="8"/>
        <v>0.19791114546041355</v>
      </c>
      <c r="T50" s="88">
        <f t="shared" si="9"/>
        <v>6.2795626615726219</v>
      </c>
      <c r="U50" s="88">
        <f t="shared" si="10"/>
        <v>197.91114546041356</v>
      </c>
      <c r="V50" s="88">
        <f t="shared" si="11"/>
        <v>23.720176947312236</v>
      </c>
    </row>
    <row r="51" spans="1:22" x14ac:dyDescent="0.2">
      <c r="A51" s="80">
        <v>10</v>
      </c>
      <c r="B51" s="81">
        <v>74.387755102040799</v>
      </c>
      <c r="C51" s="82">
        <v>6.2585998259171101</v>
      </c>
      <c r="D51" s="82">
        <v>0.25661046124036802</v>
      </c>
      <c r="E51" s="75">
        <v>0.205793246445795</v>
      </c>
      <c r="G51" s="89">
        <f t="shared" si="2"/>
        <v>6.2585998259171136</v>
      </c>
      <c r="H51" s="90">
        <f t="shared" si="3"/>
        <v>204.71624061888969</v>
      </c>
      <c r="I51" s="90">
        <f t="shared" si="12"/>
        <v>0.20471624061888968</v>
      </c>
      <c r="J51" s="90">
        <f t="shared" si="4"/>
        <v>25.661046124036822</v>
      </c>
      <c r="K51" s="90">
        <f t="shared" si="13"/>
        <v>0.25661046124036824</v>
      </c>
      <c r="L51" s="90">
        <f t="shared" si="5"/>
        <v>52.860820659778838</v>
      </c>
      <c r="M51" s="90">
        <f t="shared" si="14"/>
        <v>0.20599635885562692</v>
      </c>
      <c r="N51" s="91">
        <f t="shared" si="15"/>
        <v>0.25821508103105151</v>
      </c>
      <c r="P51" s="86">
        <f t="shared" si="6"/>
        <v>74.387755102040799</v>
      </c>
      <c r="Q51" s="47">
        <f t="shared" si="7"/>
        <v>6.2585998259171101</v>
      </c>
      <c r="R51" s="87">
        <f t="shared" si="16"/>
        <v>0.25661046124036802</v>
      </c>
      <c r="S51" s="47">
        <f t="shared" si="8"/>
        <v>0.20471624061888968</v>
      </c>
      <c r="T51" s="88">
        <f t="shared" si="9"/>
        <v>6.2585998259171136</v>
      </c>
      <c r="U51" s="88">
        <f t="shared" si="10"/>
        <v>204.71624061888969</v>
      </c>
      <c r="V51" s="88">
        <f t="shared" si="11"/>
        <v>25.661046124036822</v>
      </c>
    </row>
    <row r="52" spans="1:22" x14ac:dyDescent="0.2">
      <c r="A52" s="80">
        <v>11</v>
      </c>
      <c r="B52" s="81">
        <v>82.653061224489704</v>
      </c>
      <c r="C52" s="82">
        <v>6.2514720668934096</v>
      </c>
      <c r="D52" s="82">
        <v>0.275239112082102</v>
      </c>
      <c r="E52" s="75">
        <v>0.21294033320904199</v>
      </c>
      <c r="G52" s="89">
        <f t="shared" si="2"/>
        <v>6.2514720668934105</v>
      </c>
      <c r="H52" s="90">
        <f t="shared" si="3"/>
        <v>211.67149866250116</v>
      </c>
      <c r="I52" s="90">
        <f t="shared" si="12"/>
        <v>0.21167149866250118</v>
      </c>
      <c r="J52" s="90">
        <f t="shared" si="4"/>
        <v>27.523911208210237</v>
      </c>
      <c r="K52" s="90">
        <f t="shared" si="13"/>
        <v>0.27523911208210239</v>
      </c>
      <c r="L52" s="90">
        <f t="shared" si="5"/>
        <v>58.667354250214565</v>
      </c>
      <c r="M52" s="90">
        <f t="shared" si="14"/>
        <v>0.21315049960164964</v>
      </c>
      <c r="N52" s="91">
        <f t="shared" si="15"/>
        <v>0.27716227560592138</v>
      </c>
      <c r="P52" s="86">
        <f t="shared" si="6"/>
        <v>82.653061224489704</v>
      </c>
      <c r="Q52" s="47">
        <f t="shared" si="7"/>
        <v>6.2514720668934096</v>
      </c>
      <c r="R52" s="87">
        <f t="shared" si="16"/>
        <v>0.275239112082102</v>
      </c>
      <c r="S52" s="47">
        <f t="shared" si="8"/>
        <v>0.21167149866250118</v>
      </c>
      <c r="T52" s="88">
        <f t="shared" si="9"/>
        <v>6.2514720668934105</v>
      </c>
      <c r="U52" s="88">
        <f t="shared" si="10"/>
        <v>211.67149866250116</v>
      </c>
      <c r="V52" s="88">
        <f t="shared" si="11"/>
        <v>27.523911208210237</v>
      </c>
    </row>
    <row r="53" spans="1:22" x14ac:dyDescent="0.2">
      <c r="A53" s="80">
        <v>12</v>
      </c>
      <c r="B53" s="81">
        <v>90.918367346938695</v>
      </c>
      <c r="C53" s="82">
        <v>6.25761541766669</v>
      </c>
      <c r="D53" s="82">
        <v>0.29325323787883001</v>
      </c>
      <c r="E53" s="75">
        <v>0.22006172873173899</v>
      </c>
      <c r="G53" s="89">
        <f t="shared" si="2"/>
        <v>6.257615417666698</v>
      </c>
      <c r="H53" s="90">
        <f t="shared" si="3"/>
        <v>218.77261590396719</v>
      </c>
      <c r="I53" s="90">
        <f t="shared" si="12"/>
        <v>0.21877261590396718</v>
      </c>
      <c r="J53" s="90">
        <f t="shared" si="4"/>
        <v>29.325323787882994</v>
      </c>
      <c r="K53" s="90">
        <f t="shared" si="13"/>
        <v>0.29325323787882995</v>
      </c>
      <c r="L53" s="90">
        <f t="shared" si="5"/>
        <v>64.597507626314908</v>
      </c>
      <c r="M53" s="90">
        <f t="shared" si="14"/>
        <v>0.2202789237505576</v>
      </c>
      <c r="N53" s="91">
        <f t="shared" si="15"/>
        <v>0.29527236468512469</v>
      </c>
      <c r="P53" s="86">
        <f t="shared" si="6"/>
        <v>90.918367346938709</v>
      </c>
      <c r="Q53" s="47">
        <f t="shared" si="7"/>
        <v>6.25761541766669</v>
      </c>
      <c r="R53" s="87">
        <f t="shared" si="16"/>
        <v>0.29325323787883001</v>
      </c>
      <c r="S53" s="47">
        <f t="shared" si="8"/>
        <v>0.21877261590396718</v>
      </c>
      <c r="T53" s="88">
        <f t="shared" si="9"/>
        <v>6.257615417666698</v>
      </c>
      <c r="U53" s="88">
        <f t="shared" si="10"/>
        <v>218.77261590396722</v>
      </c>
      <c r="V53" s="88">
        <f t="shared" si="11"/>
        <v>29.325323787883004</v>
      </c>
    </row>
    <row r="54" spans="1:22" x14ac:dyDescent="0.2">
      <c r="A54" s="80">
        <v>13</v>
      </c>
      <c r="B54" s="81">
        <v>99.183673469387699</v>
      </c>
      <c r="C54" s="82">
        <v>6.2757014247080596</v>
      </c>
      <c r="D54" s="82">
        <v>0.310741986308193</v>
      </c>
      <c r="E54" s="75">
        <v>0.22721100584340101</v>
      </c>
      <c r="G54" s="89">
        <f t="shared" si="2"/>
        <v>6.2757014247080614</v>
      </c>
      <c r="H54" s="90">
        <f t="shared" si="3"/>
        <v>226.01432925136686</v>
      </c>
      <c r="I54" s="90">
        <f t="shared" si="12"/>
        <v>0.22601432925136686</v>
      </c>
      <c r="J54" s="90">
        <f t="shared" si="4"/>
        <v>31.074198630819328</v>
      </c>
      <c r="K54" s="90">
        <f t="shared" si="13"/>
        <v>0.31074198630819327</v>
      </c>
      <c r="L54" s="90">
        <f t="shared" si="5"/>
        <v>70.673683518810492</v>
      </c>
      <c r="M54" s="90">
        <f t="shared" si="14"/>
        <v>0.22743525700680972</v>
      </c>
      <c r="N54" s="91">
        <f t="shared" si="15"/>
        <v>0.31269558772182621</v>
      </c>
      <c r="P54" s="86">
        <f t="shared" si="6"/>
        <v>99.183673469387699</v>
      </c>
      <c r="Q54" s="47">
        <f t="shared" si="7"/>
        <v>6.2757014247080596</v>
      </c>
      <c r="R54" s="87">
        <f t="shared" si="16"/>
        <v>0.310741986308193</v>
      </c>
      <c r="S54" s="47">
        <f t="shared" si="8"/>
        <v>0.22601432925136686</v>
      </c>
      <c r="T54" s="88">
        <f t="shared" si="9"/>
        <v>6.2757014247080614</v>
      </c>
      <c r="U54" s="88">
        <f t="shared" si="10"/>
        <v>226.01432925136686</v>
      </c>
      <c r="V54" s="88">
        <f t="shared" si="11"/>
        <v>31.074198630819328</v>
      </c>
    </row>
    <row r="55" spans="1:22" x14ac:dyDescent="0.2">
      <c r="A55" s="80">
        <v>14</v>
      </c>
      <c r="B55" s="81">
        <v>107.44897959183599</v>
      </c>
      <c r="C55" s="82">
        <v>6.3038001021239198</v>
      </c>
      <c r="D55" s="82">
        <v>0.32773110046659998</v>
      </c>
      <c r="E55" s="75">
        <v>0.23443039074616301</v>
      </c>
      <c r="G55" s="89">
        <f t="shared" si="2"/>
        <v>6.3038001021239261</v>
      </c>
      <c r="H55" s="90">
        <f t="shared" si="3"/>
        <v>233.39041620813873</v>
      </c>
      <c r="I55" s="90">
        <f t="shared" si="12"/>
        <v>0.23339041620813872</v>
      </c>
      <c r="J55" s="90">
        <f t="shared" si="4"/>
        <v>32.773110046659852</v>
      </c>
      <c r="K55" s="90">
        <f t="shared" si="13"/>
        <v>0.32773110046659854</v>
      </c>
      <c r="L55" s="90">
        <f t="shared" si="5"/>
        <v>76.905959217843559</v>
      </c>
      <c r="M55" s="90">
        <f t="shared" si="14"/>
        <v>0.23466176724867041</v>
      </c>
      <c r="N55" s="91">
        <f t="shared" si="15"/>
        <v>0.32951635490147307</v>
      </c>
      <c r="P55" s="86">
        <f t="shared" si="6"/>
        <v>107.44897959183599</v>
      </c>
      <c r="Q55" s="47">
        <f t="shared" si="7"/>
        <v>6.3038001021239198</v>
      </c>
      <c r="R55" s="87">
        <f t="shared" si="16"/>
        <v>0.32773110046659998</v>
      </c>
      <c r="S55" s="47">
        <f t="shared" si="8"/>
        <v>0.23339041620813872</v>
      </c>
      <c r="T55" s="88">
        <f t="shared" si="9"/>
        <v>6.3038001021239261</v>
      </c>
      <c r="U55" s="88">
        <f t="shared" si="10"/>
        <v>233.39041620813873</v>
      </c>
      <c r="V55" s="88">
        <f t="shared" si="11"/>
        <v>32.773110046659852</v>
      </c>
    </row>
    <row r="56" spans="1:22" x14ac:dyDescent="0.2">
      <c r="A56" s="80">
        <v>15</v>
      </c>
      <c r="B56" s="81">
        <v>115.714285714285</v>
      </c>
      <c r="C56" s="82">
        <v>6.3395305696488098</v>
      </c>
      <c r="D56" s="82">
        <v>0.34419497035615998</v>
      </c>
      <c r="E56" s="75">
        <v>0.241749953237437</v>
      </c>
      <c r="G56" s="89">
        <f t="shared" si="2"/>
        <v>6.3395305696488142</v>
      </c>
      <c r="H56" s="90">
        <f t="shared" si="3"/>
        <v>240.89369487308332</v>
      </c>
      <c r="I56" s="90">
        <f t="shared" si="12"/>
        <v>0.24089369487308332</v>
      </c>
      <c r="J56" s="90">
        <f t="shared" si="4"/>
        <v>34.419497035615926</v>
      </c>
      <c r="K56" s="90">
        <f t="shared" si="13"/>
        <v>0.34419497035615926</v>
      </c>
      <c r="L56" s="90">
        <f t="shared" si="5"/>
        <v>83.291243153912205</v>
      </c>
      <c r="M56" s="90">
        <f t="shared" si="14"/>
        <v>0.24198855395163313</v>
      </c>
      <c r="N56" s="91">
        <f t="shared" si="15"/>
        <v>0.34575933254622887</v>
      </c>
      <c r="P56" s="86">
        <f t="shared" si="6"/>
        <v>115.714285714285</v>
      </c>
      <c r="Q56" s="47">
        <f t="shared" si="7"/>
        <v>6.3395305696488098</v>
      </c>
      <c r="R56" s="87">
        <f t="shared" si="16"/>
        <v>0.34419497035615998</v>
      </c>
      <c r="S56" s="47">
        <f t="shared" si="8"/>
        <v>0.24089369487308332</v>
      </c>
      <c r="T56" s="88">
        <f t="shared" si="9"/>
        <v>6.3395305696488142</v>
      </c>
      <c r="U56" s="88">
        <f t="shared" si="10"/>
        <v>240.89369487308332</v>
      </c>
      <c r="V56" s="88">
        <f t="shared" si="11"/>
        <v>34.419497035615926</v>
      </c>
    </row>
    <row r="57" spans="1:22" x14ac:dyDescent="0.2">
      <c r="A57" s="80">
        <v>16</v>
      </c>
      <c r="B57" s="81">
        <v>123.979591836734</v>
      </c>
      <c r="C57" s="82">
        <v>6.3801993743013998</v>
      </c>
      <c r="D57" s="82">
        <v>0.36006777223693598</v>
      </c>
      <c r="E57" s="75">
        <v>0.249187951553383</v>
      </c>
      <c r="G57" s="89">
        <f t="shared" si="2"/>
        <v>6.3801993743014007</v>
      </c>
      <c r="H57" s="90">
        <f t="shared" si="3"/>
        <v>248.51602394035913</v>
      </c>
      <c r="I57" s="90">
        <f t="shared" si="12"/>
        <v>0.24851602394035913</v>
      </c>
      <c r="J57" s="90">
        <f t="shared" si="4"/>
        <v>36.006777223693462</v>
      </c>
      <c r="K57" s="90">
        <f t="shared" si="13"/>
        <v>0.36006777223693459</v>
      </c>
      <c r="L57" s="90">
        <f t="shared" si="5"/>
        <v>89.813106306930393</v>
      </c>
      <c r="M57" s="90">
        <f t="shared" si="14"/>
        <v>0.24943389337224792</v>
      </c>
      <c r="N57" s="91">
        <f t="shared" si="15"/>
        <v>0.36139764705266836</v>
      </c>
      <c r="P57" s="86">
        <f t="shared" si="6"/>
        <v>123.979591836734</v>
      </c>
      <c r="Q57" s="47">
        <f t="shared" si="7"/>
        <v>6.3801993743013998</v>
      </c>
      <c r="R57" s="87">
        <f t="shared" si="16"/>
        <v>0.36006777223693598</v>
      </c>
      <c r="S57" s="47">
        <f t="shared" si="8"/>
        <v>0.24851602394035913</v>
      </c>
      <c r="T57" s="88">
        <f t="shared" si="9"/>
        <v>6.3801993743014007</v>
      </c>
      <c r="U57" s="88">
        <f t="shared" si="10"/>
        <v>248.51602394035913</v>
      </c>
      <c r="V57" s="88">
        <f t="shared" si="11"/>
        <v>36.006777223693462</v>
      </c>
    </row>
    <row r="58" spans="1:22" x14ac:dyDescent="0.2">
      <c r="A58" s="80">
        <v>17</v>
      </c>
      <c r="B58" s="81">
        <v>132.24489795918299</v>
      </c>
      <c r="C58" s="82">
        <v>6.4229264957038499</v>
      </c>
      <c r="D58" s="82">
        <v>0.37525369584449297</v>
      </c>
      <c r="E58" s="75">
        <v>0.25675194297960702</v>
      </c>
      <c r="G58" s="89">
        <f t="shared" si="2"/>
        <v>6.4229264957038561</v>
      </c>
      <c r="H58" s="90">
        <f t="shared" si="3"/>
        <v>256.24830269948552</v>
      </c>
      <c r="I58" s="90">
        <f t="shared" si="12"/>
        <v>0.25624830269948551</v>
      </c>
      <c r="J58" s="90">
        <f t="shared" si="4"/>
        <v>37.52536958444918</v>
      </c>
      <c r="K58" s="90">
        <f t="shared" si="13"/>
        <v>0.37525369584449181</v>
      </c>
      <c r="L58" s="90">
        <f t="shared" si="5"/>
        <v>96.442207534981293</v>
      </c>
      <c r="M58" s="90">
        <f t="shared" si="14"/>
        <v>0.25700535025495852</v>
      </c>
      <c r="N58" s="91">
        <f t="shared" si="15"/>
        <v>0.37636232716079149</v>
      </c>
      <c r="P58" s="86">
        <f t="shared" si="6"/>
        <v>132.24489795918299</v>
      </c>
      <c r="Q58" s="47">
        <f t="shared" si="7"/>
        <v>6.4229264957038499</v>
      </c>
      <c r="R58" s="87">
        <f t="shared" si="16"/>
        <v>0.37525369584449297</v>
      </c>
      <c r="S58" s="47">
        <f t="shared" si="8"/>
        <v>0.25624830269948551</v>
      </c>
      <c r="T58" s="88">
        <f t="shared" si="9"/>
        <v>6.4229264957038561</v>
      </c>
      <c r="U58" s="88">
        <f t="shared" si="10"/>
        <v>256.24830269948552</v>
      </c>
      <c r="V58" s="88">
        <f t="shared" si="11"/>
        <v>37.52536958444918</v>
      </c>
    </row>
    <row r="59" spans="1:22" x14ac:dyDescent="0.2">
      <c r="A59" s="80">
        <v>18</v>
      </c>
      <c r="B59" s="81">
        <v>140.510204081632</v>
      </c>
      <c r="C59" s="82">
        <v>6.4647590350645396</v>
      </c>
      <c r="D59" s="82">
        <v>0.38963625947277403</v>
      </c>
      <c r="E59" s="75">
        <v>0.26444032376009902</v>
      </c>
      <c r="G59" s="89">
        <f t="shared" si="2"/>
        <v>6.464759035064537</v>
      </c>
      <c r="H59" s="90">
        <f t="shared" si="3"/>
        <v>264.08047103534193</v>
      </c>
      <c r="I59" s="90">
        <f t="shared" si="12"/>
        <v>0.26408047103534193</v>
      </c>
      <c r="J59" s="90">
        <f t="shared" si="4"/>
        <v>38.963625947277315</v>
      </c>
      <c r="K59" s="90">
        <f t="shared" si="13"/>
        <v>0.38963625947277314</v>
      </c>
      <c r="L59" s="90">
        <f t="shared" si="5"/>
        <v>103.13723191432159</v>
      </c>
      <c r="M59" s="90">
        <f t="shared" si="14"/>
        <v>0.26470131926089019</v>
      </c>
      <c r="N59" s="91">
        <f t="shared" si="15"/>
        <v>0.39055228699784739</v>
      </c>
      <c r="P59" s="86">
        <f t="shared" si="6"/>
        <v>140.510204081632</v>
      </c>
      <c r="Q59" s="47">
        <f t="shared" si="7"/>
        <v>6.4647590350645396</v>
      </c>
      <c r="R59" s="87">
        <f t="shared" si="16"/>
        <v>0.38963625947277403</v>
      </c>
      <c r="S59" s="47">
        <f t="shared" si="8"/>
        <v>0.26408047103534193</v>
      </c>
      <c r="T59" s="88">
        <f t="shared" si="9"/>
        <v>6.464759035064537</v>
      </c>
      <c r="U59" s="88">
        <f t="shared" si="10"/>
        <v>264.08047103534193</v>
      </c>
      <c r="V59" s="88">
        <f t="shared" si="11"/>
        <v>38.963625947277315</v>
      </c>
    </row>
    <row r="60" spans="1:22" x14ac:dyDescent="0.2">
      <c r="A60" s="80">
        <v>19</v>
      </c>
      <c r="B60" s="81">
        <v>148.775510204081</v>
      </c>
      <c r="C60" s="82">
        <v>6.50277258782394</v>
      </c>
      <c r="D60" s="82">
        <v>0.403086712922271</v>
      </c>
      <c r="E60" s="75">
        <v>0.27224403397746599</v>
      </c>
      <c r="G60" s="89">
        <f t="shared" si="2"/>
        <v>6.5027725878239391</v>
      </c>
      <c r="H60" s="90">
        <f t="shared" si="3"/>
        <v>272.00150942816748</v>
      </c>
      <c r="I60" s="90">
        <f t="shared" si="12"/>
        <v>0.27200150942816748</v>
      </c>
      <c r="J60" s="90">
        <f t="shared" si="4"/>
        <v>40.308671292227039</v>
      </c>
      <c r="K60" s="90">
        <f t="shared" si="13"/>
        <v>0.40308671292227038</v>
      </c>
      <c r="L60" s="90">
        <f t="shared" si="5"/>
        <v>109.84626118220152</v>
      </c>
      <c r="M60" s="90">
        <f t="shared" si="14"/>
        <v>0.27251273153075584</v>
      </c>
      <c r="N60" s="91">
        <f t="shared" si="15"/>
        <v>0.40384430738319366</v>
      </c>
      <c r="P60" s="86">
        <f t="shared" si="6"/>
        <v>148.775510204081</v>
      </c>
      <c r="Q60" s="47">
        <f t="shared" si="7"/>
        <v>6.50277258782394</v>
      </c>
      <c r="R60" s="87">
        <f t="shared" si="16"/>
        <v>0.403086712922271</v>
      </c>
      <c r="S60" s="47">
        <f t="shared" si="8"/>
        <v>0.27200150942816748</v>
      </c>
      <c r="T60" s="88">
        <f t="shared" si="9"/>
        <v>6.5027725878239391</v>
      </c>
      <c r="U60" s="88">
        <f t="shared" si="10"/>
        <v>272.00150942816748</v>
      </c>
      <c r="V60" s="88">
        <f t="shared" si="11"/>
        <v>40.308671292227039</v>
      </c>
    </row>
    <row r="61" spans="1:22" x14ac:dyDescent="0.2">
      <c r="A61" s="80">
        <v>20</v>
      </c>
      <c r="B61" s="81">
        <v>157.04081632653001</v>
      </c>
      <c r="C61" s="82">
        <v>6.5341602999639896</v>
      </c>
      <c r="D61" s="82">
        <v>0.41547152831351303</v>
      </c>
      <c r="E61" s="75">
        <v>0.280148241373117</v>
      </c>
      <c r="G61" s="89">
        <f t="shared" si="2"/>
        <v>6.5341602999639985</v>
      </c>
      <c r="H61" s="90">
        <f t="shared" si="3"/>
        <v>279.99943895356171</v>
      </c>
      <c r="I61" s="90">
        <f t="shared" si="12"/>
        <v>0.27999943895356172</v>
      </c>
      <c r="J61" s="90">
        <f t="shared" si="4"/>
        <v>41.547152831351319</v>
      </c>
      <c r="K61" s="90">
        <f t="shared" si="13"/>
        <v>0.41547152831351319</v>
      </c>
      <c r="L61" s="90">
        <f t="shared" si="5"/>
        <v>116.50849537407048</v>
      </c>
      <c r="M61" s="90">
        <f t="shared" si="14"/>
        <v>0.28042474016692098</v>
      </c>
      <c r="N61" s="91">
        <f t="shared" si="15"/>
        <v>0.41610260295340651</v>
      </c>
      <c r="P61" s="86">
        <f t="shared" si="6"/>
        <v>157.04081632653001</v>
      </c>
      <c r="Q61" s="47">
        <f t="shared" si="7"/>
        <v>6.5341602999639896</v>
      </c>
      <c r="R61" s="87">
        <f t="shared" si="16"/>
        <v>0.41547152831351303</v>
      </c>
      <c r="S61" s="47">
        <f t="shared" si="8"/>
        <v>0.27999943895356172</v>
      </c>
      <c r="T61" s="88">
        <f t="shared" si="9"/>
        <v>6.5341602999639985</v>
      </c>
      <c r="U61" s="88">
        <f t="shared" si="10"/>
        <v>279.99943895356171</v>
      </c>
      <c r="V61" s="88">
        <f t="shared" si="11"/>
        <v>41.547152831351319</v>
      </c>
    </row>
    <row r="62" spans="1:22" x14ac:dyDescent="0.2">
      <c r="A62" s="80">
        <v>21</v>
      </c>
      <c r="B62" s="81">
        <v>165.30612244897901</v>
      </c>
      <c r="C62" s="82">
        <v>6.55630960798063</v>
      </c>
      <c r="D62" s="82">
        <v>0.42665897876586201</v>
      </c>
      <c r="E62" s="75">
        <v>0.28813389008009299</v>
      </c>
      <c r="G62" s="89">
        <f t="shared" si="2"/>
        <v>6.5563096079806318</v>
      </c>
      <c r="H62" s="90">
        <f t="shared" si="3"/>
        <v>288.06132128248407</v>
      </c>
      <c r="I62" s="90">
        <f t="shared" si="12"/>
        <v>0.28806132128248407</v>
      </c>
      <c r="J62" s="90">
        <f t="shared" si="4"/>
        <v>42.665897876586193</v>
      </c>
      <c r="K62" s="90">
        <f t="shared" si="13"/>
        <v>0.42665897876586195</v>
      </c>
      <c r="L62" s="90">
        <f t="shared" si="5"/>
        <v>123.05624474672786</v>
      </c>
      <c r="M62" s="90">
        <f t="shared" si="14"/>
        <v>0.28841827049480084</v>
      </c>
      <c r="N62" s="91">
        <f t="shared" si="15"/>
        <v>0.42718767031570387</v>
      </c>
      <c r="P62" s="86">
        <f t="shared" si="6"/>
        <v>165.30612244897901</v>
      </c>
      <c r="Q62" s="47">
        <f t="shared" si="7"/>
        <v>6.55630960798063</v>
      </c>
      <c r="R62" s="87">
        <f t="shared" si="16"/>
        <v>0.42665897876586201</v>
      </c>
      <c r="S62" s="47">
        <f t="shared" si="8"/>
        <v>0.28806132128248407</v>
      </c>
      <c r="T62" s="88">
        <f t="shared" si="9"/>
        <v>6.5563096079806318</v>
      </c>
      <c r="U62" s="88">
        <f t="shared" si="10"/>
        <v>288.06132128248407</v>
      </c>
      <c r="V62" s="88">
        <f t="shared" si="11"/>
        <v>42.665897876586193</v>
      </c>
    </row>
    <row r="63" spans="1:22" x14ac:dyDescent="0.2">
      <c r="A63" s="80">
        <v>22</v>
      </c>
      <c r="B63" s="81">
        <v>173.57142857142799</v>
      </c>
      <c r="C63" s="82">
        <v>6.5668666625196703</v>
      </c>
      <c r="D63" s="82">
        <v>0.43652480494161899</v>
      </c>
      <c r="E63" s="75">
        <v>0.29617905865568001</v>
      </c>
      <c r="G63" s="89">
        <f t="shared" si="2"/>
        <v>6.5668666625196721</v>
      </c>
      <c r="H63" s="90">
        <f t="shared" si="3"/>
        <v>296.17325868125408</v>
      </c>
      <c r="I63" s="90">
        <f t="shared" si="12"/>
        <v>0.2961732586812541</v>
      </c>
      <c r="J63" s="90">
        <f t="shared" si="4"/>
        <v>43.652480494161878</v>
      </c>
      <c r="K63" s="90">
        <f t="shared" si="13"/>
        <v>0.43652480494161877</v>
      </c>
      <c r="L63" s="90">
        <f t="shared" si="5"/>
        <v>129.41711107898658</v>
      </c>
      <c r="M63" s="90">
        <f t="shared" si="14"/>
        <v>0.29647137943580304</v>
      </c>
      <c r="N63" s="91">
        <f t="shared" si="15"/>
        <v>0.43696420012809845</v>
      </c>
      <c r="P63" s="86">
        <f t="shared" si="6"/>
        <v>173.57142857142796</v>
      </c>
      <c r="Q63" s="47">
        <f t="shared" si="7"/>
        <v>6.5668666625196703</v>
      </c>
      <c r="R63" s="87">
        <f t="shared" si="16"/>
        <v>0.43652480494161899</v>
      </c>
      <c r="S63" s="47">
        <f t="shared" si="8"/>
        <v>0.2961732586812541</v>
      </c>
      <c r="T63" s="88">
        <f t="shared" si="9"/>
        <v>6.5668666625196757</v>
      </c>
      <c r="U63" s="88">
        <f t="shared" si="10"/>
        <v>296.17325868125397</v>
      </c>
      <c r="V63" s="88">
        <f t="shared" si="11"/>
        <v>43.652480494161878</v>
      </c>
    </row>
    <row r="64" spans="1:22" x14ac:dyDescent="0.2">
      <c r="A64" s="80">
        <v>23</v>
      </c>
      <c r="B64" s="81">
        <v>181.83673469387699</v>
      </c>
      <c r="C64" s="82">
        <v>6.5637884356760496</v>
      </c>
      <c r="D64" s="82">
        <v>0.444956969455439</v>
      </c>
      <c r="E64" s="75">
        <v>0.304260114315204</v>
      </c>
      <c r="G64" s="89">
        <f t="shared" si="2"/>
        <v>6.5637884356760576</v>
      </c>
      <c r="H64" s="90">
        <f t="shared" si="3"/>
        <v>304.320394011551</v>
      </c>
      <c r="I64" s="90">
        <f t="shared" si="12"/>
        <v>0.30432039401155098</v>
      </c>
      <c r="J64" s="90">
        <f t="shared" si="4"/>
        <v>44.495696945543926</v>
      </c>
      <c r="K64" s="90">
        <f t="shared" si="13"/>
        <v>0.44495696945543928</v>
      </c>
      <c r="L64" s="90">
        <f t="shared" si="5"/>
        <v>135.51627744141589</v>
      </c>
      <c r="M64" s="90">
        <f t="shared" si="14"/>
        <v>0.30456041088033192</v>
      </c>
      <c r="N64" s="91">
        <f t="shared" si="15"/>
        <v>0.4453079061019885</v>
      </c>
      <c r="P64" s="86">
        <f t="shared" si="6"/>
        <v>181.83673469387702</v>
      </c>
      <c r="Q64" s="47">
        <f t="shared" si="7"/>
        <v>6.5637884356760496</v>
      </c>
      <c r="R64" s="87">
        <f t="shared" si="16"/>
        <v>0.444956969455439</v>
      </c>
      <c r="S64" s="47">
        <f t="shared" si="8"/>
        <v>0.30432039401155098</v>
      </c>
      <c r="T64" s="88">
        <f t="shared" si="9"/>
        <v>6.5637884356760585</v>
      </c>
      <c r="U64" s="88">
        <f t="shared" si="10"/>
        <v>304.32039401155106</v>
      </c>
      <c r="V64" s="88">
        <f t="shared" si="11"/>
        <v>44.495696945543926</v>
      </c>
    </row>
    <row r="65" spans="1:22" x14ac:dyDescent="0.2">
      <c r="A65" s="80">
        <v>24</v>
      </c>
      <c r="B65" s="81">
        <v>190.102040816326</v>
      </c>
      <c r="C65" s="82">
        <v>6.5453825119562801</v>
      </c>
      <c r="D65" s="82">
        <v>0.45185949914905899</v>
      </c>
      <c r="E65" s="75">
        <v>0.31235267792433002</v>
      </c>
      <c r="G65" s="89">
        <f t="shared" si="2"/>
        <v>6.5453825119562925</v>
      </c>
      <c r="H65" s="90">
        <f t="shared" si="3"/>
        <v>312.48691073041471</v>
      </c>
      <c r="I65" s="90">
        <f t="shared" si="12"/>
        <v>0.31248691073041468</v>
      </c>
      <c r="J65" s="90">
        <f t="shared" si="4"/>
        <v>45.185949914905898</v>
      </c>
      <c r="K65" s="90">
        <f t="shared" si="13"/>
        <v>0.45185949914905899</v>
      </c>
      <c r="L65" s="90">
        <f t="shared" si="5"/>
        <v>141.27882552672429</v>
      </c>
      <c r="M65" s="90">
        <f t="shared" si="14"/>
        <v>0.31266096163249935</v>
      </c>
      <c r="N65" s="91">
        <f t="shared" si="15"/>
        <v>0.45211117866183781</v>
      </c>
      <c r="P65" s="86">
        <f t="shared" si="6"/>
        <v>190.102040816326</v>
      </c>
      <c r="Q65" s="47">
        <f t="shared" si="7"/>
        <v>6.5453825119562801</v>
      </c>
      <c r="R65" s="87">
        <f t="shared" si="16"/>
        <v>0.45185949914905899</v>
      </c>
      <c r="S65" s="47">
        <f t="shared" si="8"/>
        <v>0.31248691073041468</v>
      </c>
      <c r="T65" s="88">
        <f t="shared" si="9"/>
        <v>6.5453825119562925</v>
      </c>
      <c r="U65" s="88">
        <f t="shared" si="10"/>
        <v>312.48691073041471</v>
      </c>
      <c r="V65" s="88">
        <f t="shared" si="11"/>
        <v>45.185949914905898</v>
      </c>
    </row>
    <row r="66" spans="1:22" x14ac:dyDescent="0.2">
      <c r="A66" s="80">
        <v>25</v>
      </c>
      <c r="B66" s="81">
        <v>198.367346938775</v>
      </c>
      <c r="C66" s="82">
        <v>6.5103345629042799</v>
      </c>
      <c r="D66" s="82">
        <v>0.45715541523132902</v>
      </c>
      <c r="E66" s="75">
        <v>0.32043242976043201</v>
      </c>
      <c r="G66" s="89">
        <f t="shared" si="2"/>
        <v>6.5103345629042888</v>
      </c>
      <c r="H66" s="90">
        <f t="shared" si="3"/>
        <v>320.6560328902446</v>
      </c>
      <c r="I66" s="90">
        <f t="shared" si="12"/>
        <v>0.32065603289024458</v>
      </c>
      <c r="J66" s="90">
        <f t="shared" si="4"/>
        <v>45.715541523132899</v>
      </c>
      <c r="K66" s="90">
        <f t="shared" si="13"/>
        <v>0.45715541523132897</v>
      </c>
      <c r="L66" s="90">
        <f t="shared" si="5"/>
        <v>146.63199963235138</v>
      </c>
      <c r="M66" s="90">
        <f t="shared" si="14"/>
        <v>0.32074868796676709</v>
      </c>
      <c r="N66" s="91">
        <f t="shared" si="15"/>
        <v>0.45728751244964461</v>
      </c>
      <c r="P66" s="86">
        <f t="shared" si="6"/>
        <v>198.367346938775</v>
      </c>
      <c r="Q66" s="47">
        <f t="shared" si="7"/>
        <v>6.5103345629042799</v>
      </c>
      <c r="R66" s="87">
        <f t="shared" si="16"/>
        <v>0.45715541523132902</v>
      </c>
      <c r="S66" s="47">
        <f t="shared" si="8"/>
        <v>0.32065603289024458</v>
      </c>
      <c r="T66" s="88">
        <f t="shared" si="9"/>
        <v>6.5103345629042888</v>
      </c>
      <c r="U66" s="88">
        <f t="shared" si="10"/>
        <v>320.6560328902446</v>
      </c>
      <c r="V66" s="88">
        <f t="shared" si="11"/>
        <v>45.715541523132899</v>
      </c>
    </row>
    <row r="67" spans="1:22" x14ac:dyDescent="0.2">
      <c r="A67" s="80">
        <v>26</v>
      </c>
      <c r="B67" s="81">
        <v>206.632653061224</v>
      </c>
      <c r="C67" s="82">
        <v>6.4577235053904696</v>
      </c>
      <c r="D67" s="82">
        <v>0.46078875128356001</v>
      </c>
      <c r="E67" s="75">
        <v>0.328475792283417</v>
      </c>
      <c r="G67" s="89">
        <f t="shared" si="2"/>
        <v>6.4577235053904714</v>
      </c>
      <c r="H67" s="90">
        <f t="shared" si="3"/>
        <v>328.81002513880043</v>
      </c>
      <c r="I67" s="90">
        <f t="shared" si="12"/>
        <v>0.32881002513880042</v>
      </c>
      <c r="J67" s="90">
        <f t="shared" si="4"/>
        <v>46.078875128355961</v>
      </c>
      <c r="K67" s="90">
        <f t="shared" si="13"/>
        <v>0.46078875128355962</v>
      </c>
      <c r="L67" s="90">
        <f t="shared" si="5"/>
        <v>151.50733638683124</v>
      </c>
      <c r="M67" s="90">
        <f t="shared" si="14"/>
        <v>0.32879998907264302</v>
      </c>
      <c r="N67" s="91">
        <f t="shared" si="15"/>
        <v>0.46077468691191981</v>
      </c>
      <c r="P67" s="86">
        <f t="shared" si="6"/>
        <v>206.632653061224</v>
      </c>
      <c r="Q67" s="47">
        <f t="shared" si="7"/>
        <v>6.4577235053904696</v>
      </c>
      <c r="R67" s="87">
        <f t="shared" si="16"/>
        <v>0.46078875128356001</v>
      </c>
      <c r="S67" s="47">
        <f t="shared" si="8"/>
        <v>0.32881002513880042</v>
      </c>
      <c r="T67" s="88">
        <f t="shared" si="9"/>
        <v>6.4577235053904714</v>
      </c>
      <c r="U67" s="88">
        <f t="shared" si="10"/>
        <v>328.81002513880043</v>
      </c>
      <c r="V67" s="88">
        <f t="shared" si="11"/>
        <v>46.078875128355961</v>
      </c>
    </row>
    <row r="68" spans="1:22" x14ac:dyDescent="0.2">
      <c r="A68" s="80">
        <v>27</v>
      </c>
      <c r="B68" s="81">
        <v>214.89795918367301</v>
      </c>
      <c r="C68" s="82">
        <v>6.3870243435642102</v>
      </c>
      <c r="D68" s="82">
        <v>0.46272565913017899</v>
      </c>
      <c r="E68" s="75">
        <v>0.33646052570534701</v>
      </c>
      <c r="G68" s="89">
        <f t="shared" si="2"/>
        <v>6.3870243435642182</v>
      </c>
      <c r="H68" s="90">
        <f t="shared" si="3"/>
        <v>336.93019271920161</v>
      </c>
      <c r="I68" s="90">
        <f t="shared" si="12"/>
        <v>0.3369301927192016</v>
      </c>
      <c r="J68" s="90">
        <f t="shared" si="4"/>
        <v>46.272565913017885</v>
      </c>
      <c r="K68" s="90">
        <f t="shared" si="13"/>
        <v>0.46272565913017888</v>
      </c>
      <c r="L68" s="90">
        <f t="shared" si="5"/>
        <v>155.84257931149401</v>
      </c>
      <c r="M68" s="90">
        <f t="shared" si="14"/>
        <v>0.33679260321211346</v>
      </c>
      <c r="N68" s="91">
        <f t="shared" si="15"/>
        <v>0.46253669952747029</v>
      </c>
      <c r="P68" s="86">
        <f t="shared" si="6"/>
        <v>214.89795918367301</v>
      </c>
      <c r="Q68" s="47">
        <f t="shared" si="7"/>
        <v>6.3870243435642102</v>
      </c>
      <c r="R68" s="87">
        <f t="shared" si="16"/>
        <v>0.46272565913017899</v>
      </c>
      <c r="S68" s="47">
        <f t="shared" si="8"/>
        <v>0.3369301927192016</v>
      </c>
      <c r="T68" s="88">
        <f t="shared" si="9"/>
        <v>6.3870243435642182</v>
      </c>
      <c r="U68" s="88">
        <f t="shared" si="10"/>
        <v>336.93019271920161</v>
      </c>
      <c r="V68" s="88">
        <f t="shared" si="11"/>
        <v>46.272565913017885</v>
      </c>
    </row>
    <row r="69" spans="1:22" x14ac:dyDescent="0.2">
      <c r="A69" s="80">
        <v>28</v>
      </c>
      <c r="B69" s="81">
        <v>223.16326530612201</v>
      </c>
      <c r="C69" s="82">
        <v>6.2980986944695001</v>
      </c>
      <c r="D69" s="82">
        <v>0.46295460257469101</v>
      </c>
      <c r="E69" s="75">
        <v>0.34436626678142002</v>
      </c>
      <c r="G69" s="89">
        <f t="shared" si="2"/>
        <v>6.2980986944695241</v>
      </c>
      <c r="H69" s="90">
        <f t="shared" si="3"/>
        <v>344.99688146992804</v>
      </c>
      <c r="I69" s="90">
        <f t="shared" si="12"/>
        <v>0.34499688146992802</v>
      </c>
      <c r="J69" s="90">
        <f t="shared" si="4"/>
        <v>46.295460257469216</v>
      </c>
      <c r="K69" s="90">
        <f t="shared" si="13"/>
        <v>0.46295460257469218</v>
      </c>
      <c r="L69" s="90">
        <f t="shared" si="5"/>
        <v>159.58329730906888</v>
      </c>
      <c r="M69" s="90">
        <f t="shared" si="14"/>
        <v>0.34470614704240254</v>
      </c>
      <c r="N69" s="91">
        <f t="shared" si="15"/>
        <v>0.46256446327610967</v>
      </c>
      <c r="P69" s="86">
        <f t="shared" si="6"/>
        <v>223.16326530612201</v>
      </c>
      <c r="Q69" s="47">
        <f t="shared" si="7"/>
        <v>6.2980986944695001</v>
      </c>
      <c r="R69" s="87">
        <f t="shared" si="16"/>
        <v>0.46295460257469101</v>
      </c>
      <c r="S69" s="47">
        <f t="shared" si="8"/>
        <v>0.34499688146992802</v>
      </c>
      <c r="T69" s="88">
        <f t="shared" si="9"/>
        <v>6.2980986944695241</v>
      </c>
      <c r="U69" s="88">
        <f t="shared" si="10"/>
        <v>344.99688146992804</v>
      </c>
      <c r="V69" s="88">
        <f t="shared" si="11"/>
        <v>46.295460257469216</v>
      </c>
    </row>
    <row r="70" spans="1:22" x14ac:dyDescent="0.2">
      <c r="A70" s="80">
        <v>29</v>
      </c>
      <c r="B70" s="81">
        <v>231.42857142857099</v>
      </c>
      <c r="C70" s="82">
        <v>6.1911729973240597</v>
      </c>
      <c r="D70" s="82">
        <v>0.46148563900095801</v>
      </c>
      <c r="E70" s="75">
        <v>0.352175031869224</v>
      </c>
      <c r="G70" s="89">
        <f t="shared" si="2"/>
        <v>6.1911729973240828</v>
      </c>
      <c r="H70" s="90">
        <f t="shared" si="3"/>
        <v>352.98947782481952</v>
      </c>
      <c r="I70" s="90">
        <f t="shared" si="12"/>
        <v>0.35298947782481954</v>
      </c>
      <c r="J70" s="90">
        <f t="shared" si="4"/>
        <v>46.148563900095965</v>
      </c>
      <c r="K70" s="90">
        <f t="shared" si="13"/>
        <v>0.46148563900095962</v>
      </c>
      <c r="L70" s="90">
        <f t="shared" si="5"/>
        <v>162.684126170756</v>
      </c>
      <c r="M70" s="90">
        <f t="shared" si="14"/>
        <v>0.35252261917172623</v>
      </c>
      <c r="N70" s="91">
        <f t="shared" si="15"/>
        <v>0.46087528493269242</v>
      </c>
      <c r="P70" s="86">
        <f t="shared" si="6"/>
        <v>231.42857142857099</v>
      </c>
      <c r="Q70" s="47">
        <f t="shared" si="7"/>
        <v>6.1911729973240597</v>
      </c>
      <c r="R70" s="87">
        <f t="shared" si="16"/>
        <v>0.46148563900095801</v>
      </c>
      <c r="S70" s="47">
        <f t="shared" si="8"/>
        <v>0.35298947782481954</v>
      </c>
      <c r="T70" s="88">
        <f t="shared" si="9"/>
        <v>6.1911729973240828</v>
      </c>
      <c r="U70" s="88">
        <f t="shared" si="10"/>
        <v>352.98947782481952</v>
      </c>
      <c r="V70" s="88">
        <f t="shared" si="11"/>
        <v>46.148563900095965</v>
      </c>
    </row>
    <row r="71" spans="1:22" x14ac:dyDescent="0.2">
      <c r="A71" s="80">
        <v>30</v>
      </c>
      <c r="B71" s="81">
        <v>239.69387755101999</v>
      </c>
      <c r="C71" s="82">
        <v>6.0668044064615803</v>
      </c>
      <c r="D71" s="82">
        <v>0.45834878883977698</v>
      </c>
      <c r="E71" s="75">
        <v>0.35987169201951302</v>
      </c>
      <c r="G71" s="89">
        <f t="shared" si="2"/>
        <v>6.0668044064616051</v>
      </c>
      <c r="H71" s="90">
        <f t="shared" si="3"/>
        <v>360.88640881307555</v>
      </c>
      <c r="I71" s="90">
        <f t="shared" si="12"/>
        <v>0.36088640881307554</v>
      </c>
      <c r="J71" s="90">
        <f t="shared" si="4"/>
        <v>45.834878883977694</v>
      </c>
      <c r="K71" s="90">
        <f t="shared" si="13"/>
        <v>0.45834878883977692</v>
      </c>
      <c r="L71" s="90">
        <f t="shared" si="5"/>
        <v>165.10955219332769</v>
      </c>
      <c r="M71" s="90">
        <f t="shared" si="14"/>
        <v>0.36022687571897205</v>
      </c>
      <c r="N71" s="91">
        <f t="shared" si="15"/>
        <v>0.45751113968619334</v>
      </c>
      <c r="P71" s="86">
        <f t="shared" si="6"/>
        <v>239.69387755101997</v>
      </c>
      <c r="Q71" s="47">
        <f t="shared" si="7"/>
        <v>6.0668044064615803</v>
      </c>
      <c r="R71" s="87">
        <f t="shared" si="16"/>
        <v>0.45834878883977698</v>
      </c>
      <c r="S71" s="47">
        <f t="shared" si="8"/>
        <v>0.36088640881307554</v>
      </c>
      <c r="T71" s="88">
        <f t="shared" si="9"/>
        <v>6.0668044064616051</v>
      </c>
      <c r="U71" s="88">
        <f t="shared" si="10"/>
        <v>360.88640881307555</v>
      </c>
      <c r="V71" s="88">
        <f t="shared" si="11"/>
        <v>45.834878883977851</v>
      </c>
    </row>
    <row r="72" spans="1:22" x14ac:dyDescent="0.2">
      <c r="A72" s="80">
        <v>31</v>
      </c>
      <c r="B72" s="81">
        <v>247.959183673469</v>
      </c>
      <c r="C72" s="82">
        <v>5.9258343679374397</v>
      </c>
      <c r="D72" s="82">
        <v>0.45359149290077899</v>
      </c>
      <c r="E72" s="75">
        <v>0.36744441006411999</v>
      </c>
      <c r="G72" s="89">
        <f t="shared" si="2"/>
        <v>5.9258343679374832</v>
      </c>
      <c r="H72" s="90">
        <f t="shared" si="3"/>
        <v>368.66514205925625</v>
      </c>
      <c r="I72" s="90">
        <f t="shared" si="12"/>
        <v>0.36866514205925627</v>
      </c>
      <c r="J72" s="90">
        <f t="shared" si="4"/>
        <v>45.359149290078079</v>
      </c>
      <c r="K72" s="90">
        <f t="shared" si="13"/>
        <v>0.45359149290078077</v>
      </c>
      <c r="L72" s="90">
        <f t="shared" si="5"/>
        <v>166.83415699783029</v>
      </c>
      <c r="M72" s="90">
        <f t="shared" si="14"/>
        <v>0.36780706783300243</v>
      </c>
      <c r="N72" s="91">
        <f t="shared" si="15"/>
        <v>0.45253575118586808</v>
      </c>
      <c r="P72" s="86">
        <f t="shared" si="6"/>
        <v>247.95918367346903</v>
      </c>
      <c r="Q72" s="47">
        <f t="shared" si="7"/>
        <v>5.9258343679374397</v>
      </c>
      <c r="R72" s="87">
        <f t="shared" si="16"/>
        <v>0.45359149290077899</v>
      </c>
      <c r="S72" s="47">
        <f t="shared" si="8"/>
        <v>0.36866514205925627</v>
      </c>
      <c r="T72" s="88">
        <f t="shared" si="9"/>
        <v>5.925834367937469</v>
      </c>
      <c r="U72" s="88">
        <f t="shared" si="10"/>
        <v>368.66514205925625</v>
      </c>
      <c r="V72" s="88">
        <f t="shared" si="11"/>
        <v>45.359149290077852</v>
      </c>
    </row>
    <row r="73" spans="1:22" x14ac:dyDescent="0.2">
      <c r="A73" s="80">
        <v>32</v>
      </c>
      <c r="B73" s="81">
        <v>256.22448979591798</v>
      </c>
      <c r="C73" s="82">
        <v>5.7693298797976196</v>
      </c>
      <c r="D73" s="82">
        <v>0.44727515756962899</v>
      </c>
      <c r="E73" s="75">
        <v>0.37488500613651599</v>
      </c>
      <c r="G73" s="89">
        <f t="shared" si="2"/>
        <v>5.769329879797656</v>
      </c>
      <c r="H73" s="90">
        <f t="shared" si="3"/>
        <v>376.30218578328129</v>
      </c>
      <c r="I73" s="90">
        <f t="shared" si="12"/>
        <v>0.37630218578328128</v>
      </c>
      <c r="J73" s="90">
        <f t="shared" si="4"/>
        <v>44.727515756963243</v>
      </c>
      <c r="K73" s="90">
        <f t="shared" si="13"/>
        <v>0.44727515756963243</v>
      </c>
      <c r="L73" s="90">
        <f t="shared" si="5"/>
        <v>167.84224264144626</v>
      </c>
      <c r="M73" s="90">
        <f t="shared" si="14"/>
        <v>0.37525500757398167</v>
      </c>
      <c r="N73" s="91">
        <f t="shared" si="15"/>
        <v>0.4460304749282254</v>
      </c>
      <c r="P73" s="86">
        <f t="shared" si="6"/>
        <v>256.22448979591798</v>
      </c>
      <c r="Q73" s="47">
        <f t="shared" si="7"/>
        <v>5.7693298797976196</v>
      </c>
      <c r="R73" s="87">
        <f t="shared" si="16"/>
        <v>0.44727515756962899</v>
      </c>
      <c r="S73" s="47">
        <f t="shared" si="8"/>
        <v>0.37630218578328128</v>
      </c>
      <c r="T73" s="88">
        <f t="shared" si="9"/>
        <v>5.769329879797656</v>
      </c>
      <c r="U73" s="88">
        <f t="shared" si="10"/>
        <v>376.30218578328129</v>
      </c>
      <c r="V73" s="88">
        <f t="shared" si="11"/>
        <v>44.727515756963243</v>
      </c>
    </row>
    <row r="74" spans="1:22" x14ac:dyDescent="0.2">
      <c r="A74" s="80">
        <v>33</v>
      </c>
      <c r="B74" s="81">
        <v>264.48979591836701</v>
      </c>
      <c r="C74" s="82">
        <v>5.5985124360109104</v>
      </c>
      <c r="D74" s="82">
        <v>0.439470787870543</v>
      </c>
      <c r="E74" s="75">
        <v>0.38218918701379301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5.5985124360109424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383.77308880043063</v>
      </c>
      <c r="I74" s="90">
        <f t="shared" si="12"/>
        <v>0.38377308880043065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43.947078787054494</v>
      </c>
      <c r="K74" s="90">
        <f t="shared" si="13"/>
        <v>0.43947078787054494</v>
      </c>
      <c r="L74" s="90">
        <f t="shared" ref="L74:L91" si="20">Подача_пласт_м3_сут*Напор_м*9.81*1000/86400</f>
        <v>168.12675611408253</v>
      </c>
      <c r="M74" s="90">
        <f t="shared" si="14"/>
        <v>0.38256639748170856</v>
      </c>
      <c r="N74" s="91">
        <f t="shared" si="15"/>
        <v>0.43808896720611817</v>
      </c>
      <c r="P74" s="86">
        <f t="shared" ref="P74:P91" si="21">Подача_пласт_м3_сут*f_50_hz/f_nom</f>
        <v>264.48979591836701</v>
      </c>
      <c r="Q74" s="47">
        <f t="shared" ref="Q74:Q91" si="22">Напор_м*(f_50_hz/f_nom)^2</f>
        <v>5.5985124360109104</v>
      </c>
      <c r="R74" s="87">
        <f t="shared" si="16"/>
        <v>0.439470787870543</v>
      </c>
      <c r="S74" s="47">
        <f t="shared" ref="S74:S91" si="23">I74*(f_50_hz/f_nom)^3</f>
        <v>0.38377308880043065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5.5985124360109424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383.77308880043063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43.947078787054494</v>
      </c>
    </row>
    <row r="75" spans="1:22" x14ac:dyDescent="0.2">
      <c r="A75" s="80">
        <v>34</v>
      </c>
      <c r="B75" s="81">
        <v>272.75510204081598</v>
      </c>
      <c r="C75" s="82">
        <v>5.4146746540646404</v>
      </c>
      <c r="D75" s="82">
        <v>0.43025370839410898</v>
      </c>
      <c r="E75" s="75">
        <v>0.389356533679309</v>
      </c>
      <c r="G75" s="89">
        <f t="shared" si="17"/>
        <v>5.4146746540646333</v>
      </c>
      <c r="H75" s="90">
        <f t="shared" si="18"/>
        <v>391.05244052134401</v>
      </c>
      <c r="I75" s="90">
        <f t="shared" si="12"/>
        <v>0.39105244052134402</v>
      </c>
      <c r="J75" s="90">
        <f t="shared" si="19"/>
        <v>43.025370839411067</v>
      </c>
      <c r="K75" s="90">
        <f t="shared" si="13"/>
        <v>0.4302537083941107</v>
      </c>
      <c r="L75" s="90">
        <f t="shared" si="20"/>
        <v>167.6874323112574</v>
      </c>
      <c r="M75" s="90">
        <f t="shared" si="14"/>
        <v>0.38974081812597966</v>
      </c>
      <c r="N75" s="91">
        <f t="shared" si="15"/>
        <v>0.42881060168733265</v>
      </c>
      <c r="P75" s="86">
        <f t="shared" si="21"/>
        <v>272.75510204081598</v>
      </c>
      <c r="Q75" s="47">
        <f t="shared" si="22"/>
        <v>5.4146746540646404</v>
      </c>
      <c r="R75" s="87">
        <f t="shared" si="16"/>
        <v>0.43025370839410898</v>
      </c>
      <c r="S75" s="47">
        <f t="shared" si="23"/>
        <v>0.39105244052134402</v>
      </c>
      <c r="T75" s="88">
        <f t="shared" si="24"/>
        <v>5.4146746540646333</v>
      </c>
      <c r="U75" s="88">
        <f t="shared" si="25"/>
        <v>391.05244052134401</v>
      </c>
      <c r="V75" s="88">
        <f t="shared" si="26"/>
        <v>43.025370839411067</v>
      </c>
    </row>
    <row r="76" spans="1:22" x14ac:dyDescent="0.2">
      <c r="A76" s="80">
        <v>35</v>
      </c>
      <c r="B76" s="81">
        <v>281.02040816326502</v>
      </c>
      <c r="C76" s="82">
        <v>5.2190845862232598</v>
      </c>
      <c r="D76" s="82">
        <v>0.41969737209042002</v>
      </c>
      <c r="E76" s="75">
        <v>0.39639008713511498</v>
      </c>
      <c r="G76" s="89">
        <f t="shared" si="17"/>
        <v>5.2190845862232642</v>
      </c>
      <c r="H76" s="90">
        <f t="shared" si="18"/>
        <v>398.11387095202167</v>
      </c>
      <c r="I76" s="90">
        <f t="shared" si="12"/>
        <v>0.39811387095202166</v>
      </c>
      <c r="J76" s="90">
        <f t="shared" si="19"/>
        <v>41.96973720904208</v>
      </c>
      <c r="K76" s="90">
        <f t="shared" si="13"/>
        <v>0.41969737209042079</v>
      </c>
      <c r="L76" s="90">
        <f t="shared" si="20"/>
        <v>166.52807457483144</v>
      </c>
      <c r="M76" s="90">
        <f t="shared" si="14"/>
        <v>0.39678131351023604</v>
      </c>
      <c r="N76" s="91">
        <f t="shared" si="15"/>
        <v>0.41829257085820154</v>
      </c>
      <c r="P76" s="86">
        <f t="shared" si="21"/>
        <v>281.02040816326502</v>
      </c>
      <c r="Q76" s="47">
        <f t="shared" si="22"/>
        <v>5.2190845862232598</v>
      </c>
      <c r="R76" s="87">
        <f t="shared" si="16"/>
        <v>0.41969737209042002</v>
      </c>
      <c r="S76" s="47">
        <f t="shared" si="23"/>
        <v>0.39811387095202166</v>
      </c>
      <c r="T76" s="88">
        <f t="shared" si="24"/>
        <v>5.2190845862232642</v>
      </c>
      <c r="U76" s="88">
        <f t="shared" si="25"/>
        <v>398.11387095202167</v>
      </c>
      <c r="V76" s="88">
        <f t="shared" si="26"/>
        <v>41.96973720904208</v>
      </c>
    </row>
    <row r="77" spans="1:22" x14ac:dyDescent="0.2">
      <c r="A77" s="80">
        <v>36</v>
      </c>
      <c r="B77" s="81">
        <v>289.28571428571399</v>
      </c>
      <c r="C77" s="82">
        <v>5.0128777144507399</v>
      </c>
      <c r="D77" s="82">
        <v>0.40786625692751399</v>
      </c>
      <c r="E77" s="75">
        <v>0.403295299250513</v>
      </c>
      <c r="G77" s="89">
        <f t="shared" si="17"/>
        <v>5.0128777144507417</v>
      </c>
      <c r="H77" s="90">
        <f t="shared" si="18"/>
        <v>404.93005069382343</v>
      </c>
      <c r="I77" s="90">
        <f t="shared" si="12"/>
        <v>0.40493005069382343</v>
      </c>
      <c r="J77" s="90">
        <f t="shared" si="19"/>
        <v>40.786625692751642</v>
      </c>
      <c r="K77" s="90">
        <f t="shared" si="13"/>
        <v>0.40786625692751644</v>
      </c>
      <c r="L77" s="90">
        <f t="shared" si="20"/>
        <v>164.65289189317537</v>
      </c>
      <c r="M77" s="90">
        <f t="shared" si="14"/>
        <v>0.40369334088462361</v>
      </c>
      <c r="N77" s="91">
        <f t="shared" si="15"/>
        <v>0.40662057955701852</v>
      </c>
      <c r="P77" s="86">
        <f t="shared" si="21"/>
        <v>289.28571428571399</v>
      </c>
      <c r="Q77" s="47">
        <f t="shared" si="22"/>
        <v>5.0128777144507399</v>
      </c>
      <c r="R77" s="87">
        <f t="shared" si="16"/>
        <v>0.40786625692751399</v>
      </c>
      <c r="S77" s="47">
        <f t="shared" si="23"/>
        <v>0.40493005069382343</v>
      </c>
      <c r="T77" s="88">
        <f t="shared" si="24"/>
        <v>5.0128777144507417</v>
      </c>
      <c r="U77" s="88">
        <f t="shared" si="25"/>
        <v>404.93005069382343</v>
      </c>
      <c r="V77" s="88">
        <f t="shared" si="26"/>
        <v>40.786625692751642</v>
      </c>
    </row>
    <row r="78" spans="1:22" x14ac:dyDescent="0.2">
      <c r="A78" s="80">
        <v>37</v>
      </c>
      <c r="B78" s="81">
        <v>297.55102040816303</v>
      </c>
      <c r="C78" s="82">
        <v>4.7969366289959599</v>
      </c>
      <c r="D78" s="82">
        <v>0.394807850415136</v>
      </c>
      <c r="E78" s="75">
        <v>0.41007801322995902</v>
      </c>
      <c r="G78" s="89">
        <f t="shared" si="17"/>
        <v>4.7969366289960149</v>
      </c>
      <c r="H78" s="90">
        <f t="shared" si="18"/>
        <v>411.47269094346944</v>
      </c>
      <c r="I78" s="90">
        <f t="shared" si="12"/>
        <v>0.41147269094346944</v>
      </c>
      <c r="J78" s="90">
        <f t="shared" si="19"/>
        <v>39.480785041513798</v>
      </c>
      <c r="K78" s="90">
        <f t="shared" si="13"/>
        <v>0.394807850415138</v>
      </c>
      <c r="L78" s="90">
        <f t="shared" si="20"/>
        <v>162.0618118523162</v>
      </c>
      <c r="M78" s="90">
        <f t="shared" si="14"/>
        <v>0.4104827492206885</v>
      </c>
      <c r="N78" s="91">
        <f t="shared" si="15"/>
        <v>0.39385800180498787</v>
      </c>
      <c r="P78" s="86">
        <f t="shared" si="21"/>
        <v>297.55102040816303</v>
      </c>
      <c r="Q78" s="47">
        <f t="shared" si="22"/>
        <v>4.7969366289959599</v>
      </c>
      <c r="R78" s="87">
        <f t="shared" si="16"/>
        <v>0.394807850415136</v>
      </c>
      <c r="S78" s="47">
        <f t="shared" si="23"/>
        <v>0.41147269094346944</v>
      </c>
      <c r="T78" s="88">
        <f t="shared" si="24"/>
        <v>4.7969366289960149</v>
      </c>
      <c r="U78" s="88">
        <f t="shared" si="25"/>
        <v>411.47269094346944</v>
      </c>
      <c r="V78" s="88">
        <f t="shared" si="26"/>
        <v>39.480785041513798</v>
      </c>
    </row>
    <row r="79" spans="1:22" x14ac:dyDescent="0.2">
      <c r="A79" s="80">
        <v>38</v>
      </c>
      <c r="B79" s="81">
        <v>305.816326530612</v>
      </c>
      <c r="C79" s="82">
        <v>4.5717583906416603</v>
      </c>
      <c r="D79" s="82">
        <v>0.380543721993789</v>
      </c>
      <c r="E79" s="75">
        <v>0.416740986649203</v>
      </c>
      <c r="G79" s="89">
        <f t="shared" si="17"/>
        <v>4.5717583906416479</v>
      </c>
      <c r="H79" s="90">
        <f t="shared" si="18"/>
        <v>417.71254349303956</v>
      </c>
      <c r="I79" s="90">
        <f t="shared" si="12"/>
        <v>0.41771254349303955</v>
      </c>
      <c r="J79" s="90">
        <f t="shared" si="19"/>
        <v>38.054372199378918</v>
      </c>
      <c r="K79" s="90">
        <f t="shared" si="13"/>
        <v>0.38054372199378916</v>
      </c>
      <c r="L79" s="90">
        <f t="shared" si="20"/>
        <v>158.74468842964308</v>
      </c>
      <c r="M79" s="90">
        <f t="shared" si="14"/>
        <v>0.41715229881583477</v>
      </c>
      <c r="N79" s="91">
        <f t="shared" si="15"/>
        <v>0.38003332890645714</v>
      </c>
      <c r="P79" s="86">
        <f t="shared" si="21"/>
        <v>305.816326530612</v>
      </c>
      <c r="Q79" s="47">
        <f t="shared" si="22"/>
        <v>4.5717583906416603</v>
      </c>
      <c r="R79" s="87">
        <f t="shared" si="16"/>
        <v>0.380543721993789</v>
      </c>
      <c r="S79" s="47">
        <f t="shared" si="23"/>
        <v>0.41771254349303955</v>
      </c>
      <c r="T79" s="88">
        <f t="shared" si="24"/>
        <v>4.5717583906416479</v>
      </c>
      <c r="U79" s="88">
        <f t="shared" si="25"/>
        <v>417.71254349303956</v>
      </c>
      <c r="V79" s="88">
        <f t="shared" si="26"/>
        <v>38.054372199378918</v>
      </c>
    </row>
    <row r="80" spans="1:22" x14ac:dyDescent="0.2">
      <c r="A80" s="80">
        <v>39</v>
      </c>
      <c r="B80" s="81">
        <v>314.08163265306098</v>
      </c>
      <c r="C80" s="82">
        <v>4.3373095766160699</v>
      </c>
      <c r="D80" s="82">
        <v>0.36505968328911098</v>
      </c>
      <c r="E80" s="75">
        <v>0.42327822521049402</v>
      </c>
      <c r="G80" s="89">
        <f t="shared" si="17"/>
        <v>4.3373095766161072</v>
      </c>
      <c r="H80" s="90">
        <f t="shared" si="18"/>
        <v>423.61940072997419</v>
      </c>
      <c r="I80" s="90">
        <f t="shared" si="12"/>
        <v>0.42361940072997417</v>
      </c>
      <c r="J80" s="90">
        <f t="shared" si="19"/>
        <v>36.505968328911479</v>
      </c>
      <c r="K80" s="90">
        <f t="shared" si="13"/>
        <v>0.36505968328911481</v>
      </c>
      <c r="L80" s="90">
        <f t="shared" si="20"/>
        <v>154.67432372170958</v>
      </c>
      <c r="M80" s="90">
        <f t="shared" si="14"/>
        <v>0.42369598945609338</v>
      </c>
      <c r="N80" s="91">
        <f t="shared" si="15"/>
        <v>0.36512568464800538</v>
      </c>
      <c r="P80" s="86">
        <f t="shared" si="21"/>
        <v>314.08163265306098</v>
      </c>
      <c r="Q80" s="47">
        <f t="shared" si="22"/>
        <v>4.3373095766160699</v>
      </c>
      <c r="R80" s="87">
        <f t="shared" si="16"/>
        <v>0.36505968328911098</v>
      </c>
      <c r="S80" s="47">
        <f t="shared" si="23"/>
        <v>0.42361940072997417</v>
      </c>
      <c r="T80" s="88">
        <f t="shared" si="24"/>
        <v>4.3373095766161072</v>
      </c>
      <c r="U80" s="88">
        <f t="shared" si="25"/>
        <v>423.61940072997419</v>
      </c>
      <c r="V80" s="88">
        <f t="shared" si="26"/>
        <v>36.505968328911479</v>
      </c>
    </row>
    <row r="81" spans="1:22" x14ac:dyDescent="0.2">
      <c r="A81" s="80">
        <v>40</v>
      </c>
      <c r="B81" s="81">
        <v>322.34693877551001</v>
      </c>
      <c r="C81" s="82">
        <v>4.0928690101687897</v>
      </c>
      <c r="D81" s="82">
        <v>0.34829503623156099</v>
      </c>
      <c r="E81" s="75">
        <v>0.42966596156333298</v>
      </c>
      <c r="G81" s="89">
        <f t="shared" si="17"/>
        <v>4.0928690101688332</v>
      </c>
      <c r="H81" s="90">
        <f t="shared" si="18"/>
        <v>429.16209563707326</v>
      </c>
      <c r="I81" s="90">
        <f t="shared" si="12"/>
        <v>0.42916209563707325</v>
      </c>
      <c r="J81" s="90">
        <f t="shared" si="19"/>
        <v>34.829503623156256</v>
      </c>
      <c r="K81" s="90">
        <f t="shared" si="13"/>
        <v>0.34829503623156255</v>
      </c>
      <c r="L81" s="90">
        <f t="shared" si="20"/>
        <v>149.79822269774965</v>
      </c>
      <c r="M81" s="90">
        <f t="shared" si="14"/>
        <v>0.43009003033323995</v>
      </c>
      <c r="N81" s="91">
        <f t="shared" si="15"/>
        <v>0.34904812009406477</v>
      </c>
      <c r="P81" s="86">
        <f t="shared" si="21"/>
        <v>322.34693877551001</v>
      </c>
      <c r="Q81" s="47">
        <f t="shared" si="22"/>
        <v>4.0928690101687897</v>
      </c>
      <c r="R81" s="87">
        <f t="shared" si="16"/>
        <v>0.34829503623156099</v>
      </c>
      <c r="S81" s="47">
        <f t="shared" si="23"/>
        <v>0.42916209563707325</v>
      </c>
      <c r="T81" s="88">
        <f t="shared" si="24"/>
        <v>4.0928690101688332</v>
      </c>
      <c r="U81" s="88">
        <f t="shared" si="25"/>
        <v>429.16209563707326</v>
      </c>
      <c r="V81" s="88">
        <f t="shared" si="26"/>
        <v>34.829503623156256</v>
      </c>
    </row>
    <row r="82" spans="1:22" x14ac:dyDescent="0.2">
      <c r="A82" s="80">
        <v>41</v>
      </c>
      <c r="B82" s="81">
        <v>330.61224489795899</v>
      </c>
      <c r="C82" s="82">
        <v>3.8368581738094099</v>
      </c>
      <c r="D82" s="82">
        <v>0.33013090904140702</v>
      </c>
      <c r="E82" s="75">
        <v>0.43584827574659302</v>
      </c>
      <c r="G82" s="89">
        <f t="shared" si="17"/>
        <v>3.8368581738094178</v>
      </c>
      <c r="H82" s="90">
        <f t="shared" si="18"/>
        <v>434.308501792497</v>
      </c>
      <c r="I82" s="90">
        <f t="shared" si="12"/>
        <v>0.43430850179249697</v>
      </c>
      <c r="J82" s="90">
        <f t="shared" si="19"/>
        <v>33.01309090414054</v>
      </c>
      <c r="K82" s="90">
        <f t="shared" si="13"/>
        <v>0.33013090904140541</v>
      </c>
      <c r="L82" s="90">
        <f t="shared" si="20"/>
        <v>144.02900007042203</v>
      </c>
      <c r="M82" s="90">
        <f t="shared" si="14"/>
        <v>0.43627844629464169</v>
      </c>
      <c r="N82" s="91">
        <f t="shared" si="15"/>
        <v>0.33162832289945798</v>
      </c>
      <c r="P82" s="86">
        <f t="shared" si="21"/>
        <v>330.61224489795893</v>
      </c>
      <c r="Q82" s="47">
        <f t="shared" si="22"/>
        <v>3.8368581738094099</v>
      </c>
      <c r="R82" s="87">
        <f t="shared" si="16"/>
        <v>0.33013090904140702</v>
      </c>
      <c r="S82" s="47">
        <f t="shared" si="23"/>
        <v>0.43430850179249697</v>
      </c>
      <c r="T82" s="88">
        <f t="shared" si="24"/>
        <v>3.8368581738094463</v>
      </c>
      <c r="U82" s="88">
        <f t="shared" si="25"/>
        <v>434.30850179249694</v>
      </c>
      <c r="V82" s="88">
        <f t="shared" si="26"/>
        <v>33.013090904140881</v>
      </c>
    </row>
    <row r="83" spans="1:22" x14ac:dyDescent="0.2">
      <c r="A83" s="80">
        <v>42</v>
      </c>
      <c r="B83" s="81">
        <v>338.87755102040802</v>
      </c>
      <c r="C83" s="82">
        <v>3.5666593062090599</v>
      </c>
      <c r="D83" s="82">
        <v>0.310377680079018</v>
      </c>
      <c r="E83" s="75">
        <v>0.441713612425643</v>
      </c>
      <c r="G83" s="89">
        <f t="shared" si="17"/>
        <v>3.566659306209047</v>
      </c>
      <c r="H83" s="90">
        <f t="shared" si="18"/>
        <v>439.02553336976564</v>
      </c>
      <c r="I83" s="90">
        <f t="shared" si="12"/>
        <v>0.43902553336976563</v>
      </c>
      <c r="J83" s="90">
        <f t="shared" si="19"/>
        <v>31.037768007901036</v>
      </c>
      <c r="K83" s="90">
        <f t="shared" si="13"/>
        <v>0.31037768007901034</v>
      </c>
      <c r="L83" s="90">
        <f t="shared" si="20"/>
        <v>137.23335837535191</v>
      </c>
      <c r="M83" s="90">
        <f t="shared" si="14"/>
        <v>0.44214957190355159</v>
      </c>
      <c r="N83" s="91">
        <f t="shared" si="15"/>
        <v>0.31258628016919521</v>
      </c>
      <c r="P83" s="86">
        <f t="shared" si="21"/>
        <v>338.87755102040796</v>
      </c>
      <c r="Q83" s="47">
        <f t="shared" si="22"/>
        <v>3.5666593062090599</v>
      </c>
      <c r="R83" s="87">
        <f t="shared" si="16"/>
        <v>0.310377680079018</v>
      </c>
      <c r="S83" s="47">
        <f t="shared" si="23"/>
        <v>0.43902553336976563</v>
      </c>
      <c r="T83" s="88">
        <f t="shared" si="24"/>
        <v>3.566659306209047</v>
      </c>
      <c r="U83" s="88">
        <f t="shared" si="25"/>
        <v>439.02553336976564</v>
      </c>
      <c r="V83" s="88">
        <f t="shared" si="26"/>
        <v>31.037768007901605</v>
      </c>
    </row>
    <row r="84" spans="1:22" x14ac:dyDescent="0.2">
      <c r="A84" s="80">
        <v>43</v>
      </c>
      <c r="B84" s="81">
        <v>347.142857142857</v>
      </c>
      <c r="C84" s="82">
        <v>3.2784211827663698</v>
      </c>
      <c r="D84" s="82">
        <v>0.28876148956048497</v>
      </c>
      <c r="E84" s="75">
        <v>0.44705457803606602</v>
      </c>
      <c r="G84" s="89">
        <f t="shared" si="17"/>
        <v>3.2784211827663654</v>
      </c>
      <c r="H84" s="90">
        <f t="shared" si="18"/>
        <v>443.27914513775954</v>
      </c>
      <c r="I84" s="90">
        <f t="shared" si="12"/>
        <v>0.44327914513775957</v>
      </c>
      <c r="J84" s="90">
        <f t="shared" si="19"/>
        <v>28.876148956048382</v>
      </c>
      <c r="K84" s="90">
        <f t="shared" si="13"/>
        <v>0.28876148956048381</v>
      </c>
      <c r="L84" s="90">
        <f t="shared" si="20"/>
        <v>129.21955635109049</v>
      </c>
      <c r="M84" s="90">
        <f t="shared" si="14"/>
        <v>0.44749580890364621</v>
      </c>
      <c r="N84" s="91">
        <f t="shared" si="15"/>
        <v>0.29150831427211049</v>
      </c>
      <c r="P84" s="86">
        <f t="shared" si="21"/>
        <v>347.14285714285705</v>
      </c>
      <c r="Q84" s="47">
        <f t="shared" si="22"/>
        <v>3.2784211827663698</v>
      </c>
      <c r="R84" s="87">
        <f t="shared" si="16"/>
        <v>0.28876148956048497</v>
      </c>
      <c r="S84" s="47">
        <f t="shared" si="23"/>
        <v>0.44327914513775957</v>
      </c>
      <c r="T84" s="88">
        <f t="shared" si="24"/>
        <v>3.2784211827664365</v>
      </c>
      <c r="U84" s="88">
        <f t="shared" si="25"/>
        <v>443.27914513775943</v>
      </c>
      <c r="V84" s="88">
        <f t="shared" si="26"/>
        <v>28.876148956049065</v>
      </c>
    </row>
    <row r="85" spans="1:22" x14ac:dyDescent="0.2">
      <c r="A85" s="80">
        <v>44</v>
      </c>
      <c r="B85" s="81">
        <v>355.40816326530597</v>
      </c>
      <c r="C85" s="82">
        <v>2.96685257983563</v>
      </c>
      <c r="D85" s="82">
        <v>0.26490983913855098</v>
      </c>
      <c r="E85" s="75">
        <v>0.45149413830462898</v>
      </c>
      <c r="G85" s="89">
        <f t="shared" si="17"/>
        <v>2.9668525798356882</v>
      </c>
      <c r="H85" s="90">
        <f t="shared" si="18"/>
        <v>447.03433246071893</v>
      </c>
      <c r="I85" s="90">
        <f t="shared" si="12"/>
        <v>0.44703433246071894</v>
      </c>
      <c r="J85" s="90">
        <f t="shared" si="19"/>
        <v>26.490983913855871</v>
      </c>
      <c r="K85" s="90">
        <f t="shared" si="13"/>
        <v>0.2649098391385587</v>
      </c>
      <c r="L85" s="90">
        <f t="shared" si="20"/>
        <v>119.72328671097546</v>
      </c>
      <c r="M85" s="90">
        <f t="shared" si="14"/>
        <v>0.45193975089900407</v>
      </c>
      <c r="N85" s="91">
        <f t="shared" si="15"/>
        <v>0.26781676040843144</v>
      </c>
      <c r="P85" s="86">
        <f t="shared" si="21"/>
        <v>355.40816326530597</v>
      </c>
      <c r="Q85" s="47">
        <f t="shared" si="22"/>
        <v>2.96685257983563</v>
      </c>
      <c r="R85" s="87">
        <f t="shared" si="16"/>
        <v>0.26490983913855098</v>
      </c>
      <c r="S85" s="47">
        <f t="shared" si="23"/>
        <v>0.44703433246071894</v>
      </c>
      <c r="T85" s="88">
        <f t="shared" si="24"/>
        <v>2.9668525798356882</v>
      </c>
      <c r="U85" s="88">
        <f t="shared" si="25"/>
        <v>447.03433246071893</v>
      </c>
      <c r="V85" s="88">
        <f t="shared" si="26"/>
        <v>26.490983913855871</v>
      </c>
    </row>
    <row r="86" spans="1:22" x14ac:dyDescent="0.2">
      <c r="A86" s="80">
        <v>45</v>
      </c>
      <c r="B86" s="81">
        <v>363.67346938775501</v>
      </c>
      <c r="C86" s="82">
        <v>2.6250034226190402</v>
      </c>
      <c r="D86" s="82">
        <v>0.23833627934884</v>
      </c>
      <c r="E86" s="75">
        <v>0.45433707490244202</v>
      </c>
      <c r="G86" s="89">
        <f t="shared" si="17"/>
        <v>2.6250034226190735</v>
      </c>
      <c r="H86" s="90">
        <f t="shared" si="18"/>
        <v>450.2551312982439</v>
      </c>
      <c r="I86" s="90">
        <f t="shared" si="12"/>
        <v>0.4502551312982439</v>
      </c>
      <c r="J86" s="90">
        <f t="shared" si="19"/>
        <v>23.833627934884476</v>
      </c>
      <c r="K86" s="90">
        <f t="shared" si="13"/>
        <v>0.23833627934884474</v>
      </c>
      <c r="L86" s="90">
        <f t="shared" si="20"/>
        <v>108.39188239852828</v>
      </c>
      <c r="M86" s="90">
        <f t="shared" si="14"/>
        <v>0.4547854933989246</v>
      </c>
      <c r="N86" s="91">
        <f t="shared" si="15"/>
        <v>0.24073436339525184</v>
      </c>
      <c r="P86" s="86">
        <f t="shared" si="21"/>
        <v>363.67346938775501</v>
      </c>
      <c r="Q86" s="47">
        <f t="shared" si="22"/>
        <v>2.6250034226190402</v>
      </c>
      <c r="R86" s="87">
        <f t="shared" si="16"/>
        <v>0.23833627934884</v>
      </c>
      <c r="S86" s="47">
        <f t="shared" si="23"/>
        <v>0.4502551312982439</v>
      </c>
      <c r="T86" s="88">
        <f t="shared" si="24"/>
        <v>2.6250034226190735</v>
      </c>
      <c r="U86" s="88">
        <f t="shared" si="25"/>
        <v>450.2551312982439</v>
      </c>
      <c r="V86" s="88">
        <f t="shared" si="26"/>
        <v>23.833627934884476</v>
      </c>
    </row>
    <row r="87" spans="1:22" x14ac:dyDescent="0.2">
      <c r="A87" s="80">
        <v>46</v>
      </c>
      <c r="B87" s="81">
        <v>371.93877551020398</v>
      </c>
      <c r="C87" s="82">
        <v>2.24403361672156</v>
      </c>
      <c r="D87" s="82">
        <v>0.208424184921361</v>
      </c>
      <c r="E87" s="75">
        <v>0.45423390005331499</v>
      </c>
      <c r="G87" s="89">
        <f t="shared" si="17"/>
        <v>2.2440336167215094</v>
      </c>
      <c r="H87" s="90">
        <f t="shared" si="18"/>
        <v>452.90461820529515</v>
      </c>
      <c r="I87" s="90">
        <f t="shared" si="12"/>
        <v>0.45290461820529515</v>
      </c>
      <c r="J87" s="90">
        <f t="shared" si="19"/>
        <v>20.842418492135494</v>
      </c>
      <c r="K87" s="90">
        <f t="shared" si="13"/>
        <v>0.20842418492135495</v>
      </c>
      <c r="L87" s="90">
        <f t="shared" si="20"/>
        <v>94.766770417895316</v>
      </c>
      <c r="M87" s="90">
        <f t="shared" si="14"/>
        <v>0.45468221671901382</v>
      </c>
      <c r="N87" s="91">
        <f t="shared" si="15"/>
        <v>0.20924222586517963</v>
      </c>
      <c r="P87" s="86">
        <f t="shared" si="21"/>
        <v>371.93877551020398</v>
      </c>
      <c r="Q87" s="47">
        <f t="shared" si="22"/>
        <v>2.24403361672156</v>
      </c>
      <c r="R87" s="87">
        <f t="shared" si="16"/>
        <v>0.208424184921361</v>
      </c>
      <c r="S87" s="47">
        <f t="shared" si="23"/>
        <v>0.45290461820529515</v>
      </c>
      <c r="T87" s="88">
        <f t="shared" si="24"/>
        <v>2.2440336167215094</v>
      </c>
      <c r="U87" s="88">
        <f t="shared" si="25"/>
        <v>452.90461820529515</v>
      </c>
      <c r="V87" s="88">
        <f t="shared" si="26"/>
        <v>20.842418492135494</v>
      </c>
    </row>
    <row r="88" spans="1:22" x14ac:dyDescent="0.2">
      <c r="A88" s="80">
        <v>47</v>
      </c>
      <c r="B88" s="81">
        <v>380.20408163265301</v>
      </c>
      <c r="C88" s="82">
        <v>1.8129695633696401</v>
      </c>
      <c r="D88" s="82">
        <v>0.174409617957417</v>
      </c>
      <c r="E88" s="75">
        <v>0.44829479504393099</v>
      </c>
      <c r="G88" s="89">
        <f t="shared" si="17"/>
        <v>1.8129695633696485</v>
      </c>
      <c r="H88" s="90">
        <f t="shared" si="18"/>
        <v>454.94491033219322</v>
      </c>
      <c r="I88" s="90">
        <f t="shared" si="12"/>
        <v>0.4549449103321932</v>
      </c>
      <c r="J88" s="90">
        <f t="shared" si="19"/>
        <v>17.440961795741259</v>
      </c>
      <c r="K88" s="90">
        <f t="shared" si="13"/>
        <v>0.17440961795741258</v>
      </c>
      <c r="L88" s="90">
        <f t="shared" si="20"/>
        <v>78.264092330948699</v>
      </c>
      <c r="M88" s="90">
        <f t="shared" si="14"/>
        <v>0.44873724997241415</v>
      </c>
      <c r="N88" s="91">
        <f t="shared" si="15"/>
        <v>0.17202982284998322</v>
      </c>
      <c r="P88" s="86">
        <f t="shared" si="21"/>
        <v>380.20408163265301</v>
      </c>
      <c r="Q88" s="47">
        <f t="shared" si="22"/>
        <v>1.8129695633696401</v>
      </c>
      <c r="R88" s="87">
        <f t="shared" si="16"/>
        <v>0.174409617957417</v>
      </c>
      <c r="S88" s="47">
        <f t="shared" si="23"/>
        <v>0.4549449103321932</v>
      </c>
      <c r="T88" s="88">
        <f t="shared" si="24"/>
        <v>1.8129695633696485</v>
      </c>
      <c r="U88" s="88">
        <f t="shared" si="25"/>
        <v>454.94491033219322</v>
      </c>
      <c r="V88" s="88">
        <f t="shared" si="26"/>
        <v>17.440961795741259</v>
      </c>
    </row>
    <row r="89" spans="1:22" x14ac:dyDescent="0.2">
      <c r="A89" s="80">
        <v>48</v>
      </c>
      <c r="B89" s="81">
        <v>388.46938775510199</v>
      </c>
      <c r="C89" s="82">
        <v>1.3184483582931199</v>
      </c>
      <c r="D89" s="82">
        <v>0.135363278971697</v>
      </c>
      <c r="E89" s="75">
        <v>0.42918634722172899</v>
      </c>
      <c r="G89" s="89">
        <f t="shared" si="17"/>
        <v>1.3184483582930682</v>
      </c>
      <c r="H89" s="90">
        <f t="shared" si="18"/>
        <v>456.33716542461798</v>
      </c>
      <c r="I89" s="90">
        <f t="shared" si="12"/>
        <v>0.456337165424618</v>
      </c>
      <c r="J89" s="90">
        <f t="shared" si="19"/>
        <v>13.536327897169031</v>
      </c>
      <c r="K89" s="90">
        <f t="shared" si="13"/>
        <v>0.13536327897169032</v>
      </c>
      <c r="L89" s="90">
        <f t="shared" si="20"/>
        <v>58.15341051258374</v>
      </c>
      <c r="M89" s="90">
        <f t="shared" si="14"/>
        <v>0.42960994262517727</v>
      </c>
      <c r="N89" s="91">
        <f t="shared" si="15"/>
        <v>0.12743518371656726</v>
      </c>
      <c r="P89" s="86">
        <f t="shared" si="21"/>
        <v>388.46938775510199</v>
      </c>
      <c r="Q89" s="47">
        <f t="shared" si="22"/>
        <v>1.3184483582931199</v>
      </c>
      <c r="R89" s="87">
        <f t="shared" si="16"/>
        <v>0.135363278971697</v>
      </c>
      <c r="S89" s="47">
        <f t="shared" si="23"/>
        <v>0.456337165424618</v>
      </c>
      <c r="T89" s="88">
        <f t="shared" si="24"/>
        <v>1.3184483582930682</v>
      </c>
      <c r="U89" s="88">
        <f t="shared" si="25"/>
        <v>456.33716542461798</v>
      </c>
      <c r="V89" s="88">
        <f t="shared" si="26"/>
        <v>13.536327897169031</v>
      </c>
    </row>
    <row r="90" spans="1:22" x14ac:dyDescent="0.2">
      <c r="A90" s="80">
        <v>49</v>
      </c>
      <c r="B90" s="81">
        <v>396.73469387755102</v>
      </c>
      <c r="C90" s="82">
        <v>0.74444967427027098</v>
      </c>
      <c r="D90" s="82">
        <v>9.0171545799816996E-2</v>
      </c>
      <c r="E90" s="75">
        <v>0.37152911177506298</v>
      </c>
      <c r="G90" s="89">
        <f t="shared" si="17"/>
        <v>0.74444967427038478</v>
      </c>
      <c r="H90" s="90">
        <f t="shared" si="18"/>
        <v>457.0415818236105</v>
      </c>
      <c r="I90" s="90">
        <f t="shared" si="12"/>
        <v>0.45704158182361049</v>
      </c>
      <c r="J90" s="90">
        <f t="shared" si="19"/>
        <v>9.0171545799826163</v>
      </c>
      <c r="K90" s="90">
        <f t="shared" si="13"/>
        <v>9.0171545799826169E-2</v>
      </c>
      <c r="L90" s="90">
        <f t="shared" si="20"/>
        <v>33.534419255776648</v>
      </c>
      <c r="M90" s="90">
        <f t="shared" si="14"/>
        <v>0.37189580103484587</v>
      </c>
      <c r="N90" s="91">
        <f t="shared" si="15"/>
        <v>7.3372797113937085E-2</v>
      </c>
      <c r="P90" s="86">
        <f t="shared" si="21"/>
        <v>396.73469387755102</v>
      </c>
      <c r="Q90" s="47">
        <f t="shared" si="22"/>
        <v>0.74444967427027098</v>
      </c>
      <c r="R90" s="87">
        <f t="shared" si="16"/>
        <v>9.0171545799816996E-2</v>
      </c>
      <c r="S90" s="47">
        <f t="shared" si="23"/>
        <v>0.45704158182361049</v>
      </c>
      <c r="T90" s="88">
        <f t="shared" si="24"/>
        <v>0.74444967427038478</v>
      </c>
      <c r="U90" s="88">
        <f t="shared" si="25"/>
        <v>457.0415818236105</v>
      </c>
      <c r="V90" s="88">
        <f t="shared" si="26"/>
        <v>9.0171545799826163</v>
      </c>
    </row>
    <row r="91" spans="1:22" x14ac:dyDescent="0.2">
      <c r="A91" s="92">
        <v>50</v>
      </c>
      <c r="B91" s="93">
        <v>405</v>
      </c>
      <c r="C91" s="94">
        <v>7.2015327336600807E-2</v>
      </c>
      <c r="D91" s="94">
        <v>3.7516600371056898E-2</v>
      </c>
      <c r="E91" s="78">
        <v>8.8182686266150598E-2</v>
      </c>
      <c r="G91" s="95">
        <f t="shared" si="17"/>
        <v>7.2015327336629298E-2</v>
      </c>
      <c r="H91" s="96">
        <f t="shared" si="18"/>
        <v>457.01739846557092</v>
      </c>
      <c r="I91" s="96">
        <f t="shared" si="12"/>
        <v>0.45701739846557093</v>
      </c>
      <c r="J91" s="96">
        <f t="shared" si="19"/>
        <v>3.7516600371056938</v>
      </c>
      <c r="K91" s="96">
        <f t="shared" si="13"/>
        <v>3.7516600371056939E-2</v>
      </c>
      <c r="L91" s="96">
        <f t="shared" si="20"/>
        <v>3.3115798179940024</v>
      </c>
      <c r="M91" s="96">
        <f t="shared" si="14"/>
        <v>8.8269720210277847E-2</v>
      </c>
      <c r="N91" s="97">
        <f t="shared" si="15"/>
        <v>7.2460694693737742E-3</v>
      </c>
      <c r="P91" s="86">
        <f t="shared" si="21"/>
        <v>405</v>
      </c>
      <c r="Q91" s="47">
        <f t="shared" si="22"/>
        <v>7.2015327336600807E-2</v>
      </c>
      <c r="R91" s="87">
        <f t="shared" si="16"/>
        <v>3.7516600371056898E-2</v>
      </c>
      <c r="S91" s="47">
        <f t="shared" si="23"/>
        <v>0.45701739846557093</v>
      </c>
      <c r="T91" s="88">
        <f t="shared" si="24"/>
        <v>7.2015327336629298E-2</v>
      </c>
      <c r="U91" s="88">
        <f t="shared" si="25"/>
        <v>457.01739846557092</v>
      </c>
      <c r="V91" s="88">
        <f t="shared" si="26"/>
        <v>3.7516600371056938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9E77F-A133-4623-A4B8-BFE608F113AE}">
  <sheetPr codeName="Лист8"/>
  <dimension ref="A1:AU91"/>
  <sheetViews>
    <sheetView topLeftCell="D2" zoomScale="85" zoomScaleNormal="85" workbookViewId="0">
      <selection activeCell="R5" sqref="R5:AF5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NHV3000M</v>
      </c>
      <c r="C1" s="64"/>
      <c r="D1" s="64"/>
      <c r="E1" s="65">
        <v>84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[0,63.4,126.8,190.2,253.6,317,380.4,443.8,507.2,570.6,634]</v>
      </c>
    </row>
    <row r="2" spans="1:47" x14ac:dyDescent="0.2">
      <c r="A2" s="67" t="s">
        <v>144</v>
      </c>
      <c r="B2" s="68" t="str">
        <f>"ЭЦН"&amp;L1&amp;"-"&amp;H1&amp;"@"&amp;f_nom&amp;"Гц"</f>
        <v>ЭЦН5А-400@50Гц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[0,63.4,126.8,190.2,253.6,317,380.4,443.8,507.2,570.6,634]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7.1882911409999997</v>
      </c>
      <c r="C5" s="73">
        <f>Напор0*(f_50_hz/f_nom)^2</f>
        <v>7.1882911409999997</v>
      </c>
      <c r="R5" s="47">
        <f>S1+num</f>
        <v>2084</v>
      </c>
      <c r="S5" s="47" t="s">
        <v>478</v>
      </c>
      <c r="T5" s="47" t="s">
        <v>479</v>
      </c>
      <c r="U5" s="47" t="str">
        <f>B2</f>
        <v>ЭЦН5А-400@50Гц</v>
      </c>
      <c r="V5" s="47">
        <v>1000</v>
      </c>
      <c r="W5" s="47">
        <f>q_nom</f>
        <v>400</v>
      </c>
      <c r="X5" s="47">
        <f>VLOOKUP(num,'tnav 254'!A1:Q263,10,1)</f>
        <v>300</v>
      </c>
      <c r="Y5" s="47">
        <f>VLOOKUP(num,'tnav 254'!A1:Q263,11,1)</f>
        <v>500</v>
      </c>
      <c r="Z5" s="47">
        <f>VLOOKUP(num,'tnav 254'!A1:Q263,9,1)</f>
        <v>634</v>
      </c>
      <c r="AA5" s="47">
        <f>VLOOKUP(num,'tnav 254'!A1:Q263,15,1)</f>
        <v>2910</v>
      </c>
      <c r="AB5" s="47">
        <f>f_nom</f>
        <v>50</v>
      </c>
      <c r="AC5" s="87">
        <f>MAX(КПД)</f>
        <v>0.64274557505337204</v>
      </c>
      <c r="AE5" s="47" t="str">
        <f>L1</f>
        <v>5А</v>
      </c>
      <c r="AF5" s="47">
        <f>VLOOKUP(num,'tnav 254'!A1:Q263,12,1)*1000</f>
        <v>103</v>
      </c>
      <c r="AQ5" s="98">
        <f>$R$5</f>
        <v>2084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7.1882911409999997</v>
      </c>
      <c r="AT5" s="104" cm="1">
        <f t="array" ref="AT5">[1]!crv_interpolation(Подача_пласт_м3_сут,$I$42:$I$91,AR5,2)</f>
        <v>0.2590423429</v>
      </c>
      <c r="AU5" s="105">
        <v>0</v>
      </c>
    </row>
    <row r="6" spans="1:47" x14ac:dyDescent="0.2">
      <c r="A6" s="74" t="s">
        <v>431</v>
      </c>
      <c r="B6" s="75">
        <v>2.5444716610000001E-2</v>
      </c>
      <c r="C6" s="76">
        <f>Напор1/(f_50_hz/f_nom)*(f_50_hz/f_nom)^2</f>
        <v>2.5444716610000001E-2</v>
      </c>
      <c r="R6" s="47">
        <f>T1+num</f>
        <v>3084</v>
      </c>
      <c r="S6" s="47" t="s">
        <v>480</v>
      </c>
      <c r="T6" s="47" t="s">
        <v>481</v>
      </c>
      <c r="U6" s="47" t="str">
        <f>"ЭЦН"&amp;L1&amp;"-"&amp;H1&amp;"@"&amp;f_50_hz&amp;"Гц"</f>
        <v>ЭЦН5А-400@50Гц</v>
      </c>
      <c r="V6" s="47">
        <v>1000</v>
      </c>
      <c r="W6" s="47">
        <f>W5*f_50_hz/f_nom</f>
        <v>400</v>
      </c>
      <c r="X6" s="47">
        <f>X5*f_50_hz/f_nom</f>
        <v>300</v>
      </c>
      <c r="Y6" s="47">
        <f>Y5*f_50_hz/f_nom</f>
        <v>500</v>
      </c>
      <c r="Z6" s="47">
        <f>Z5*f_50_hz/f_nom</f>
        <v>634</v>
      </c>
      <c r="AA6" s="47">
        <f>AA5*f_50_hz/f_nom</f>
        <v>2910</v>
      </c>
      <c r="AB6" s="47">
        <f>f_50_hz</f>
        <v>50</v>
      </c>
      <c r="AC6" s="87">
        <f>AC5</f>
        <v>0.64274557505337204</v>
      </c>
      <c r="AE6" s="47" t="str">
        <f>AE5</f>
        <v>5А</v>
      </c>
      <c r="AF6" s="47">
        <f>AF5</f>
        <v>103</v>
      </c>
      <c r="AQ6" s="100">
        <f t="shared" ref="AQ6:AQ15" si="0">$R$5</f>
        <v>2084</v>
      </c>
      <c r="AR6" s="101">
        <v>63.4</v>
      </c>
      <c r="AS6" s="106" cm="1">
        <f t="array" ref="AS6">[1]!crv_interpolation(Подача_пласт_м3_сут,Напор_м,AR6,2)</f>
        <v>7.6972794816019974</v>
      </c>
      <c r="AT6" s="106" cm="1">
        <f t="array" ref="AT6">[1]!crv_interpolation(Подача_пласт_м3_сут,$I$42:$I$91,AR6,2)</f>
        <v>0.28262747815608602</v>
      </c>
      <c r="AU6" s="107" cm="1">
        <f t="array" ref="AU6">[1]!crv_interpolation(Подача_пласт_м3_сут,КПД,AR6,2)</f>
        <v>0.19177324586022487</v>
      </c>
    </row>
    <row r="7" spans="1:47" x14ac:dyDescent="0.2">
      <c r="A7" s="74" t="s">
        <v>432</v>
      </c>
      <c r="B7" s="75">
        <v>-3.8861159669999998E-4</v>
      </c>
      <c r="C7" s="76">
        <f>Напор2/((f_50_hz/f_nom)^2)*(f_50_hz/f_nom)^2</f>
        <v>-3.8861159669999998E-4</v>
      </c>
      <c r="AQ7" s="100">
        <f t="shared" si="0"/>
        <v>2084</v>
      </c>
      <c r="AR7" s="101">
        <v>126.8</v>
      </c>
      <c r="AS7" s="106" cm="1">
        <f t="array" ref="AS7">[1]!crv_interpolation(Подача_пласт_м3_сут,Напор_м,AR7,2)</f>
        <v>7.2888887705995842</v>
      </c>
      <c r="AT7" s="106" cm="1">
        <f t="array" ref="AT7">[1]!crv_interpolation(Подача_пласт_м3_сут,$I$42:$I$91,AR7,2)</f>
        <v>0.31838189889698676</v>
      </c>
      <c r="AU7" s="107" cm="1">
        <f t="array" ref="AU7">[1]!crv_interpolation(Подача_пласт_м3_сут,КПД,AR7,2)</f>
        <v>0.33067631094038052</v>
      </c>
    </row>
    <row r="8" spans="1:47" x14ac:dyDescent="0.2">
      <c r="A8" s="74" t="s">
        <v>433</v>
      </c>
      <c r="B8" s="75">
        <v>2.101625683E-6</v>
      </c>
      <c r="C8" s="76">
        <f>Напор3/((f_50_hz/f_nom)^3)*(f_50_hz/f_nom)^2</f>
        <v>2.101625683E-6</v>
      </c>
      <c r="AQ8" s="100">
        <f t="shared" si="0"/>
        <v>2084</v>
      </c>
      <c r="AR8" s="101">
        <v>190.2</v>
      </c>
      <c r="AS8" s="106" cm="1">
        <f t="array" ref="AS8">[1]!crv_interpolation(Подача_пласт_м3_сут,Напор_м,AR8,2)</f>
        <v>6.9565443840795602</v>
      </c>
      <c r="AT8" s="106" cm="1">
        <f t="array" ref="AT8">[1]!crv_interpolation(Подача_пласт_м3_сут,$I$42:$I$91,AR8,2)</f>
        <v>0.35573964820771298</v>
      </c>
      <c r="AU8" s="107" cm="1">
        <f t="array" ref="AU8">[1]!crv_interpolation(Подача_пласт_м3_сут,КПД,AR8,2)</f>
        <v>0.4281738507065157</v>
      </c>
    </row>
    <row r="9" spans="1:47" x14ac:dyDescent="0.2">
      <c r="A9" s="74" t="s">
        <v>434</v>
      </c>
      <c r="B9" s="75">
        <v>-5.1798950040000001E-9</v>
      </c>
      <c r="C9" s="76">
        <f>Напор4/((f_50_hz/f_nom)^4)*(f_50_hz/f_nom)^2</f>
        <v>-5.1798950040000001E-9</v>
      </c>
      <c r="AQ9" s="100">
        <f t="shared" si="0"/>
        <v>2084</v>
      </c>
      <c r="AR9" s="101">
        <v>253.6</v>
      </c>
      <c r="AS9" s="106" cm="1">
        <f t="array" ref="AS9">[1]!crv_interpolation(Подача_пласт_м3_сут,Напор_м,AR9,2)</f>
        <v>6.8509929768467392</v>
      </c>
      <c r="AT9" s="106" cm="1">
        <f t="array" ref="AT9">[1]!crv_interpolation(Подача_пласт_м3_сут,$I$42:$I$91,AR9,2)</f>
        <v>0.3871391140204537</v>
      </c>
      <c r="AU9" s="107" cm="1">
        <f t="array" ref="AU9">[1]!crv_interpolation(Подача_пласт_м3_сут,КПД,AR9,2)</f>
        <v>0.51036050196184846</v>
      </c>
    </row>
    <row r="10" spans="1:47" x14ac:dyDescent="0.2">
      <c r="A10" s="74" t="s">
        <v>435</v>
      </c>
      <c r="B10" s="75">
        <v>5.675768986E-12</v>
      </c>
      <c r="C10" s="76">
        <f>Напор5/((f_50_hz/f_nom)^5)*(f_50_hz/f_nom)^2</f>
        <v>5.675768986E-12</v>
      </c>
      <c r="AQ10" s="100">
        <f t="shared" si="0"/>
        <v>2084</v>
      </c>
      <c r="AR10" s="101">
        <v>317</v>
      </c>
      <c r="AS10" s="106" cm="1">
        <f t="array" ref="AS10">[1]!crv_interpolation(Подача_пласт_м3_сут,Напор_м,AR10,2)</f>
        <v>6.7124574928558447</v>
      </c>
      <c r="AT10" s="106" cm="1">
        <f t="array" ref="AT10">[1]!crv_interpolation(Подача_пласт_м3_сут,$I$42:$I$91,AR10,2)</f>
        <v>0.4079902374151716</v>
      </c>
      <c r="AU10" s="107" cm="1">
        <f t="array" ref="AU10">[1]!crv_interpolation(Подача_пласт_м3_сут,КПД,AR10,2)</f>
        <v>0.5868521540961722</v>
      </c>
    </row>
    <row r="11" spans="1:47" x14ac:dyDescent="0.2">
      <c r="A11" s="74" t="s">
        <v>436</v>
      </c>
      <c r="B11" s="75">
        <v>-2.2663311700000001E-15</v>
      </c>
      <c r="C11" s="76">
        <f>Напор6/((f_50_hz/f_nom)^6)*(f_50_hz/f_nom)^2</f>
        <v>-2.2663311700000001E-15</v>
      </c>
      <c r="AQ11" s="100">
        <f t="shared" si="0"/>
        <v>2084</v>
      </c>
      <c r="AR11" s="101">
        <v>380.4</v>
      </c>
      <c r="AS11" s="106" cm="1">
        <f t="array" ref="AS11">[1]!crv_interpolation(Подача_пласт_м3_сут,Напор_м,AR11,2)</f>
        <v>6.1976449837691874</v>
      </c>
      <c r="AT11" s="106" cm="1">
        <f t="array" ref="AT11">[1]!crv_interpolation(Подача_пласт_м3_сут,$I$42:$I$91,AR11,2)</f>
        <v>0.41669099178759045</v>
      </c>
      <c r="AU11" s="107" cm="1">
        <f t="array" ref="AU11">[1]!crv_interpolation(Подача_пласт_м3_сут,КПД,AR11,2)</f>
        <v>0.63826673010238255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2084</v>
      </c>
      <c r="AR12" s="101">
        <v>443.8</v>
      </c>
      <c r="AS12" s="106" cm="1">
        <f t="array" ref="AS12">[1]!crv_interpolation(Подача_пласт_м3_сут,Напор_м,AR12,2)</f>
        <v>5.100991964864277</v>
      </c>
      <c r="AT12" s="106" cm="1">
        <f t="array" ref="AT12">[1]!crv_interpolation(Подача_пласт_м3_сут,$I$42:$I$91,AR12,2)</f>
        <v>0.41462405749384867</v>
      </c>
      <c r="AU12" s="107" cm="1">
        <f t="array" ref="AU12">[1]!crv_interpolation(Подача_пласт_м3_сут,КПД,AR12,2)</f>
        <v>0.62187937701806417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2084</v>
      </c>
      <c r="AR13" s="101">
        <v>507.2</v>
      </c>
      <c r="AS13" s="106" cm="1">
        <f t="array" ref="AS13">[1]!crv_interpolation(Подача_пласт_м3_сут,Напор_м,AR13,2)</f>
        <v>3.469289085858271</v>
      </c>
      <c r="AT13" s="106" cm="1">
        <f t="array" ref="AT13">[1]!crv_interpolation(Подача_пласт_м3_сут,$I$42:$I$91,AR13,2)</f>
        <v>0.40616135745456777</v>
      </c>
      <c r="AU13" s="107" cm="1">
        <f t="array" ref="AU13">[1]!crv_interpolation(Подача_пласт_м3_сут,КПД,AR13,2)</f>
        <v>0.49548277102106136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2084</v>
      </c>
      <c r="AR14" s="101">
        <v>570.6</v>
      </c>
      <c r="AS14" s="106" cm="1">
        <f t="array" ref="AS14">[1]!crv_interpolation(Подача_пласт_м3_сут,Напор_м,AR14,2)</f>
        <v>1.6105297507335703</v>
      </c>
      <c r="AT14" s="106" cm="1">
        <f t="array" ref="AT14">[1]!crv_interpolation(Подача_пласт_м3_сут,$I$42:$I$91,AR14,2)</f>
        <v>0.39864152069337194</v>
      </c>
      <c r="AU14" s="107" cm="1">
        <f t="array" ref="AU14">[1]!crv_interpolation(Подача_пласт_м3_сут,КПД,AR14,2)</f>
        <v>0.25946530037833182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2084</v>
      </c>
      <c r="AR15" s="103">
        <v>634</v>
      </c>
      <c r="AS15" s="108">
        <v>0</v>
      </c>
      <c r="AT15" s="108" cm="1">
        <f t="array" ref="AT15">[1]!crv_interpolation(Подача_пласт_м3_сут,$I$42:$I$91,AR15,2)</f>
        <v>0.40241479284346676</v>
      </c>
      <c r="AU15" s="109">
        <v>0</v>
      </c>
    </row>
    <row r="16" spans="1:47" x14ac:dyDescent="0.2">
      <c r="A16" s="71" t="s">
        <v>441</v>
      </c>
      <c r="B16" s="72">
        <v>259.04234289999999</v>
      </c>
      <c r="C16" s="73">
        <f>Мощность0*(f_50_hz/f_nom)^3</f>
        <v>259.04234289999999</v>
      </c>
      <c r="AQ16" s="98">
        <f>$R$6</f>
        <v>3084</v>
      </c>
      <c r="AR16" s="99">
        <f t="array" ref="AR16:AR26">[1]!decode_json($AR$2)</f>
        <v>0</v>
      </c>
      <c r="AS16" s="104" cm="1">
        <f t="array" ref="AS16">[1]!crv_interpolation(Подача_f50_,$Q$42:$Q$91,AR16,2)</f>
        <v>7.1882911409999997</v>
      </c>
      <c r="AT16" s="104" cm="1">
        <f t="array" ref="AT16">[1]!crv_interpolation(Подача_f50_,$S$42:$S$91,AR16,2)</f>
        <v>0.2590423429</v>
      </c>
      <c r="AU16" s="105">
        <v>0</v>
      </c>
    </row>
    <row r="17" spans="1:47" x14ac:dyDescent="0.2">
      <c r="A17" s="74" t="s">
        <v>442</v>
      </c>
      <c r="B17" s="75">
        <v>0.20885560880000001</v>
      </c>
      <c r="C17" s="76">
        <f>Мощность1/(f_50_hz/f_nom)*(f_50_hz/f_nom)^3</f>
        <v>0.20885560880000001</v>
      </c>
      <c r="AQ17" s="100">
        <f t="shared" ref="AQ17:AQ26" si="1">$R$6</f>
        <v>3084</v>
      </c>
      <c r="AR17" s="101">
        <v>63.4</v>
      </c>
      <c r="AS17" s="106" cm="1">
        <f t="array" ref="AS17">[1]!crv_interpolation(Подача_f50_,$Q$42:$Q$91,AR17,2)</f>
        <v>7.6972794816019974</v>
      </c>
      <c r="AT17" s="106" cm="1">
        <f t="array" ref="AT17">[1]!crv_interpolation(Подача_f50_,$S$42:$S$91,AR17,2)</f>
        <v>0.28262747815608602</v>
      </c>
      <c r="AU17" s="107" cm="1">
        <f t="array" ref="AU17">[1]!crv_interpolation(Подача_f50_,$R$42:$R$91,AR17,2)</f>
        <v>0.19177324586022487</v>
      </c>
    </row>
    <row r="18" spans="1:47" x14ac:dyDescent="0.2">
      <c r="A18" s="74" t="s">
        <v>443</v>
      </c>
      <c r="B18" s="75">
        <v>3.1662548499999999E-3</v>
      </c>
      <c r="C18" s="76">
        <f>Мощность2/((f_50_hz/f_nom)^2)*(f_50_hz/f_nom)^3</f>
        <v>3.1662548499999999E-3</v>
      </c>
      <c r="AQ18" s="100">
        <f t="shared" si="1"/>
        <v>3084</v>
      </c>
      <c r="AR18" s="101">
        <v>126.8</v>
      </c>
      <c r="AS18" s="106" cm="1">
        <f t="array" ref="AS18">[1]!crv_interpolation(Подача_f50_,$Q$42:$Q$91,AR18,2)</f>
        <v>7.2888887705995842</v>
      </c>
      <c r="AT18" s="106" cm="1">
        <f t="array" ref="AT18">[1]!crv_interpolation(Подача_f50_,$S$42:$S$91,AR18,2)</f>
        <v>0.31838189889698676</v>
      </c>
      <c r="AU18" s="107" cm="1">
        <f t="array" ref="AU18">[1]!crv_interpolation(Подача_f50_,$R$42:$R$91,AR18,2)</f>
        <v>0.33067631094038052</v>
      </c>
    </row>
    <row r="19" spans="1:47" x14ac:dyDescent="0.2">
      <c r="A19" s="74" t="s">
        <v>444</v>
      </c>
      <c r="B19" s="75">
        <v>-9.8304621419999994E-6</v>
      </c>
      <c r="C19" s="76">
        <f>Мощность3/((f_50_hz/f_nom)^3)*(f_50_hz/f_nom)^3</f>
        <v>-9.8304621419999994E-6</v>
      </c>
      <c r="AQ19" s="100">
        <f t="shared" si="1"/>
        <v>3084</v>
      </c>
      <c r="AR19" s="101">
        <v>190.2</v>
      </c>
      <c r="AS19" s="106" cm="1">
        <f t="array" ref="AS19">[1]!crv_interpolation(Подача_f50_,$Q$42:$Q$91,AR19,2)</f>
        <v>6.9565443840795602</v>
      </c>
      <c r="AT19" s="106" cm="1">
        <f t="array" ref="AT19">[1]!crv_interpolation(Подача_f50_,$S$42:$S$91,AR19,2)</f>
        <v>0.35573964820771298</v>
      </c>
      <c r="AU19" s="107" cm="1">
        <f t="array" ref="AU19">[1]!crv_interpolation(Подача_f50_,$R$42:$R$91,AR19,2)</f>
        <v>0.42817385070651565</v>
      </c>
    </row>
    <row r="20" spans="1:47" x14ac:dyDescent="0.2">
      <c r="A20" s="74" t="s">
        <v>445</v>
      </c>
      <c r="B20" s="75">
        <v>7.6961653099999995E-9</v>
      </c>
      <c r="C20" s="76">
        <f>Мощность4/((f_50_hz/f_nom)^4)*(f_50_hz/f_nom)^3</f>
        <v>7.6961653099999995E-9</v>
      </c>
      <c r="AQ20" s="100">
        <f t="shared" si="1"/>
        <v>3084</v>
      </c>
      <c r="AR20" s="101">
        <v>253.6</v>
      </c>
      <c r="AS20" s="106" cm="1">
        <f t="array" ref="AS20">[1]!crv_interpolation(Подача_f50_,$Q$42:$Q$91,AR20,2)</f>
        <v>6.8509929768467392</v>
      </c>
      <c r="AT20" s="106" cm="1">
        <f t="array" ref="AT20">[1]!crv_interpolation(Подача_f50_,$S$42:$S$91,AR20,2)</f>
        <v>0.3871391140204537</v>
      </c>
      <c r="AU20" s="107" cm="1">
        <f t="array" ref="AU20">[1]!crv_interpolation(Подача_f50_,$R$42:$R$91,AR20,2)</f>
        <v>0.51036050196184846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3084</v>
      </c>
      <c r="AR21" s="101">
        <v>317</v>
      </c>
      <c r="AS21" s="106" cm="1">
        <f t="array" ref="AS21">[1]!crv_interpolation(Подача_f50_,$Q$42:$Q$91,AR21,2)</f>
        <v>6.7124574928558447</v>
      </c>
      <c r="AT21" s="106" cm="1">
        <f t="array" ref="AT21">[1]!crv_interpolation(Подача_f50_,$S$42:$S$91,AR21,2)</f>
        <v>0.4079902374151716</v>
      </c>
      <c r="AU21" s="107" cm="1">
        <f t="array" ref="AU21">[1]!crv_interpolation(Подача_f50_,$R$42:$R$91,AR21,2)</f>
        <v>0.5868521540961722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3084</v>
      </c>
      <c r="AR22" s="101">
        <v>380.4</v>
      </c>
      <c r="AS22" s="106" cm="1">
        <f t="array" ref="AS22">[1]!crv_interpolation(Подача_f50_,$Q$42:$Q$91,AR22,2)</f>
        <v>6.1976449837691874</v>
      </c>
      <c r="AT22" s="106" cm="1">
        <f t="array" ref="AT22">[1]!crv_interpolation(Подача_f50_,$S$42:$S$91,AR22,2)</f>
        <v>0.41669099178759045</v>
      </c>
      <c r="AU22" s="107" cm="1">
        <f t="array" ref="AU22">[1]!crv_interpolation(Подача_f50_,$R$42:$R$91,AR22,2)</f>
        <v>0.63826673010238255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3084</v>
      </c>
      <c r="AR23" s="101">
        <v>443.8</v>
      </c>
      <c r="AS23" s="106" cm="1">
        <f t="array" ref="AS23">[1]!crv_interpolation(Подача_f50_,$Q$42:$Q$91,AR23,2)</f>
        <v>5.1009919648642779</v>
      </c>
      <c r="AT23" s="106" cm="1">
        <f t="array" ref="AT23">[1]!crv_interpolation(Подача_f50_,$S$42:$S$91,AR23,2)</f>
        <v>0.41462405749384867</v>
      </c>
      <c r="AU23" s="107" cm="1">
        <f t="array" ref="AU23">[1]!crv_interpolation(Подача_f50_,$R$42:$R$91,AR23,2)</f>
        <v>0.62187937701806417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3084</v>
      </c>
      <c r="AR24" s="101">
        <v>507.2</v>
      </c>
      <c r="AS24" s="106" cm="1">
        <f t="array" ref="AS24">[1]!crv_interpolation(Подача_f50_,$Q$42:$Q$91,AR24,2)</f>
        <v>3.4692890858582697</v>
      </c>
      <c r="AT24" s="106" cm="1">
        <f t="array" ref="AT24">[1]!crv_interpolation(Подача_f50_,$S$42:$S$91,AR24,2)</f>
        <v>0.40616135745456777</v>
      </c>
      <c r="AU24" s="107" cm="1">
        <f t="array" ref="AU24">[1]!crv_interpolation(Подача_f50_,$R$42:$R$91,AR24,2)</f>
        <v>0.4954827710210612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3084</v>
      </c>
      <c r="AR25" s="101">
        <v>570.6</v>
      </c>
      <c r="AS25" s="106" cm="1">
        <f t="array" ref="AS25">[1]!crv_interpolation(Подача_f50_,$Q$42:$Q$91,AR25,2)</f>
        <v>1.6105297507335703</v>
      </c>
      <c r="AT25" s="106" cm="1">
        <f t="array" ref="AT25">[1]!crv_interpolation(Подача_f50_,$S$42:$S$91,AR25,2)</f>
        <v>0.39864152069337194</v>
      </c>
      <c r="AU25" s="107" cm="1">
        <f t="array" ref="AU25">[1]!crv_interpolation(Подача_f50_,$R$42:$R$91,AR25,2)</f>
        <v>0.25946530037833182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3084</v>
      </c>
      <c r="AR26" s="103">
        <v>634</v>
      </c>
      <c r="AS26" s="108">
        <v>0</v>
      </c>
      <c r="AT26" s="108" cm="1">
        <f t="array" ref="AT26">[1]!crv_interpolation(Подача_f50_,$S$42:$S$91,AR26,2)</f>
        <v>0.40241479284346676</v>
      </c>
      <c r="AU26" s="109">
        <v>0</v>
      </c>
    </row>
    <row r="27" spans="1:47" x14ac:dyDescent="0.2">
      <c r="A27" s="74" t="s">
        <v>452</v>
      </c>
      <c r="B27" s="75">
        <v>-3.7904627959999999E-2</v>
      </c>
      <c r="C27" s="73">
        <f>К.П.Д.0</f>
        <v>-3.7904627959999999E-2</v>
      </c>
    </row>
    <row r="28" spans="1:47" x14ac:dyDescent="0.2">
      <c r="A28" s="74" t="s">
        <v>453</v>
      </c>
      <c r="B28" s="75">
        <v>0.33125238730000001</v>
      </c>
      <c r="C28" s="76">
        <f>К.П.Д.1/(f_50_hz/f_nom)</f>
        <v>0.33125238730000001</v>
      </c>
    </row>
    <row r="29" spans="1:47" x14ac:dyDescent="0.2">
      <c r="A29" s="74" t="s">
        <v>454</v>
      </c>
      <c r="B29" s="75">
        <v>-1.5766347800000001E-4</v>
      </c>
      <c r="C29" s="76">
        <f>К.П.Д.2/((f_50_hz/f_nom)^2)</f>
        <v>-1.5766347800000001E-4</v>
      </c>
    </row>
    <row r="30" spans="1:47" x14ac:dyDescent="0.2">
      <c r="A30" s="74" t="s">
        <v>455</v>
      </c>
      <c r="B30" s="75">
        <v>-6.3612341670000001E-6</v>
      </c>
      <c r="C30" s="76">
        <f>К.П.Д.3/((f_50_hz/f_nom)^3)</f>
        <v>-6.3612341670000001E-6</v>
      </c>
    </row>
    <row r="31" spans="1:47" x14ac:dyDescent="0.2">
      <c r="A31" s="74" t="s">
        <v>456</v>
      </c>
      <c r="B31" s="75">
        <v>3.2782501959999997E-8</v>
      </c>
      <c r="C31" s="76">
        <f>К.П.Д.4/((f_50_hz/f_nom)^4)</f>
        <v>3.2782501959999997E-8</v>
      </c>
    </row>
    <row r="32" spans="1:47" x14ac:dyDescent="0.2">
      <c r="A32" s="74" t="s">
        <v>457</v>
      </c>
      <c r="B32" s="75">
        <v>-6.1946448399999995E-11</v>
      </c>
      <c r="C32" s="76">
        <f>К.П.Д.5/((f_50_hz/f_nom)^5)</f>
        <v>-6.1946448399999995E-11</v>
      </c>
    </row>
    <row r="33" spans="1:22" x14ac:dyDescent="0.2">
      <c r="A33" s="74" t="s">
        <v>458</v>
      </c>
      <c r="B33" s="75">
        <v>3.8880227149999999E-14</v>
      </c>
      <c r="C33" s="76">
        <f>К.П.Д.6/((f_50_hz/f_nom)^6)</f>
        <v>3.8880227149999999E-14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7.1882911409999997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7.1882911409999997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259.04234289999999</v>
      </c>
      <c r="I42" s="84">
        <f>H42/1000</f>
        <v>0.2590423429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-3.7904627959999999E-2</v>
      </c>
      <c r="K42" s="84">
        <f>J42/100</f>
        <v>-3.7904627960000002E-4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7.1882911409999997</v>
      </c>
      <c r="R42" s="87">
        <f>D42</f>
        <v>1E-3</v>
      </c>
      <c r="S42" s="47">
        <f t="shared" ref="S42:S73" si="8">I42*(f_50_hz/f_nom)^3</f>
        <v>0.2590423429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7.1882911409999997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259.04234289999999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-3.7904627959999999E-2</v>
      </c>
    </row>
    <row r="43" spans="1:22" x14ac:dyDescent="0.2">
      <c r="A43" s="80">
        <v>2</v>
      </c>
      <c r="B43" s="81">
        <v>12.938775510204</v>
      </c>
      <c r="C43" s="82">
        <v>7.4568656209928399</v>
      </c>
      <c r="D43" s="82">
        <v>4.2088183078307702E-2</v>
      </c>
      <c r="E43" s="75">
        <v>0.260025629257989</v>
      </c>
      <c r="G43" s="89">
        <f t="shared" si="2"/>
        <v>7.4568656209928452</v>
      </c>
      <c r="H43" s="90">
        <f t="shared" si="3"/>
        <v>262.25366939756969</v>
      </c>
      <c r="I43" s="90">
        <f t="shared" ref="I43:I91" si="12">H43/1000</f>
        <v>0.26225366939756972</v>
      </c>
      <c r="J43" s="90">
        <f t="shared" si="4"/>
        <v>4.2088183078307528</v>
      </c>
      <c r="K43" s="90">
        <f t="shared" ref="K43:K91" si="13">J43/100</f>
        <v>4.2088183078307528E-2</v>
      </c>
      <c r="L43" s="90">
        <f t="shared" si="5"/>
        <v>10.954807729683843</v>
      </c>
      <c r="M43" s="90">
        <f t="shared" ref="M43:M91" si="14">IF(K43&gt;0,L43/K43,0)/1000</f>
        <v>0.26028226757381712</v>
      </c>
      <c r="N43" s="91">
        <f t="shared" ref="N43:N91" si="15">L43/H43</f>
        <v>4.1771799627621765E-2</v>
      </c>
      <c r="P43" s="86">
        <f t="shared" si="6"/>
        <v>12.938775510204</v>
      </c>
      <c r="Q43" s="47">
        <f t="shared" si="7"/>
        <v>7.4568656209928399</v>
      </c>
      <c r="R43" s="87">
        <f t="shared" ref="R43:R91" si="16">D43</f>
        <v>4.2088183078307702E-2</v>
      </c>
      <c r="S43" s="47">
        <f t="shared" si="8"/>
        <v>0.26225366939756972</v>
      </c>
      <c r="T43" s="88">
        <f t="shared" si="9"/>
        <v>7.4568656209928452</v>
      </c>
      <c r="U43" s="88">
        <f t="shared" si="10"/>
        <v>262.25366939756969</v>
      </c>
      <c r="V43" s="88">
        <f t="shared" si="11"/>
        <v>4.2088183078307528</v>
      </c>
    </row>
    <row r="44" spans="1:22" x14ac:dyDescent="0.2">
      <c r="A44" s="80">
        <v>3</v>
      </c>
      <c r="B44" s="81">
        <v>25.877551020408099</v>
      </c>
      <c r="C44" s="82">
        <v>7.6206663621288397</v>
      </c>
      <c r="D44" s="82">
        <v>8.3322775576792907E-2</v>
      </c>
      <c r="E44" s="75">
        <v>0.268459781753561</v>
      </c>
      <c r="G44" s="89">
        <f t="shared" si="2"/>
        <v>7.6206663621288468</v>
      </c>
      <c r="H44" s="90">
        <f t="shared" si="3"/>
        <v>266.40039034107764</v>
      </c>
      <c r="I44" s="90">
        <f t="shared" si="12"/>
        <v>0.26640039034107765</v>
      </c>
      <c r="J44" s="90">
        <f t="shared" si="4"/>
        <v>8.3322775576792818</v>
      </c>
      <c r="K44" s="90">
        <f t="shared" si="13"/>
        <v>8.3322775576792824E-2</v>
      </c>
      <c r="L44" s="90">
        <f t="shared" si="5"/>
        <v>22.390891565530371</v>
      </c>
      <c r="M44" s="90">
        <f t="shared" si="14"/>
        <v>0.26872474435149174</v>
      </c>
      <c r="N44" s="91">
        <f t="shared" si="15"/>
        <v>8.4049770110557545E-2</v>
      </c>
      <c r="P44" s="86">
        <f t="shared" si="6"/>
        <v>25.877551020408099</v>
      </c>
      <c r="Q44" s="47">
        <f t="shared" si="7"/>
        <v>7.6206663621288397</v>
      </c>
      <c r="R44" s="87">
        <f t="shared" si="16"/>
        <v>8.3322775576792907E-2</v>
      </c>
      <c r="S44" s="47">
        <f t="shared" si="8"/>
        <v>0.26640039034107765</v>
      </c>
      <c r="T44" s="88">
        <f t="shared" si="9"/>
        <v>7.6206663621288468</v>
      </c>
      <c r="U44" s="88">
        <f t="shared" si="10"/>
        <v>266.40039034107764</v>
      </c>
      <c r="V44" s="88">
        <f t="shared" si="11"/>
        <v>8.3322775576792818</v>
      </c>
    </row>
    <row r="45" spans="1:22" x14ac:dyDescent="0.2">
      <c r="A45" s="80">
        <v>4</v>
      </c>
      <c r="B45" s="81">
        <v>38.816326530612201</v>
      </c>
      <c r="C45" s="82">
        <v>7.7020840855305002</v>
      </c>
      <c r="D45" s="82">
        <v>0.122796037861374</v>
      </c>
      <c r="E45" s="75">
        <v>0.27616279748942202</v>
      </c>
      <c r="G45" s="89">
        <f t="shared" si="2"/>
        <v>7.7020840855304993</v>
      </c>
      <c r="H45" s="90">
        <f t="shared" si="3"/>
        <v>271.36250798842059</v>
      </c>
      <c r="I45" s="90">
        <f t="shared" si="12"/>
        <v>0.2713625079884206</v>
      </c>
      <c r="J45" s="90">
        <f t="shared" si="4"/>
        <v>12.279603786137459</v>
      </c>
      <c r="K45" s="90">
        <f t="shared" si="13"/>
        <v>0.12279603786137459</v>
      </c>
      <c r="L45" s="90">
        <f t="shared" si="5"/>
        <v>33.945167271343763</v>
      </c>
      <c r="M45" s="90">
        <f t="shared" si="14"/>
        <v>0.27643536275710073</v>
      </c>
      <c r="N45" s="91">
        <f t="shared" si="15"/>
        <v>0.12509158882328819</v>
      </c>
      <c r="P45" s="86">
        <f t="shared" si="6"/>
        <v>38.816326530612201</v>
      </c>
      <c r="Q45" s="47">
        <f t="shared" si="7"/>
        <v>7.7020840855305002</v>
      </c>
      <c r="R45" s="87">
        <f t="shared" si="16"/>
        <v>0.122796037861374</v>
      </c>
      <c r="S45" s="47">
        <f t="shared" si="8"/>
        <v>0.2713625079884206</v>
      </c>
      <c r="T45" s="88">
        <f t="shared" si="9"/>
        <v>7.7020840855304993</v>
      </c>
      <c r="U45" s="88">
        <f t="shared" si="10"/>
        <v>271.36250798842059</v>
      </c>
      <c r="V45" s="88">
        <f t="shared" si="11"/>
        <v>12.279603786137459</v>
      </c>
    </row>
    <row r="46" spans="1:22" x14ac:dyDescent="0.2">
      <c r="A46" s="80">
        <v>5</v>
      </c>
      <c r="B46" s="81">
        <v>51.755102040816297</v>
      </c>
      <c r="C46" s="82">
        <v>7.7205026805560699</v>
      </c>
      <c r="D46" s="82">
        <v>0.16014871828760799</v>
      </c>
      <c r="E46" s="75">
        <v>0.28301022024553202</v>
      </c>
      <c r="G46" s="89">
        <f t="shared" si="2"/>
        <v>7.7205026805560708</v>
      </c>
      <c r="H46" s="90">
        <f t="shared" si="3"/>
        <v>277.02520136118557</v>
      </c>
      <c r="I46" s="90">
        <f t="shared" si="12"/>
        <v>0.27702520136118558</v>
      </c>
      <c r="J46" s="90">
        <f t="shared" si="4"/>
        <v>16.014871828760814</v>
      </c>
      <c r="K46" s="90">
        <f t="shared" si="13"/>
        <v>0.16014871828760813</v>
      </c>
      <c r="L46" s="90">
        <f t="shared" si="5"/>
        <v>45.368457333546552</v>
      </c>
      <c r="M46" s="90">
        <f t="shared" si="14"/>
        <v>0.28328954373565562</v>
      </c>
      <c r="N46" s="91">
        <f t="shared" si="15"/>
        <v>0.16377014477608895</v>
      </c>
      <c r="P46" s="86">
        <f t="shared" si="6"/>
        <v>51.755102040816297</v>
      </c>
      <c r="Q46" s="47">
        <f t="shared" si="7"/>
        <v>7.7205026805560699</v>
      </c>
      <c r="R46" s="87">
        <f t="shared" si="16"/>
        <v>0.16014871828760799</v>
      </c>
      <c r="S46" s="47">
        <f t="shared" si="8"/>
        <v>0.27702520136118558</v>
      </c>
      <c r="T46" s="88">
        <f t="shared" si="9"/>
        <v>7.7205026805560708</v>
      </c>
      <c r="U46" s="88">
        <f t="shared" si="10"/>
        <v>277.02520136118557</v>
      </c>
      <c r="V46" s="88">
        <f t="shared" si="11"/>
        <v>16.014871828760814</v>
      </c>
    </row>
    <row r="47" spans="1:22" x14ac:dyDescent="0.2">
      <c r="A47" s="80">
        <v>6</v>
      </c>
      <c r="B47" s="81">
        <v>64.693877551020407</v>
      </c>
      <c r="C47" s="82">
        <v>7.6925270499470804</v>
      </c>
      <c r="D47" s="82">
        <v>0.195167334094865</v>
      </c>
      <c r="E47" s="75">
        <v>0.28923571819476501</v>
      </c>
      <c r="G47" s="89">
        <f t="shared" si="2"/>
        <v>7.6925270499470813</v>
      </c>
      <c r="H47" s="90">
        <f t="shared" si="3"/>
        <v>283.27882624465002</v>
      </c>
      <c r="I47" s="90">
        <f t="shared" si="12"/>
        <v>0.28327882624465001</v>
      </c>
      <c r="J47" s="90">
        <f t="shared" si="4"/>
        <v>19.516733409486505</v>
      </c>
      <c r="K47" s="90">
        <f t="shared" si="13"/>
        <v>0.19516733409486506</v>
      </c>
      <c r="L47" s="90">
        <f t="shared" si="5"/>
        <v>56.505078052045384</v>
      </c>
      <c r="M47" s="90">
        <f t="shared" si="14"/>
        <v>0.28952118608424471</v>
      </c>
      <c r="N47" s="91">
        <f t="shared" si="15"/>
        <v>0.1994680605010892</v>
      </c>
      <c r="P47" s="86">
        <f t="shared" si="6"/>
        <v>64.693877551020407</v>
      </c>
      <c r="Q47" s="47">
        <f t="shared" si="7"/>
        <v>7.6925270499470804</v>
      </c>
      <c r="R47" s="87">
        <f t="shared" si="16"/>
        <v>0.195167334094865</v>
      </c>
      <c r="S47" s="47">
        <f t="shared" si="8"/>
        <v>0.28327882624465001</v>
      </c>
      <c r="T47" s="88">
        <f t="shared" si="9"/>
        <v>7.6925270499470813</v>
      </c>
      <c r="U47" s="88">
        <f t="shared" si="10"/>
        <v>283.27882624465002</v>
      </c>
      <c r="V47" s="88">
        <f t="shared" si="11"/>
        <v>19.516733409486505</v>
      </c>
    </row>
    <row r="48" spans="1:22" x14ac:dyDescent="0.2">
      <c r="A48" s="80">
        <v>7</v>
      </c>
      <c r="B48" s="81">
        <v>77.632653061224403</v>
      </c>
      <c r="C48" s="82">
        <v>7.6322032987463997</v>
      </c>
      <c r="D48" s="82">
        <v>0.22776181205071599</v>
      </c>
      <c r="E48" s="75">
        <v>0.295080348912865</v>
      </c>
      <c r="G48" s="89">
        <f t="shared" si="2"/>
        <v>7.6322032987464068</v>
      </c>
      <c r="H48" s="90">
        <f t="shared" si="3"/>
        <v>290.01891518778143</v>
      </c>
      <c r="I48" s="90">
        <f t="shared" si="12"/>
        <v>0.29001891518778145</v>
      </c>
      <c r="J48" s="90">
        <f t="shared" si="4"/>
        <v>22.776181205071637</v>
      </c>
      <c r="K48" s="90">
        <f t="shared" si="13"/>
        <v>0.22776181205071638</v>
      </c>
      <c r="L48" s="90">
        <f t="shared" si="5"/>
        <v>67.274367495302045</v>
      </c>
      <c r="M48" s="90">
        <f t="shared" si="14"/>
        <v>0.29537158529596641</v>
      </c>
      <c r="N48" s="91">
        <f t="shared" si="15"/>
        <v>0.23196544767344998</v>
      </c>
      <c r="P48" s="86">
        <f t="shared" si="6"/>
        <v>77.632653061224403</v>
      </c>
      <c r="Q48" s="47">
        <f t="shared" si="7"/>
        <v>7.6322032987463997</v>
      </c>
      <c r="R48" s="87">
        <f t="shared" si="16"/>
        <v>0.22776181205071599</v>
      </c>
      <c r="S48" s="47">
        <f t="shared" si="8"/>
        <v>0.29001891518778145</v>
      </c>
      <c r="T48" s="88">
        <f t="shared" si="9"/>
        <v>7.6322032987464068</v>
      </c>
      <c r="U48" s="88">
        <f t="shared" si="10"/>
        <v>290.01891518778143</v>
      </c>
      <c r="V48" s="88">
        <f t="shared" si="11"/>
        <v>22.776181205071637</v>
      </c>
    </row>
    <row r="49" spans="1:22" x14ac:dyDescent="0.2">
      <c r="A49" s="80">
        <v>8</v>
      </c>
      <c r="B49" s="81">
        <v>90.571428571428498</v>
      </c>
      <c r="C49" s="82">
        <v>7.5512312669870401</v>
      </c>
      <c r="D49" s="82">
        <v>0.25794444256591897</v>
      </c>
      <c r="E49" s="75">
        <v>0.30075278186085302</v>
      </c>
      <c r="G49" s="89">
        <f t="shared" si="2"/>
        <v>7.5512312669870401</v>
      </c>
      <c r="H49" s="90">
        <f t="shared" si="3"/>
        <v>297.14617750323805</v>
      </c>
      <c r="I49" s="90">
        <f t="shared" si="12"/>
        <v>0.29714617750323807</v>
      </c>
      <c r="J49" s="90">
        <f t="shared" si="4"/>
        <v>25.794444256591888</v>
      </c>
      <c r="K49" s="90">
        <f t="shared" si="13"/>
        <v>0.25794444256591886</v>
      </c>
      <c r="L49" s="90">
        <f t="shared" si="5"/>
        <v>77.65407558577472</v>
      </c>
      <c r="M49" s="90">
        <f t="shared" si="14"/>
        <v>0.30104961678300113</v>
      </c>
      <c r="N49" s="91">
        <f t="shared" si="15"/>
        <v>0.26133291108861229</v>
      </c>
      <c r="P49" s="86">
        <f t="shared" si="6"/>
        <v>90.571428571428498</v>
      </c>
      <c r="Q49" s="47">
        <f t="shared" si="7"/>
        <v>7.5512312669870401</v>
      </c>
      <c r="R49" s="87">
        <f t="shared" si="16"/>
        <v>0.25794444256591897</v>
      </c>
      <c r="S49" s="47">
        <f t="shared" si="8"/>
        <v>0.29714617750323807</v>
      </c>
      <c r="T49" s="88">
        <f t="shared" si="9"/>
        <v>7.5512312669870401</v>
      </c>
      <c r="U49" s="88">
        <f t="shared" si="10"/>
        <v>297.14617750323805</v>
      </c>
      <c r="V49" s="88">
        <f t="shared" si="11"/>
        <v>25.794444256591888</v>
      </c>
    </row>
    <row r="50" spans="1:22" x14ac:dyDescent="0.2">
      <c r="A50" s="80">
        <v>9</v>
      </c>
      <c r="B50" s="81">
        <v>103.510204081632</v>
      </c>
      <c r="C50" s="82">
        <v>7.4591694061514699</v>
      </c>
      <c r="D50" s="82">
        <v>0.28581014728000198</v>
      </c>
      <c r="E50" s="75">
        <v>0.30642403775829902</v>
      </c>
      <c r="G50" s="89">
        <f t="shared" si="2"/>
        <v>7.4591694061514744</v>
      </c>
      <c r="H50" s="90">
        <f t="shared" si="3"/>
        <v>304.56649926736759</v>
      </c>
      <c r="I50" s="90">
        <f t="shared" si="12"/>
        <v>0.30456649926736756</v>
      </c>
      <c r="J50" s="90">
        <f t="shared" si="4"/>
        <v>28.58101472800011</v>
      </c>
      <c r="K50" s="90">
        <f t="shared" si="13"/>
        <v>0.28581014728000109</v>
      </c>
      <c r="L50" s="90">
        <f t="shared" si="5"/>
        <v>87.66553758188779</v>
      </c>
      <c r="M50" s="90">
        <f t="shared" si="14"/>
        <v>0.30672647005777592</v>
      </c>
      <c r="N50" s="91">
        <f t="shared" si="15"/>
        <v>0.28783709893493398</v>
      </c>
      <c r="P50" s="86">
        <f t="shared" si="6"/>
        <v>103.510204081632</v>
      </c>
      <c r="Q50" s="47">
        <f t="shared" si="7"/>
        <v>7.4591694061514699</v>
      </c>
      <c r="R50" s="87">
        <f t="shared" si="16"/>
        <v>0.28581014728000198</v>
      </c>
      <c r="S50" s="47">
        <f t="shared" si="8"/>
        <v>0.30456649926736756</v>
      </c>
      <c r="T50" s="88">
        <f t="shared" si="9"/>
        <v>7.4591694061514744</v>
      </c>
      <c r="U50" s="88">
        <f t="shared" si="10"/>
        <v>304.56649926736759</v>
      </c>
      <c r="V50" s="88">
        <f t="shared" si="11"/>
        <v>28.58101472800011</v>
      </c>
    </row>
    <row r="51" spans="1:22" x14ac:dyDescent="0.2">
      <c r="A51" s="80">
        <v>10</v>
      </c>
      <c r="B51" s="81">
        <v>116.44897959183599</v>
      </c>
      <c r="C51" s="82">
        <v>7.3636319994017096</v>
      </c>
      <c r="D51" s="82">
        <v>0.31151806011746003</v>
      </c>
      <c r="E51" s="75">
        <v>0.31222765922956602</v>
      </c>
      <c r="G51" s="89">
        <f t="shared" si="2"/>
        <v>7.3636319994017203</v>
      </c>
      <c r="H51" s="90">
        <f t="shared" si="3"/>
        <v>312.19094332020956</v>
      </c>
      <c r="I51" s="90">
        <f t="shared" si="12"/>
        <v>0.31219094332020958</v>
      </c>
      <c r="J51" s="90">
        <f t="shared" si="4"/>
        <v>31.151806011745954</v>
      </c>
      <c r="K51" s="90">
        <f t="shared" si="13"/>
        <v>0.31151806011745953</v>
      </c>
      <c r="L51" s="90">
        <f t="shared" si="5"/>
        <v>97.360552222701131</v>
      </c>
      <c r="M51" s="90">
        <f t="shared" si="14"/>
        <v>0.31253581954763981</v>
      </c>
      <c r="N51" s="91">
        <f t="shared" si="15"/>
        <v>0.31186219301320306</v>
      </c>
      <c r="P51" s="86">
        <f t="shared" si="6"/>
        <v>116.44897959183599</v>
      </c>
      <c r="Q51" s="47">
        <f t="shared" si="7"/>
        <v>7.3636319994017096</v>
      </c>
      <c r="R51" s="87">
        <f t="shared" si="16"/>
        <v>0.31151806011746003</v>
      </c>
      <c r="S51" s="47">
        <f t="shared" si="8"/>
        <v>0.31219094332020958</v>
      </c>
      <c r="T51" s="88">
        <f t="shared" si="9"/>
        <v>7.3636319994017203</v>
      </c>
      <c r="U51" s="88">
        <f t="shared" si="10"/>
        <v>312.19094332020956</v>
      </c>
      <c r="V51" s="88">
        <f t="shared" si="11"/>
        <v>31.151806011745954</v>
      </c>
    </row>
    <row r="52" spans="1:22" x14ac:dyDescent="0.2">
      <c r="A52" s="80">
        <v>11</v>
      </c>
      <c r="B52" s="81">
        <v>129.38775510203999</v>
      </c>
      <c r="C52" s="82">
        <v>7.2704787255799701</v>
      </c>
      <c r="D52" s="82">
        <v>0.33527442181454598</v>
      </c>
      <c r="E52" s="75">
        <v>0.318260398978639</v>
      </c>
      <c r="G52" s="89">
        <f t="shared" si="2"/>
        <v>7.2704787255799825</v>
      </c>
      <c r="H52" s="90">
        <f t="shared" si="3"/>
        <v>319.9357492654924</v>
      </c>
      <c r="I52" s="90">
        <f t="shared" si="12"/>
        <v>0.3199357492654924</v>
      </c>
      <c r="J52" s="90">
        <f t="shared" si="4"/>
        <v>33.527442181454539</v>
      </c>
      <c r="K52" s="90">
        <f t="shared" si="13"/>
        <v>0.33527442181454536</v>
      </c>
      <c r="L52" s="90">
        <f t="shared" si="5"/>
        <v>106.80988580142991</v>
      </c>
      <c r="M52" s="90">
        <f t="shared" si="14"/>
        <v>0.31857451344889959</v>
      </c>
      <c r="N52" s="91">
        <f t="shared" si="15"/>
        <v>0.33384792429931243</v>
      </c>
      <c r="P52" s="86">
        <f t="shared" si="6"/>
        <v>129.38775510203999</v>
      </c>
      <c r="Q52" s="47">
        <f t="shared" si="7"/>
        <v>7.2704787255799701</v>
      </c>
      <c r="R52" s="87">
        <f t="shared" si="16"/>
        <v>0.33527442181454598</v>
      </c>
      <c r="S52" s="47">
        <f t="shared" si="8"/>
        <v>0.3199357492654924</v>
      </c>
      <c r="T52" s="88">
        <f t="shared" si="9"/>
        <v>7.2704787255799825</v>
      </c>
      <c r="U52" s="88">
        <f t="shared" si="10"/>
        <v>319.9357492654924</v>
      </c>
      <c r="V52" s="88">
        <f t="shared" si="11"/>
        <v>33.527442181454539</v>
      </c>
    </row>
    <row r="53" spans="1:22" x14ac:dyDescent="0.2">
      <c r="A53" s="80">
        <v>12</v>
      </c>
      <c r="B53" s="81">
        <v>142.326530612244</v>
      </c>
      <c r="C53" s="82">
        <v>7.1839965669799302</v>
      </c>
      <c r="D53" s="82">
        <v>0.35731678791666599</v>
      </c>
      <c r="E53" s="75">
        <v>0.32458272138092797</v>
      </c>
      <c r="G53" s="89">
        <f t="shared" si="2"/>
        <v>7.183996566979939</v>
      </c>
      <c r="H53" s="90">
        <f t="shared" si="3"/>
        <v>327.72233347063553</v>
      </c>
      <c r="I53" s="90">
        <f t="shared" si="12"/>
        <v>0.32772233347063551</v>
      </c>
      <c r="J53" s="90">
        <f t="shared" si="4"/>
        <v>35.731678791666496</v>
      </c>
      <c r="K53" s="90">
        <f t="shared" si="13"/>
        <v>0.35731678791666499</v>
      </c>
      <c r="L53" s="90">
        <f t="shared" si="5"/>
        <v>116.09332343398876</v>
      </c>
      <c r="M53" s="90">
        <f t="shared" si="14"/>
        <v>0.32490307581367983</v>
      </c>
      <c r="N53" s="91">
        <f t="shared" si="15"/>
        <v>0.35424294159186714</v>
      </c>
      <c r="P53" s="86">
        <f t="shared" si="6"/>
        <v>142.326530612244</v>
      </c>
      <c r="Q53" s="47">
        <f t="shared" si="7"/>
        <v>7.1839965669799302</v>
      </c>
      <c r="R53" s="87">
        <f t="shared" si="16"/>
        <v>0.35731678791666599</v>
      </c>
      <c r="S53" s="47">
        <f t="shared" si="8"/>
        <v>0.32772233347063551</v>
      </c>
      <c r="T53" s="88">
        <f t="shared" si="9"/>
        <v>7.183996566979939</v>
      </c>
      <c r="U53" s="88">
        <f t="shared" si="10"/>
        <v>327.72233347063553</v>
      </c>
      <c r="V53" s="88">
        <f t="shared" si="11"/>
        <v>35.731678791666496</v>
      </c>
    </row>
    <row r="54" spans="1:22" x14ac:dyDescent="0.2">
      <c r="A54" s="80">
        <v>13</v>
      </c>
      <c r="B54" s="81">
        <v>155.26530612244801</v>
      </c>
      <c r="C54" s="82">
        <v>7.1070740608886904</v>
      </c>
      <c r="D54" s="82">
        <v>0.377899550246378</v>
      </c>
      <c r="E54" s="75">
        <v>0.33121937190707601</v>
      </c>
      <c r="G54" s="89">
        <f t="shared" si="2"/>
        <v>7.1070740608886975</v>
      </c>
      <c r="H54" s="90">
        <f t="shared" si="3"/>
        <v>335.4772890667486</v>
      </c>
      <c r="I54" s="90">
        <f t="shared" si="12"/>
        <v>0.33547728906674862</v>
      </c>
      <c r="J54" s="90">
        <f t="shared" si="4"/>
        <v>37.789955024637734</v>
      </c>
      <c r="K54" s="90">
        <f t="shared" si="13"/>
        <v>0.37789955024637734</v>
      </c>
      <c r="L54" s="90">
        <f t="shared" si="5"/>
        <v>125.29118878871705</v>
      </c>
      <c r="M54" s="90">
        <f t="shared" si="14"/>
        <v>0.33154627653573965</v>
      </c>
      <c r="N54" s="91">
        <f t="shared" si="15"/>
        <v>0.37347144761202705</v>
      </c>
      <c r="P54" s="86">
        <f t="shared" si="6"/>
        <v>155.26530612244801</v>
      </c>
      <c r="Q54" s="47">
        <f t="shared" si="7"/>
        <v>7.1070740608886904</v>
      </c>
      <c r="R54" s="87">
        <f t="shared" si="16"/>
        <v>0.377899550246378</v>
      </c>
      <c r="S54" s="47">
        <f t="shared" si="8"/>
        <v>0.33547728906674862</v>
      </c>
      <c r="T54" s="88">
        <f t="shared" si="9"/>
        <v>7.1070740608886975</v>
      </c>
      <c r="U54" s="88">
        <f t="shared" si="10"/>
        <v>335.4772890667486</v>
      </c>
      <c r="V54" s="88">
        <f t="shared" si="11"/>
        <v>37.789955024637734</v>
      </c>
    </row>
    <row r="55" spans="1:22" x14ac:dyDescent="0.2">
      <c r="A55" s="80">
        <v>14</v>
      </c>
      <c r="B55" s="81">
        <v>168.20408163265299</v>
      </c>
      <c r="C55" s="82">
        <v>7.0413678948993299</v>
      </c>
      <c r="D55" s="82">
        <v>0.397280771841997</v>
      </c>
      <c r="E55" s="75">
        <v>0.33816048621876399</v>
      </c>
      <c r="G55" s="89">
        <f t="shared" si="2"/>
        <v>7.0413678948993361</v>
      </c>
      <c r="H55" s="90">
        <f t="shared" si="3"/>
        <v>343.13238594863185</v>
      </c>
      <c r="I55" s="90">
        <f t="shared" si="12"/>
        <v>0.34313238594863182</v>
      </c>
      <c r="J55" s="90">
        <f t="shared" si="4"/>
        <v>39.728077184199783</v>
      </c>
      <c r="K55" s="90">
        <f t="shared" si="13"/>
        <v>0.39728077184199784</v>
      </c>
      <c r="L55" s="90">
        <f t="shared" si="5"/>
        <v>134.47725354344956</v>
      </c>
      <c r="M55" s="90">
        <f t="shared" si="14"/>
        <v>0.33849424154092306</v>
      </c>
      <c r="N55" s="91">
        <f t="shared" si="15"/>
        <v>0.39191069992321065</v>
      </c>
      <c r="P55" s="86">
        <f t="shared" si="6"/>
        <v>168.20408163265299</v>
      </c>
      <c r="Q55" s="47">
        <f t="shared" si="7"/>
        <v>7.0413678948993299</v>
      </c>
      <c r="R55" s="87">
        <f t="shared" si="16"/>
        <v>0.397280771841997</v>
      </c>
      <c r="S55" s="47">
        <f t="shared" si="8"/>
        <v>0.34313238594863182</v>
      </c>
      <c r="T55" s="88">
        <f t="shared" si="9"/>
        <v>7.0413678948993361</v>
      </c>
      <c r="U55" s="88">
        <f t="shared" si="10"/>
        <v>343.13238594863185</v>
      </c>
      <c r="V55" s="88">
        <f t="shared" si="11"/>
        <v>39.728077184199783</v>
      </c>
    </row>
    <row r="56" spans="1:22" x14ac:dyDescent="0.2">
      <c r="A56" s="80">
        <v>15</v>
      </c>
      <c r="B56" s="81">
        <v>181.142857142857</v>
      </c>
      <c r="C56" s="82">
        <v>6.9874618459941402</v>
      </c>
      <c r="D56" s="82">
        <v>0.41571033536679503</v>
      </c>
      <c r="E56" s="75">
        <v>0.345363693527101</v>
      </c>
      <c r="G56" s="89">
        <f t="shared" si="2"/>
        <v>6.98746184599415</v>
      </c>
      <c r="H56" s="90">
        <f t="shared" si="3"/>
        <v>350.6245707747745</v>
      </c>
      <c r="I56" s="90">
        <f t="shared" si="12"/>
        <v>0.35062457077477449</v>
      </c>
      <c r="J56" s="90">
        <f t="shared" si="4"/>
        <v>41.571033536679508</v>
      </c>
      <c r="K56" s="90">
        <f t="shared" si="13"/>
        <v>0.41571033536679508</v>
      </c>
      <c r="L56" s="90">
        <f t="shared" si="5"/>
        <v>143.71295783609247</v>
      </c>
      <c r="M56" s="90">
        <f t="shared" si="14"/>
        <v>0.3457045582215072</v>
      </c>
      <c r="N56" s="91">
        <f t="shared" si="15"/>
        <v>0.40987703034767414</v>
      </c>
      <c r="P56" s="86">
        <f t="shared" si="6"/>
        <v>181.142857142857</v>
      </c>
      <c r="Q56" s="47">
        <f t="shared" si="7"/>
        <v>6.9874618459941402</v>
      </c>
      <c r="R56" s="87">
        <f t="shared" si="16"/>
        <v>0.41571033536679503</v>
      </c>
      <c r="S56" s="47">
        <f t="shared" si="8"/>
        <v>0.35062457077477449</v>
      </c>
      <c r="T56" s="88">
        <f t="shared" si="9"/>
        <v>6.98746184599415</v>
      </c>
      <c r="U56" s="88">
        <f t="shared" si="10"/>
        <v>350.6245707747745</v>
      </c>
      <c r="V56" s="88">
        <f t="shared" si="11"/>
        <v>41.571033536679508</v>
      </c>
    </row>
    <row r="57" spans="1:22" x14ac:dyDescent="0.2">
      <c r="A57" s="80">
        <v>16</v>
      </c>
      <c r="B57" s="81">
        <v>194.08163265306101</v>
      </c>
      <c r="C57" s="82">
        <v>6.9450180633984502</v>
      </c>
      <c r="D57" s="82">
        <v>0.43341940498880699</v>
      </c>
      <c r="E57" s="75">
        <v>0.352757539122946</v>
      </c>
      <c r="G57" s="89">
        <f t="shared" si="2"/>
        <v>6.9450180633984537</v>
      </c>
      <c r="H57" s="90">
        <f t="shared" si="3"/>
        <v>357.89596696735765</v>
      </c>
      <c r="I57" s="90">
        <f t="shared" si="12"/>
        <v>0.35789596696735765</v>
      </c>
      <c r="J57" s="90">
        <f t="shared" si="4"/>
        <v>43.341940498880781</v>
      </c>
      <c r="K57" s="90">
        <f t="shared" si="13"/>
        <v>0.43341940498880782</v>
      </c>
      <c r="L57" s="90">
        <f t="shared" si="5"/>
        <v>153.0428629748765</v>
      </c>
      <c r="M57" s="90">
        <f t="shared" si="14"/>
        <v>0.35310570134447145</v>
      </c>
      <c r="N57" s="91">
        <f t="shared" si="15"/>
        <v>0.42761829442139249</v>
      </c>
      <c r="P57" s="86">
        <f t="shared" si="6"/>
        <v>194.08163265306104</v>
      </c>
      <c r="Q57" s="47">
        <f t="shared" si="7"/>
        <v>6.9450180633984502</v>
      </c>
      <c r="R57" s="87">
        <f t="shared" si="16"/>
        <v>0.43341940498880699</v>
      </c>
      <c r="S57" s="47">
        <f t="shared" si="8"/>
        <v>0.35789596696735765</v>
      </c>
      <c r="T57" s="88">
        <f t="shared" si="9"/>
        <v>6.9450180633984528</v>
      </c>
      <c r="U57" s="88">
        <f t="shared" si="10"/>
        <v>357.89596696735771</v>
      </c>
      <c r="V57" s="88">
        <f t="shared" si="11"/>
        <v>43.341940498880774</v>
      </c>
    </row>
    <row r="58" spans="1:22" x14ac:dyDescent="0.2">
      <c r="A58" s="80">
        <v>17</v>
      </c>
      <c r="B58" s="81">
        <v>207.02040816326499</v>
      </c>
      <c r="C58" s="82">
        <v>6.9129206952050799</v>
      </c>
      <c r="D58" s="82">
        <v>0.45061120173124702</v>
      </c>
      <c r="E58" s="75">
        <v>0.36024635133501698</v>
      </c>
      <c r="G58" s="89">
        <f t="shared" si="2"/>
        <v>6.9129206952050826</v>
      </c>
      <c r="H58" s="90">
        <f t="shared" si="3"/>
        <v>364.89387471225228</v>
      </c>
      <c r="I58" s="90">
        <f t="shared" si="12"/>
        <v>0.36489387471225226</v>
      </c>
      <c r="J58" s="90">
        <f t="shared" si="4"/>
        <v>45.061120173124706</v>
      </c>
      <c r="K58" s="90">
        <f t="shared" si="13"/>
        <v>0.45061120173124708</v>
      </c>
      <c r="L58" s="90">
        <f t="shared" si="5"/>
        <v>162.4912576744359</v>
      </c>
      <c r="M58" s="90">
        <f t="shared" si="14"/>
        <v>0.36060190481316245</v>
      </c>
      <c r="N58" s="91">
        <f t="shared" si="15"/>
        <v>0.44531100392565681</v>
      </c>
      <c r="P58" s="86">
        <f t="shared" si="6"/>
        <v>207.02040816326499</v>
      </c>
      <c r="Q58" s="47">
        <f t="shared" si="7"/>
        <v>6.9129206952050799</v>
      </c>
      <c r="R58" s="87">
        <f t="shared" si="16"/>
        <v>0.45061120173124702</v>
      </c>
      <c r="S58" s="47">
        <f t="shared" si="8"/>
        <v>0.36489387471225226</v>
      </c>
      <c r="T58" s="88">
        <f t="shared" si="9"/>
        <v>6.9129206952050826</v>
      </c>
      <c r="U58" s="88">
        <f t="shared" si="10"/>
        <v>364.89387471225228</v>
      </c>
      <c r="V58" s="88">
        <f t="shared" si="11"/>
        <v>45.061120173124706</v>
      </c>
    </row>
    <row r="59" spans="1:22" x14ac:dyDescent="0.2">
      <c r="A59" s="80">
        <v>18</v>
      </c>
      <c r="B59" s="81">
        <v>219.959183673469</v>
      </c>
      <c r="C59" s="82">
        <v>6.8894118587695097</v>
      </c>
      <c r="D59" s="82">
        <v>0.46745309229351101</v>
      </c>
      <c r="E59" s="75">
        <v>0.36771644239037998</v>
      </c>
      <c r="G59" s="89">
        <f t="shared" si="2"/>
        <v>6.8894118587695106</v>
      </c>
      <c r="H59" s="90">
        <f t="shared" si="3"/>
        <v>371.57077095901934</v>
      </c>
      <c r="I59" s="90">
        <f t="shared" si="12"/>
        <v>0.37157077095901936</v>
      </c>
      <c r="J59" s="90">
        <f t="shared" si="4"/>
        <v>46.745309229351093</v>
      </c>
      <c r="K59" s="90">
        <f t="shared" si="13"/>
        <v>0.46745309229351095</v>
      </c>
      <c r="L59" s="90">
        <f t="shared" si="5"/>
        <v>172.0598390838887</v>
      </c>
      <c r="M59" s="90">
        <f t="shared" si="14"/>
        <v>0.36807936864786717</v>
      </c>
      <c r="N59" s="91">
        <f t="shared" si="15"/>
        <v>0.46306074786185281</v>
      </c>
      <c r="P59" s="86">
        <f t="shared" si="6"/>
        <v>219.95918367346903</v>
      </c>
      <c r="Q59" s="47">
        <f t="shared" si="7"/>
        <v>6.8894118587695097</v>
      </c>
      <c r="R59" s="87">
        <f t="shared" si="16"/>
        <v>0.46745309229351101</v>
      </c>
      <c r="S59" s="47">
        <f t="shared" si="8"/>
        <v>0.37157077095901936</v>
      </c>
      <c r="T59" s="88">
        <f t="shared" si="9"/>
        <v>6.8894118587695123</v>
      </c>
      <c r="U59" s="88">
        <f t="shared" si="10"/>
        <v>371.57077095901934</v>
      </c>
      <c r="V59" s="88">
        <f t="shared" si="11"/>
        <v>46.745309229351079</v>
      </c>
    </row>
    <row r="60" spans="1:22" x14ac:dyDescent="0.2">
      <c r="A60" s="80">
        <v>19</v>
      </c>
      <c r="B60" s="81">
        <v>232.89795918367301</v>
      </c>
      <c r="C60" s="82">
        <v>6.8722199548756002</v>
      </c>
      <c r="D60" s="82">
        <v>0.48406999134279799</v>
      </c>
      <c r="E60" s="75">
        <v>0.37504330138096698</v>
      </c>
      <c r="G60" s="89">
        <f t="shared" si="2"/>
        <v>6.8722199548756002</v>
      </c>
      <c r="H60" s="90">
        <f t="shared" si="3"/>
        <v>377.88430942091054</v>
      </c>
      <c r="I60" s="90">
        <f t="shared" si="12"/>
        <v>0.37788430942091056</v>
      </c>
      <c r="J60" s="90">
        <f t="shared" si="4"/>
        <v>48.406999134279751</v>
      </c>
      <c r="K60" s="90">
        <f t="shared" si="13"/>
        <v>0.48406999134279749</v>
      </c>
      <c r="L60" s="90">
        <f t="shared" si="5"/>
        <v>181.7263898730736</v>
      </c>
      <c r="M60" s="90">
        <f t="shared" si="14"/>
        <v>0.37541345905159157</v>
      </c>
      <c r="N60" s="91">
        <f t="shared" si="15"/>
        <v>0.48090483077098523</v>
      </c>
      <c r="P60" s="86">
        <f t="shared" si="6"/>
        <v>232.89795918367301</v>
      </c>
      <c r="Q60" s="47">
        <f t="shared" si="7"/>
        <v>6.8722199548756002</v>
      </c>
      <c r="R60" s="87">
        <f t="shared" si="16"/>
        <v>0.48406999134279799</v>
      </c>
      <c r="S60" s="47">
        <f t="shared" si="8"/>
        <v>0.37788430942091056</v>
      </c>
      <c r="T60" s="88">
        <f t="shared" si="9"/>
        <v>6.8722199548756002</v>
      </c>
      <c r="U60" s="88">
        <f t="shared" si="10"/>
        <v>377.88430942091054</v>
      </c>
      <c r="V60" s="88">
        <f t="shared" si="11"/>
        <v>48.406999134279751</v>
      </c>
    </row>
    <row r="61" spans="1:22" x14ac:dyDescent="0.2">
      <c r="A61" s="80">
        <v>20</v>
      </c>
      <c r="B61" s="81">
        <v>245.83673469387699</v>
      </c>
      <c r="C61" s="82">
        <v>6.8586803256719904</v>
      </c>
      <c r="D61" s="82">
        <v>0.50053907727632396</v>
      </c>
      <c r="E61" s="75">
        <v>0.38209925493209901</v>
      </c>
      <c r="G61" s="89">
        <f t="shared" si="2"/>
        <v>6.8586803256719975</v>
      </c>
      <c r="H61" s="90">
        <f t="shared" si="3"/>
        <v>383.79732057486751</v>
      </c>
      <c r="I61" s="90">
        <f t="shared" si="12"/>
        <v>0.38379732057486754</v>
      </c>
      <c r="J61" s="90">
        <f t="shared" si="4"/>
        <v>50.053907727632321</v>
      </c>
      <c r="K61" s="90">
        <f t="shared" si="13"/>
        <v>0.50053907727632319</v>
      </c>
      <c r="L61" s="90">
        <f t="shared" si="5"/>
        <v>191.44437264310935</v>
      </c>
      <c r="M61" s="90">
        <f t="shared" si="14"/>
        <v>0.38247637663946515</v>
      </c>
      <c r="N61" s="91">
        <f t="shared" si="15"/>
        <v>0.4988163345079013</v>
      </c>
      <c r="P61" s="86">
        <f t="shared" si="6"/>
        <v>245.83673469387702</v>
      </c>
      <c r="Q61" s="47">
        <f t="shared" si="7"/>
        <v>6.8586803256719904</v>
      </c>
      <c r="R61" s="87">
        <f t="shared" si="16"/>
        <v>0.50053907727632396</v>
      </c>
      <c r="S61" s="47">
        <f t="shared" si="8"/>
        <v>0.38379732057486754</v>
      </c>
      <c r="T61" s="88">
        <f t="shared" si="9"/>
        <v>6.8586803256719975</v>
      </c>
      <c r="U61" s="88">
        <f t="shared" si="10"/>
        <v>383.79732057486763</v>
      </c>
      <c r="V61" s="88">
        <f t="shared" si="11"/>
        <v>50.05390772763235</v>
      </c>
    </row>
    <row r="62" spans="1:22" x14ac:dyDescent="0.2">
      <c r="A62" s="80">
        <v>21</v>
      </c>
      <c r="B62" s="81">
        <v>258.775510204081</v>
      </c>
      <c r="C62" s="82">
        <v>6.8458482563791501</v>
      </c>
      <c r="D62" s="82">
        <v>0.51688582145414297</v>
      </c>
      <c r="E62" s="75">
        <v>0.38876097434106199</v>
      </c>
      <c r="G62" s="89">
        <f t="shared" si="2"/>
        <v>6.8458482563791545</v>
      </c>
      <c r="H62" s="90">
        <f t="shared" si="3"/>
        <v>389.27781166152266</v>
      </c>
      <c r="I62" s="90">
        <f t="shared" si="12"/>
        <v>0.38927781166152264</v>
      </c>
      <c r="J62" s="90">
        <f t="shared" si="4"/>
        <v>51.688582145414237</v>
      </c>
      <c r="K62" s="90">
        <f t="shared" si="13"/>
        <v>0.51688582145414241</v>
      </c>
      <c r="L62" s="90">
        <f t="shared" si="5"/>
        <v>201.14336292743894</v>
      </c>
      <c r="M62" s="90">
        <f t="shared" si="14"/>
        <v>0.38914467098665462</v>
      </c>
      <c r="N62" s="91">
        <f t="shared" si="15"/>
        <v>0.51670903632784815</v>
      </c>
      <c r="P62" s="86">
        <f t="shared" si="6"/>
        <v>258.775510204081</v>
      </c>
      <c r="Q62" s="47">
        <f t="shared" si="7"/>
        <v>6.8458482563791501</v>
      </c>
      <c r="R62" s="87">
        <f t="shared" si="16"/>
        <v>0.51688582145414297</v>
      </c>
      <c r="S62" s="47">
        <f t="shared" si="8"/>
        <v>0.38927781166152264</v>
      </c>
      <c r="T62" s="88">
        <f t="shared" si="9"/>
        <v>6.8458482563791545</v>
      </c>
      <c r="U62" s="88">
        <f t="shared" si="10"/>
        <v>389.27781166152266</v>
      </c>
      <c r="V62" s="88">
        <f t="shared" si="11"/>
        <v>51.688582145414237</v>
      </c>
    </row>
    <row r="63" spans="1:22" x14ac:dyDescent="0.2">
      <c r="A63" s="80">
        <v>22</v>
      </c>
      <c r="B63" s="81">
        <v>271.71428571428498</v>
      </c>
      <c r="C63" s="82">
        <v>6.8306043207669802</v>
      </c>
      <c r="D63" s="82">
        <v>0.53308133090257004</v>
      </c>
      <c r="E63" s="75">
        <v>0.39491621601983001</v>
      </c>
      <c r="G63" s="89">
        <f t="shared" si="2"/>
        <v>6.8306043207669855</v>
      </c>
      <c r="H63" s="90">
        <f t="shared" si="3"/>
        <v>394.29896668519814</v>
      </c>
      <c r="I63" s="90">
        <f t="shared" si="12"/>
        <v>0.39429896668519815</v>
      </c>
      <c r="J63" s="90">
        <f t="shared" si="4"/>
        <v>53.308133090256973</v>
      </c>
      <c r="K63" s="90">
        <f t="shared" si="13"/>
        <v>0.53308133090256971</v>
      </c>
      <c r="L63" s="90">
        <f t="shared" si="5"/>
        <v>210.73024204951861</v>
      </c>
      <c r="M63" s="90">
        <f t="shared" si="14"/>
        <v>0.39530598772372577</v>
      </c>
      <c r="N63" s="91">
        <f t="shared" si="15"/>
        <v>0.53444279557993923</v>
      </c>
      <c r="P63" s="86">
        <f t="shared" si="6"/>
        <v>271.71428571428498</v>
      </c>
      <c r="Q63" s="47">
        <f t="shared" si="7"/>
        <v>6.8306043207669802</v>
      </c>
      <c r="R63" s="87">
        <f t="shared" si="16"/>
        <v>0.53308133090257004</v>
      </c>
      <c r="S63" s="47">
        <f t="shared" si="8"/>
        <v>0.39429896668519815</v>
      </c>
      <c r="T63" s="88">
        <f t="shared" si="9"/>
        <v>6.8306043207669855</v>
      </c>
      <c r="U63" s="88">
        <f t="shared" si="10"/>
        <v>394.29896668519814</v>
      </c>
      <c r="V63" s="88">
        <f t="shared" si="11"/>
        <v>53.308133090256973</v>
      </c>
    </row>
    <row r="64" spans="1:22" x14ac:dyDescent="0.2">
      <c r="A64" s="80">
        <v>23</v>
      </c>
      <c r="B64" s="81">
        <v>284.65306122448902</v>
      </c>
      <c r="C64" s="82">
        <v>6.80975207040317</v>
      </c>
      <c r="D64" s="82">
        <v>0.54904100448820503</v>
      </c>
      <c r="E64" s="75">
        <v>0.400469290107339</v>
      </c>
      <c r="G64" s="89">
        <f t="shared" si="2"/>
        <v>6.8097520704031762</v>
      </c>
      <c r="H64" s="90">
        <f t="shared" si="3"/>
        <v>398.83914641390692</v>
      </c>
      <c r="I64" s="90">
        <f t="shared" si="12"/>
        <v>0.39883914641390694</v>
      </c>
      <c r="J64" s="90">
        <f t="shared" si="4"/>
        <v>54.9041004488205</v>
      </c>
      <c r="K64" s="90">
        <f t="shared" si="13"/>
        <v>0.54904100448820503</v>
      </c>
      <c r="L64" s="90">
        <f t="shared" si="5"/>
        <v>220.09107110331982</v>
      </c>
      <c r="M64" s="90">
        <f t="shared" si="14"/>
        <v>0.40086454254628989</v>
      </c>
      <c r="N64" s="91">
        <f t="shared" si="15"/>
        <v>0.55182915990626935</v>
      </c>
      <c r="P64" s="86">
        <f t="shared" si="6"/>
        <v>284.65306122448902</v>
      </c>
      <c r="Q64" s="47">
        <f t="shared" si="7"/>
        <v>6.80975207040317</v>
      </c>
      <c r="R64" s="87">
        <f t="shared" si="16"/>
        <v>0.54904100448820503</v>
      </c>
      <c r="S64" s="47">
        <f t="shared" si="8"/>
        <v>0.39883914641390694</v>
      </c>
      <c r="T64" s="88">
        <f t="shared" si="9"/>
        <v>6.8097520704031762</v>
      </c>
      <c r="U64" s="88">
        <f t="shared" si="10"/>
        <v>398.83914641390692</v>
      </c>
      <c r="V64" s="88">
        <f t="shared" si="11"/>
        <v>54.9041004488205</v>
      </c>
    </row>
    <row r="65" spans="1:22" x14ac:dyDescent="0.2">
      <c r="A65" s="80">
        <v>24</v>
      </c>
      <c r="B65" s="81">
        <v>297.591836734693</v>
      </c>
      <c r="C65" s="82">
        <v>6.7801080676721197</v>
      </c>
      <c r="D65" s="82">
        <v>0.56462450256256003</v>
      </c>
      <c r="E65" s="75">
        <v>0.40534493283005102</v>
      </c>
      <c r="G65" s="89">
        <f t="shared" si="2"/>
        <v>6.7801080676721313</v>
      </c>
      <c r="H65" s="90">
        <f t="shared" si="3"/>
        <v>402.88188837935201</v>
      </c>
      <c r="I65" s="90">
        <f t="shared" si="12"/>
        <v>0.40288188837935202</v>
      </c>
      <c r="J65" s="90">
        <f t="shared" si="4"/>
        <v>56.462450256256034</v>
      </c>
      <c r="K65" s="90">
        <f t="shared" si="13"/>
        <v>0.56462450256256036</v>
      </c>
      <c r="L65" s="90">
        <f t="shared" si="5"/>
        <v>229.09356732280204</v>
      </c>
      <c r="M65" s="90">
        <f t="shared" si="14"/>
        <v>0.40574499739748449</v>
      </c>
      <c r="N65" s="91">
        <f t="shared" si="15"/>
        <v>0.56863704706201246</v>
      </c>
      <c r="P65" s="86">
        <f t="shared" si="6"/>
        <v>297.591836734693</v>
      </c>
      <c r="Q65" s="47">
        <f t="shared" si="7"/>
        <v>6.7801080676721197</v>
      </c>
      <c r="R65" s="87">
        <f t="shared" si="16"/>
        <v>0.56462450256256003</v>
      </c>
      <c r="S65" s="47">
        <f t="shared" si="8"/>
        <v>0.40288188837935202</v>
      </c>
      <c r="T65" s="88">
        <f t="shared" si="9"/>
        <v>6.7801080676721313</v>
      </c>
      <c r="U65" s="88">
        <f t="shared" si="10"/>
        <v>402.88188837935201</v>
      </c>
      <c r="V65" s="88">
        <f t="shared" si="11"/>
        <v>56.462450256256034</v>
      </c>
    </row>
    <row r="66" spans="1:22" x14ac:dyDescent="0.2">
      <c r="A66" s="80">
        <v>25</v>
      </c>
      <c r="B66" s="81">
        <v>310.53061224489699</v>
      </c>
      <c r="C66" s="82">
        <v>6.7385842625645198</v>
      </c>
      <c r="D66" s="82">
        <v>0.57963703007729195</v>
      </c>
      <c r="E66" s="75">
        <v>0.40949047066958899</v>
      </c>
      <c r="G66" s="89">
        <f t="shared" si="2"/>
        <v>6.7385842625645154</v>
      </c>
      <c r="H66" s="90">
        <f t="shared" si="3"/>
        <v>406.41590687692695</v>
      </c>
      <c r="I66" s="90">
        <f t="shared" si="12"/>
        <v>0.40641590687692697</v>
      </c>
      <c r="J66" s="90">
        <f t="shared" si="4"/>
        <v>57.963703007729208</v>
      </c>
      <c r="K66" s="90">
        <f t="shared" si="13"/>
        <v>0.57963703007729206</v>
      </c>
      <c r="L66" s="90">
        <f t="shared" si="5"/>
        <v>237.59010410652155</v>
      </c>
      <c r="M66" s="90">
        <f t="shared" si="14"/>
        <v>0.40989462677158489</v>
      </c>
      <c r="N66" s="91">
        <f t="shared" si="15"/>
        <v>0.58459843742895101</v>
      </c>
      <c r="P66" s="86">
        <f t="shared" si="6"/>
        <v>310.53061224489699</v>
      </c>
      <c r="Q66" s="47">
        <f t="shared" si="7"/>
        <v>6.7385842625645198</v>
      </c>
      <c r="R66" s="87">
        <f t="shared" si="16"/>
        <v>0.57963703007729195</v>
      </c>
      <c r="S66" s="47">
        <f t="shared" si="8"/>
        <v>0.40641590687692697</v>
      </c>
      <c r="T66" s="88">
        <f t="shared" si="9"/>
        <v>6.7385842625645154</v>
      </c>
      <c r="U66" s="88">
        <f t="shared" si="10"/>
        <v>406.41590687692695</v>
      </c>
      <c r="V66" s="88">
        <f t="shared" si="11"/>
        <v>57.963703007729208</v>
      </c>
    </row>
    <row r="67" spans="1:22" x14ac:dyDescent="0.2">
      <c r="A67" s="80">
        <v>26</v>
      </c>
      <c r="B67" s="81">
        <v>323.46938775510199</v>
      </c>
      <c r="C67" s="82">
        <v>6.6822627132374999</v>
      </c>
      <c r="D67" s="82">
        <v>0.59383193317003302</v>
      </c>
      <c r="E67" s="75">
        <v>0.41287636620503898</v>
      </c>
      <c r="G67" s="89">
        <f t="shared" si="2"/>
        <v>6.6822627132374937</v>
      </c>
      <c r="H67" s="90">
        <f t="shared" si="3"/>
        <v>409.43509296571551</v>
      </c>
      <c r="I67" s="90">
        <f t="shared" si="12"/>
        <v>0.40943509296571551</v>
      </c>
      <c r="J67" s="90">
        <f t="shared" si="4"/>
        <v>59.383193317003304</v>
      </c>
      <c r="K67" s="90">
        <f t="shared" si="13"/>
        <v>0.59383193317003302</v>
      </c>
      <c r="L67" s="90">
        <f t="shared" si="5"/>
        <v>245.42115596353668</v>
      </c>
      <c r="M67" s="90">
        <f t="shared" si="14"/>
        <v>0.41328386409503637</v>
      </c>
      <c r="N67" s="91">
        <f t="shared" si="15"/>
        <v>0.59941407119220058</v>
      </c>
      <c r="P67" s="86">
        <f t="shared" si="6"/>
        <v>323.46938775510199</v>
      </c>
      <c r="Q67" s="47">
        <f t="shared" si="7"/>
        <v>6.6822627132374999</v>
      </c>
      <c r="R67" s="87">
        <f t="shared" si="16"/>
        <v>0.59383193317003302</v>
      </c>
      <c r="S67" s="47">
        <f t="shared" si="8"/>
        <v>0.40943509296571551</v>
      </c>
      <c r="T67" s="88">
        <f t="shared" si="9"/>
        <v>6.6822627132374937</v>
      </c>
      <c r="U67" s="88">
        <f t="shared" si="10"/>
        <v>409.43509296571551</v>
      </c>
      <c r="V67" s="88">
        <f t="shared" si="11"/>
        <v>59.383193317003304</v>
      </c>
    </row>
    <row r="68" spans="1:22" x14ac:dyDescent="0.2">
      <c r="A68" s="80">
        <v>27</v>
      </c>
      <c r="B68" s="81">
        <v>336.40816326530597</v>
      </c>
      <c r="C68" s="82">
        <v>6.6084626503455901</v>
      </c>
      <c r="D68" s="82">
        <v>0.60691460922082696</v>
      </c>
      <c r="E68" s="75">
        <v>0.41549539354211101</v>
      </c>
      <c r="G68" s="89">
        <f t="shared" si="2"/>
        <v>6.6084626503455919</v>
      </c>
      <c r="H68" s="90">
        <f t="shared" si="3"/>
        <v>411.93851446849135</v>
      </c>
      <c r="I68" s="90">
        <f t="shared" si="12"/>
        <v>0.41193851446849133</v>
      </c>
      <c r="J68" s="90">
        <f t="shared" si="4"/>
        <v>60.691460922082705</v>
      </c>
      <c r="K68" s="90">
        <f t="shared" si="13"/>
        <v>0.60691460922082707</v>
      </c>
      <c r="L68" s="90">
        <f t="shared" si="5"/>
        <v>252.41910964677584</v>
      </c>
      <c r="M68" s="90">
        <f t="shared" si="14"/>
        <v>0.4159054763417841</v>
      </c>
      <c r="N68" s="91">
        <f t="shared" si="15"/>
        <v>0.61275918803674534</v>
      </c>
      <c r="P68" s="86">
        <f t="shared" si="6"/>
        <v>336.40816326530597</v>
      </c>
      <c r="Q68" s="47">
        <f t="shared" si="7"/>
        <v>6.6084626503455901</v>
      </c>
      <c r="R68" s="87">
        <f t="shared" si="16"/>
        <v>0.60691460922082696</v>
      </c>
      <c r="S68" s="47">
        <f t="shared" si="8"/>
        <v>0.41193851446849133</v>
      </c>
      <c r="T68" s="88">
        <f t="shared" si="9"/>
        <v>6.6084626503455919</v>
      </c>
      <c r="U68" s="88">
        <f t="shared" si="10"/>
        <v>411.93851446849135</v>
      </c>
      <c r="V68" s="88">
        <f t="shared" si="11"/>
        <v>60.691460922082705</v>
      </c>
    </row>
    <row r="69" spans="1:22" x14ac:dyDescent="0.2">
      <c r="A69" s="80">
        <v>28</v>
      </c>
      <c r="B69" s="81">
        <v>349.34693877551001</v>
      </c>
      <c r="C69" s="82">
        <v>6.5147998851421001</v>
      </c>
      <c r="D69" s="82">
        <v>0.61854773037916599</v>
      </c>
      <c r="E69" s="75">
        <v>0.417360787973661</v>
      </c>
      <c r="G69" s="89">
        <f t="shared" si="2"/>
        <v>6.5147998851421249</v>
      </c>
      <c r="H69" s="90">
        <f t="shared" si="3"/>
        <v>413.93041597171913</v>
      </c>
      <c r="I69" s="90">
        <f t="shared" si="12"/>
        <v>0.41393041597171915</v>
      </c>
      <c r="J69" s="90">
        <f t="shared" si="4"/>
        <v>61.85477303791653</v>
      </c>
      <c r="K69" s="90">
        <f t="shared" si="13"/>
        <v>0.61854773037916533</v>
      </c>
      <c r="L69" s="90">
        <f t="shared" si="5"/>
        <v>258.41236274002983</v>
      </c>
      <c r="M69" s="90">
        <f t="shared" si="14"/>
        <v>0.4177727118675626</v>
      </c>
      <c r="N69" s="91">
        <f t="shared" si="15"/>
        <v>0.62428937997560752</v>
      </c>
      <c r="P69" s="86">
        <f t="shared" si="6"/>
        <v>349.34693877551001</v>
      </c>
      <c r="Q69" s="47">
        <f t="shared" si="7"/>
        <v>6.5147998851421001</v>
      </c>
      <c r="R69" s="87">
        <f t="shared" si="16"/>
        <v>0.61854773037916599</v>
      </c>
      <c r="S69" s="47">
        <f t="shared" si="8"/>
        <v>0.41393041597171915</v>
      </c>
      <c r="T69" s="88">
        <f t="shared" si="9"/>
        <v>6.5147998851421249</v>
      </c>
      <c r="U69" s="88">
        <f t="shared" si="10"/>
        <v>413.93041597171913</v>
      </c>
      <c r="V69" s="88">
        <f t="shared" si="11"/>
        <v>61.85477303791653</v>
      </c>
    </row>
    <row r="70" spans="1:22" x14ac:dyDescent="0.2">
      <c r="A70" s="80">
        <v>29</v>
      </c>
      <c r="B70" s="81">
        <v>362.28571428571399</v>
      </c>
      <c r="C70" s="82">
        <v>6.3992385613513099</v>
      </c>
      <c r="D70" s="82">
        <v>0.62835778056163705</v>
      </c>
      <c r="E70" s="75">
        <v>0.41850374847519101</v>
      </c>
      <c r="G70" s="89">
        <f t="shared" si="2"/>
        <v>6.3992385613513179</v>
      </c>
      <c r="H70" s="90">
        <f t="shared" si="3"/>
        <v>415.42021882555343</v>
      </c>
      <c r="I70" s="90">
        <f t="shared" si="12"/>
        <v>0.41542021882555341</v>
      </c>
      <c r="J70" s="90">
        <f t="shared" si="4"/>
        <v>62.835778056163591</v>
      </c>
      <c r="K70" s="90">
        <f t="shared" si="13"/>
        <v>0.62835778056163594</v>
      </c>
      <c r="L70" s="90">
        <f t="shared" si="5"/>
        <v>263.22963096472813</v>
      </c>
      <c r="M70" s="90">
        <f t="shared" si="14"/>
        <v>0.41891680044042645</v>
      </c>
      <c r="N70" s="91">
        <f t="shared" si="15"/>
        <v>0.63364665231969752</v>
      </c>
      <c r="P70" s="86">
        <f t="shared" si="6"/>
        <v>362.28571428571399</v>
      </c>
      <c r="Q70" s="47">
        <f t="shared" si="7"/>
        <v>6.3992385613513099</v>
      </c>
      <c r="R70" s="87">
        <f t="shared" si="16"/>
        <v>0.62835778056163705</v>
      </c>
      <c r="S70" s="47">
        <f t="shared" si="8"/>
        <v>0.41542021882555341</v>
      </c>
      <c r="T70" s="88">
        <f t="shared" si="9"/>
        <v>6.3992385613513179</v>
      </c>
      <c r="U70" s="88">
        <f t="shared" si="10"/>
        <v>415.42021882555343</v>
      </c>
      <c r="V70" s="88">
        <f t="shared" si="11"/>
        <v>62.835778056163591</v>
      </c>
    </row>
    <row r="71" spans="1:22" x14ac:dyDescent="0.2">
      <c r="A71" s="80">
        <v>30</v>
      </c>
      <c r="B71" s="81">
        <v>375.22448979591798</v>
      </c>
      <c r="C71" s="82">
        <v>6.2601352508111896</v>
      </c>
      <c r="D71" s="82">
        <v>0.63594290592015601</v>
      </c>
      <c r="E71" s="75">
        <v>0.41897065360461999</v>
      </c>
      <c r="G71" s="89">
        <f t="shared" si="2"/>
        <v>6.2601352508111736</v>
      </c>
      <c r="H71" s="90">
        <f t="shared" si="3"/>
        <v>416.42252114383922</v>
      </c>
      <c r="I71" s="90">
        <f t="shared" si="12"/>
        <v>0.41642252114383921</v>
      </c>
      <c r="J71" s="90">
        <f t="shared" si="4"/>
        <v>63.594290592015696</v>
      </c>
      <c r="K71" s="90">
        <f t="shared" si="13"/>
        <v>0.63594290592015701</v>
      </c>
      <c r="L71" s="90">
        <f t="shared" si="5"/>
        <v>266.70438547266519</v>
      </c>
      <c r="M71" s="90">
        <f t="shared" si="14"/>
        <v>0.41938416639268256</v>
      </c>
      <c r="N71" s="91">
        <f t="shared" si="15"/>
        <v>0.64046580559590127</v>
      </c>
      <c r="P71" s="86">
        <f t="shared" si="6"/>
        <v>375.22448979591798</v>
      </c>
      <c r="Q71" s="47">
        <f t="shared" si="7"/>
        <v>6.2601352508111896</v>
      </c>
      <c r="R71" s="87">
        <f t="shared" si="16"/>
        <v>0.63594290592015601</v>
      </c>
      <c r="S71" s="47">
        <f t="shared" si="8"/>
        <v>0.41642252114383921</v>
      </c>
      <c r="T71" s="88">
        <f t="shared" si="9"/>
        <v>6.2601352508111736</v>
      </c>
      <c r="U71" s="88">
        <f t="shared" si="10"/>
        <v>416.42252114383922</v>
      </c>
      <c r="V71" s="88">
        <f t="shared" si="11"/>
        <v>63.594290592015696</v>
      </c>
    </row>
    <row r="72" spans="1:22" x14ac:dyDescent="0.2">
      <c r="A72" s="80">
        <v>31</v>
      </c>
      <c r="B72" s="81">
        <v>388.16326530612201</v>
      </c>
      <c r="C72" s="82">
        <v>6.0962753928867599</v>
      </c>
      <c r="D72" s="82">
        <v>0.64088207878082504</v>
      </c>
      <c r="E72" s="75">
        <v>0.41882029853423303</v>
      </c>
      <c r="G72" s="89">
        <f t="shared" si="2"/>
        <v>6.0962753928867368</v>
      </c>
      <c r="H72" s="90">
        <f t="shared" si="3"/>
        <v>416.95709780411215</v>
      </c>
      <c r="I72" s="90">
        <f t="shared" si="12"/>
        <v>0.41695709780411216</v>
      </c>
      <c r="J72" s="90">
        <f t="shared" si="4"/>
        <v>64.088207878082642</v>
      </c>
      <c r="K72" s="90">
        <f t="shared" si="13"/>
        <v>0.64088207878082637</v>
      </c>
      <c r="L72" s="90">
        <f t="shared" si="5"/>
        <v>268.67934139083673</v>
      </c>
      <c r="M72" s="90">
        <f t="shared" si="14"/>
        <v>0.41923366292587766</v>
      </c>
      <c r="N72" s="91">
        <f t="shared" si="15"/>
        <v>0.64438126321826805</v>
      </c>
      <c r="P72" s="86">
        <f t="shared" si="6"/>
        <v>388.16326530612207</v>
      </c>
      <c r="Q72" s="47">
        <f t="shared" si="7"/>
        <v>6.0962753928867599</v>
      </c>
      <c r="R72" s="87">
        <f t="shared" si="16"/>
        <v>0.64088207878082504</v>
      </c>
      <c r="S72" s="47">
        <f t="shared" si="8"/>
        <v>0.41695709780411216</v>
      </c>
      <c r="T72" s="88">
        <f t="shared" si="9"/>
        <v>6.0962753928867377</v>
      </c>
      <c r="U72" s="88">
        <f t="shared" si="10"/>
        <v>416.9570978041121</v>
      </c>
      <c r="V72" s="88">
        <f t="shared" si="11"/>
        <v>64.088207878082585</v>
      </c>
    </row>
    <row r="73" spans="1:22" x14ac:dyDescent="0.2">
      <c r="A73" s="80">
        <v>32</v>
      </c>
      <c r="B73" s="81">
        <v>401.102040816326</v>
      </c>
      <c r="C73" s="82">
        <v>5.9069020776541503</v>
      </c>
      <c r="D73" s="82">
        <v>0.64274557505337204</v>
      </c>
      <c r="E73" s="75">
        <v>0.41812139133936099</v>
      </c>
      <c r="G73" s="89">
        <f t="shared" si="2"/>
        <v>5.9069020776541805</v>
      </c>
      <c r="H73" s="90">
        <f t="shared" si="3"/>
        <v>417.04890044759736</v>
      </c>
      <c r="I73" s="90">
        <f t="shared" si="12"/>
        <v>0.41704890044759735</v>
      </c>
      <c r="J73" s="90">
        <f t="shared" si="4"/>
        <v>64.274557505337185</v>
      </c>
      <c r="K73" s="90">
        <f t="shared" si="13"/>
        <v>0.64274557505337182</v>
      </c>
      <c r="L73" s="90">
        <f t="shared" si="5"/>
        <v>269.01091888455323</v>
      </c>
      <c r="M73" s="90">
        <f t="shared" si="14"/>
        <v>0.41853406592836567</v>
      </c>
      <c r="N73" s="91">
        <f t="shared" si="15"/>
        <v>0.6450344758032871</v>
      </c>
      <c r="P73" s="86">
        <f t="shared" si="6"/>
        <v>401.102040816326</v>
      </c>
      <c r="Q73" s="47">
        <f t="shared" si="7"/>
        <v>5.9069020776541503</v>
      </c>
      <c r="R73" s="87">
        <f t="shared" si="16"/>
        <v>0.64274557505337204</v>
      </c>
      <c r="S73" s="47">
        <f t="shared" si="8"/>
        <v>0.41704890044759735</v>
      </c>
      <c r="T73" s="88">
        <f t="shared" si="9"/>
        <v>5.9069020776541805</v>
      </c>
      <c r="U73" s="88">
        <f t="shared" si="10"/>
        <v>417.04890044759736</v>
      </c>
      <c r="V73" s="88">
        <f t="shared" si="11"/>
        <v>64.274557505337185</v>
      </c>
    </row>
    <row r="74" spans="1:22" x14ac:dyDescent="0.2">
      <c r="A74" s="80">
        <v>33</v>
      </c>
      <c r="B74" s="81">
        <v>414.04081632652998</v>
      </c>
      <c r="C74" s="82">
        <v>5.6917371728553903</v>
      </c>
      <c r="D74" s="82">
        <v>0.64110676511120301</v>
      </c>
      <c r="E74" s="75">
        <v>0.416950475309673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5.6917371728553814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416.72805747921132</v>
      </c>
      <c r="I74" s="90">
        <f t="shared" si="12"/>
        <v>0.41672805747921132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64.110676511120346</v>
      </c>
      <c r="K74" s="90">
        <f t="shared" si="13"/>
        <v>0.64110676511120346</v>
      </c>
      <c r="L74" s="90">
        <f t="shared" ref="L74:L91" si="20">Подача_пласт_м3_сут*Напор_м*9.81*1000/86400</f>
        <v>267.57359800499592</v>
      </c>
      <c r="M74" s="90">
        <f t="shared" si="14"/>
        <v>0.41736199423598941</v>
      </c>
      <c r="N74" s="91">
        <f t="shared" si="15"/>
        <v>0.64208203216157089</v>
      </c>
      <c r="P74" s="86">
        <f t="shared" ref="P74:P91" si="21">Подача_пласт_м3_сут*f_50_hz/f_nom</f>
        <v>414.04081632652998</v>
      </c>
      <c r="Q74" s="47">
        <f t="shared" ref="Q74:Q91" si="22">Напор_м*(f_50_hz/f_nom)^2</f>
        <v>5.6917371728553903</v>
      </c>
      <c r="R74" s="87">
        <f t="shared" si="16"/>
        <v>0.64110676511120301</v>
      </c>
      <c r="S74" s="47">
        <f t="shared" ref="S74:S91" si="23">I74*(f_50_hz/f_nom)^3</f>
        <v>0.41672805747921132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5.6917371728553814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416.72805747921132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64.110676511120346</v>
      </c>
    </row>
    <row r="75" spans="1:22" x14ac:dyDescent="0.2">
      <c r="A75" s="80">
        <v>34</v>
      </c>
      <c r="B75" s="81">
        <v>426.97959183673402</v>
      </c>
      <c r="C75" s="82">
        <v>5.4509947946234103</v>
      </c>
      <c r="D75" s="82">
        <v>0.63555521814206495</v>
      </c>
      <c r="E75" s="75">
        <v>0.41539038097708397</v>
      </c>
      <c r="G75" s="89">
        <f t="shared" si="17"/>
        <v>5.4509947946234814</v>
      </c>
      <c r="H75" s="90">
        <f t="shared" si="18"/>
        <v>416.02987406755994</v>
      </c>
      <c r="I75" s="90">
        <f t="shared" si="12"/>
        <v>0.41602987406755992</v>
      </c>
      <c r="J75" s="90">
        <f t="shared" si="19"/>
        <v>63.555521814206344</v>
      </c>
      <c r="K75" s="90">
        <f t="shared" si="13"/>
        <v>0.63555521814206339</v>
      </c>
      <c r="L75" s="90">
        <f t="shared" si="20"/>
        <v>264.26408858735283</v>
      </c>
      <c r="M75" s="90">
        <f t="shared" si="14"/>
        <v>0.4158003601321747</v>
      </c>
      <c r="N75" s="91">
        <f t="shared" si="15"/>
        <v>0.63520459721707012</v>
      </c>
      <c r="P75" s="86">
        <f t="shared" si="21"/>
        <v>426.97959183673402</v>
      </c>
      <c r="Q75" s="47">
        <f t="shared" si="22"/>
        <v>5.4509947946234103</v>
      </c>
      <c r="R75" s="87">
        <f t="shared" si="16"/>
        <v>0.63555521814206495</v>
      </c>
      <c r="S75" s="47">
        <f t="shared" si="23"/>
        <v>0.41602987406755992</v>
      </c>
      <c r="T75" s="88">
        <f t="shared" si="24"/>
        <v>5.4509947946234814</v>
      </c>
      <c r="U75" s="88">
        <f t="shared" si="25"/>
        <v>416.02987406755994</v>
      </c>
      <c r="V75" s="88">
        <f t="shared" si="26"/>
        <v>63.555521814206344</v>
      </c>
    </row>
    <row r="76" spans="1:22" x14ac:dyDescent="0.2">
      <c r="A76" s="80">
        <v>35</v>
      </c>
      <c r="B76" s="81">
        <v>439.918367346938</v>
      </c>
      <c r="C76" s="82">
        <v>5.1853871219784198</v>
      </c>
      <c r="D76" s="82">
        <v>0.62571111996928497</v>
      </c>
      <c r="E76" s="75">
        <v>0.41352926141906898</v>
      </c>
      <c r="G76" s="89">
        <f t="shared" si="17"/>
        <v>5.1853871219784473</v>
      </c>
      <c r="H76" s="90">
        <f t="shared" si="18"/>
        <v>414.99483214493995</v>
      </c>
      <c r="I76" s="90">
        <f t="shared" si="12"/>
        <v>0.41499483214493993</v>
      </c>
      <c r="J76" s="90">
        <f t="shared" si="19"/>
        <v>62.571111996928494</v>
      </c>
      <c r="K76" s="90">
        <f t="shared" si="13"/>
        <v>0.62571111996928497</v>
      </c>
      <c r="L76" s="90">
        <f t="shared" si="20"/>
        <v>259.00523646575175</v>
      </c>
      <c r="M76" s="90">
        <f t="shared" si="14"/>
        <v>0.41393740369911575</v>
      </c>
      <c r="N76" s="91">
        <f t="shared" si="15"/>
        <v>0.62411677544768152</v>
      </c>
      <c r="P76" s="86">
        <f t="shared" si="21"/>
        <v>439.91836734693806</v>
      </c>
      <c r="Q76" s="47">
        <f t="shared" si="22"/>
        <v>5.1853871219784198</v>
      </c>
      <c r="R76" s="87">
        <f t="shared" si="16"/>
        <v>0.62571111996928497</v>
      </c>
      <c r="S76" s="47">
        <f t="shared" si="23"/>
        <v>0.41499483214493993</v>
      </c>
      <c r="T76" s="88">
        <f t="shared" si="24"/>
        <v>5.1853871219784899</v>
      </c>
      <c r="U76" s="88">
        <f t="shared" si="25"/>
        <v>414.99483214493995</v>
      </c>
      <c r="V76" s="88">
        <f t="shared" si="26"/>
        <v>62.571111996928266</v>
      </c>
    </row>
    <row r="77" spans="1:22" x14ac:dyDescent="0.2">
      <c r="A77" s="80">
        <v>36</v>
      </c>
      <c r="B77" s="81">
        <v>452.85714285714198</v>
      </c>
      <c r="C77" s="82">
        <v>4.8961225550940002</v>
      </c>
      <c r="D77" s="82">
        <v>0.61124100434364603</v>
      </c>
      <c r="E77" s="75">
        <v>0.41146022663857401</v>
      </c>
      <c r="G77" s="89">
        <f t="shared" si="17"/>
        <v>4.8961225550940135</v>
      </c>
      <c r="H77" s="90">
        <f t="shared" si="18"/>
        <v>413.66859040733834</v>
      </c>
      <c r="I77" s="90">
        <f t="shared" si="12"/>
        <v>0.41366859040733833</v>
      </c>
      <c r="J77" s="90">
        <f t="shared" si="19"/>
        <v>61.124100434365005</v>
      </c>
      <c r="K77" s="90">
        <f t="shared" si="13"/>
        <v>0.61124100434365003</v>
      </c>
      <c r="L77" s="90">
        <f t="shared" si="20"/>
        <v>251.7495872710754</v>
      </c>
      <c r="M77" s="90">
        <f t="shared" si="14"/>
        <v>0.41186632683683227</v>
      </c>
      <c r="N77" s="91">
        <f t="shared" si="15"/>
        <v>0.60857796097880734</v>
      </c>
      <c r="P77" s="86">
        <f t="shared" si="21"/>
        <v>452.85714285714198</v>
      </c>
      <c r="Q77" s="47">
        <f t="shared" si="22"/>
        <v>4.8961225550940002</v>
      </c>
      <c r="R77" s="87">
        <f t="shared" si="16"/>
        <v>0.61124100434364603</v>
      </c>
      <c r="S77" s="47">
        <f t="shared" si="23"/>
        <v>0.41366859040733833</v>
      </c>
      <c r="T77" s="88">
        <f t="shared" si="24"/>
        <v>4.8961225550940135</v>
      </c>
      <c r="U77" s="88">
        <f t="shared" si="25"/>
        <v>413.66859040733834</v>
      </c>
      <c r="V77" s="88">
        <f t="shared" si="26"/>
        <v>61.124100434365005</v>
      </c>
    </row>
    <row r="78" spans="1:22" x14ac:dyDescent="0.2">
      <c r="A78" s="80">
        <v>37</v>
      </c>
      <c r="B78" s="81">
        <v>465.79591836734602</v>
      </c>
      <c r="C78" s="82">
        <v>4.5848962173346504</v>
      </c>
      <c r="D78" s="82">
        <v>0.59187479770584595</v>
      </c>
      <c r="E78" s="75">
        <v>0.40928156130855398</v>
      </c>
      <c r="G78" s="89">
        <f t="shared" si="17"/>
        <v>4.5848962173346948</v>
      </c>
      <c r="H78" s="90">
        <f t="shared" si="18"/>
        <v>412.101984314432</v>
      </c>
      <c r="I78" s="90">
        <f t="shared" si="12"/>
        <v>0.41210198431443201</v>
      </c>
      <c r="J78" s="90">
        <f t="shared" si="19"/>
        <v>59.187479770584957</v>
      </c>
      <c r="K78" s="90">
        <f t="shared" si="13"/>
        <v>0.59187479770584961</v>
      </c>
      <c r="L78" s="90">
        <f t="shared" si="20"/>
        <v>242.48252907790385</v>
      </c>
      <c r="M78" s="90">
        <f t="shared" si="14"/>
        <v>0.40968551122261671</v>
      </c>
      <c r="N78" s="91">
        <f t="shared" si="15"/>
        <v>0.58840417738171036</v>
      </c>
      <c r="P78" s="86">
        <f t="shared" si="21"/>
        <v>465.79591836734602</v>
      </c>
      <c r="Q78" s="47">
        <f t="shared" si="22"/>
        <v>4.5848962173346504</v>
      </c>
      <c r="R78" s="87">
        <f t="shared" si="16"/>
        <v>0.59187479770584595</v>
      </c>
      <c r="S78" s="47">
        <f t="shared" si="23"/>
        <v>0.41210198431443201</v>
      </c>
      <c r="T78" s="88">
        <f t="shared" si="24"/>
        <v>4.5848962173346948</v>
      </c>
      <c r="U78" s="88">
        <f t="shared" si="25"/>
        <v>412.101984314432</v>
      </c>
      <c r="V78" s="88">
        <f t="shared" si="26"/>
        <v>59.187479770584957</v>
      </c>
    </row>
    <row r="79" spans="1:22" x14ac:dyDescent="0.2">
      <c r="A79" s="80">
        <v>38</v>
      </c>
      <c r="B79" s="81">
        <v>478.73469387755102</v>
      </c>
      <c r="C79" s="82">
        <v>4.25387280106355</v>
      </c>
      <c r="D79" s="82">
        <v>0.56742417741955997</v>
      </c>
      <c r="E79" s="75">
        <v>0.40709747059264301</v>
      </c>
      <c r="G79" s="89">
        <f t="shared" si="17"/>
        <v>4.2538728010635296</v>
      </c>
      <c r="H79" s="90">
        <f t="shared" si="18"/>
        <v>410.35102608958914</v>
      </c>
      <c r="I79" s="90">
        <f t="shared" si="12"/>
        <v>0.41035102608958912</v>
      </c>
      <c r="J79" s="90">
        <f t="shared" si="19"/>
        <v>56.74241774195616</v>
      </c>
      <c r="K79" s="90">
        <f t="shared" si="13"/>
        <v>0.56742417741956164</v>
      </c>
      <c r="L79" s="90">
        <f t="shared" si="20"/>
        <v>231.22493516668823</v>
      </c>
      <c r="M79" s="90">
        <f t="shared" si="14"/>
        <v>0.4074992648678013</v>
      </c>
      <c r="N79" s="91">
        <f t="shared" si="15"/>
        <v>0.56348082608719119</v>
      </c>
      <c r="P79" s="86">
        <f t="shared" si="21"/>
        <v>478.73469387755102</v>
      </c>
      <c r="Q79" s="47">
        <f t="shared" si="22"/>
        <v>4.25387280106355</v>
      </c>
      <c r="R79" s="87">
        <f t="shared" si="16"/>
        <v>0.56742417741955997</v>
      </c>
      <c r="S79" s="47">
        <f t="shared" si="23"/>
        <v>0.41035102608958912</v>
      </c>
      <c r="T79" s="88">
        <f t="shared" si="24"/>
        <v>4.2538728010635296</v>
      </c>
      <c r="U79" s="88">
        <f t="shared" si="25"/>
        <v>410.35102608958914</v>
      </c>
      <c r="V79" s="88">
        <f t="shared" si="26"/>
        <v>56.74241774195616</v>
      </c>
    </row>
    <row r="80" spans="1:22" x14ac:dyDescent="0.2">
      <c r="A80" s="80">
        <v>39</v>
      </c>
      <c r="B80" s="81">
        <v>491.67346938775501</v>
      </c>
      <c r="C80" s="82">
        <v>3.90566175722094</v>
      </c>
      <c r="D80" s="82">
        <v>0.53780224347509598</v>
      </c>
      <c r="E80" s="75">
        <v>0.40501922049428402</v>
      </c>
      <c r="G80" s="89">
        <f t="shared" si="17"/>
        <v>3.9056617572209404</v>
      </c>
      <c r="H80" s="90">
        <f t="shared" si="18"/>
        <v>408.47690471986698</v>
      </c>
      <c r="I80" s="90">
        <f t="shared" si="12"/>
        <v>0.40847690471986697</v>
      </c>
      <c r="J80" s="90">
        <f t="shared" si="19"/>
        <v>53.780224347509602</v>
      </c>
      <c r="K80" s="90">
        <f t="shared" si="13"/>
        <v>0.53780224347509598</v>
      </c>
      <c r="L80" s="90">
        <f t="shared" si="20"/>
        <v>218.03522816733391</v>
      </c>
      <c r="M80" s="90">
        <f t="shared" si="14"/>
        <v>0.40541896359238688</v>
      </c>
      <c r="N80" s="91">
        <f t="shared" si="15"/>
        <v>0.53377614657764372</v>
      </c>
      <c r="P80" s="86">
        <f t="shared" si="21"/>
        <v>491.67346938775501</v>
      </c>
      <c r="Q80" s="47">
        <f t="shared" si="22"/>
        <v>3.90566175722094</v>
      </c>
      <c r="R80" s="87">
        <f t="shared" si="16"/>
        <v>0.53780224347509598</v>
      </c>
      <c r="S80" s="47">
        <f t="shared" si="23"/>
        <v>0.40847690471986697</v>
      </c>
      <c r="T80" s="88">
        <f t="shared" si="24"/>
        <v>3.9056617572209404</v>
      </c>
      <c r="U80" s="88">
        <f t="shared" si="25"/>
        <v>408.47690471986698</v>
      </c>
      <c r="V80" s="88">
        <f t="shared" si="26"/>
        <v>53.780224347509602</v>
      </c>
    </row>
    <row r="81" spans="1:22" x14ac:dyDescent="0.2">
      <c r="A81" s="80">
        <v>40</v>
      </c>
      <c r="B81" s="81">
        <v>504.61224489795899</v>
      </c>
      <c r="C81" s="82">
        <v>3.5432848286734</v>
      </c>
      <c r="D81" s="82">
        <v>0.50304450366368303</v>
      </c>
      <c r="E81" s="75">
        <v>0.40316635354818697</v>
      </c>
      <c r="G81" s="89">
        <f t="shared" si="17"/>
        <v>3.5432848286734497</v>
      </c>
      <c r="H81" s="90">
        <f t="shared" si="18"/>
        <v>406.54598595601379</v>
      </c>
      <c r="I81" s="90">
        <f t="shared" si="12"/>
        <v>0.40654598595601377</v>
      </c>
      <c r="J81" s="90">
        <f t="shared" si="19"/>
        <v>50.304450366368201</v>
      </c>
      <c r="K81" s="90">
        <f t="shared" si="13"/>
        <v>0.50304450366368203</v>
      </c>
      <c r="L81" s="90">
        <f t="shared" si="20"/>
        <v>203.0107868503795</v>
      </c>
      <c r="M81" s="90">
        <f t="shared" si="14"/>
        <v>0.40356426791635402</v>
      </c>
      <c r="N81" s="91">
        <f t="shared" si="15"/>
        <v>0.49935503943788595</v>
      </c>
      <c r="P81" s="86">
        <f t="shared" si="21"/>
        <v>504.61224489795893</v>
      </c>
      <c r="Q81" s="47">
        <f t="shared" si="22"/>
        <v>3.5432848286734</v>
      </c>
      <c r="R81" s="87">
        <f t="shared" si="16"/>
        <v>0.50304450366368303</v>
      </c>
      <c r="S81" s="47">
        <f t="shared" si="23"/>
        <v>0.40654598595601377</v>
      </c>
      <c r="T81" s="88">
        <f t="shared" si="24"/>
        <v>3.5432848286734711</v>
      </c>
      <c r="U81" s="88">
        <f t="shared" si="25"/>
        <v>406.54598595601379</v>
      </c>
      <c r="V81" s="88">
        <f t="shared" si="26"/>
        <v>50.304450366368428</v>
      </c>
    </row>
    <row r="82" spans="1:22" x14ac:dyDescent="0.2">
      <c r="A82" s="80">
        <v>41</v>
      </c>
      <c r="B82" s="81">
        <v>517.55102040816303</v>
      </c>
      <c r="C82" s="82">
        <v>3.17013592733367</v>
      </c>
      <c r="D82" s="82">
        <v>0.46333117222233</v>
      </c>
      <c r="E82" s="75">
        <v>0.40166720353191898</v>
      </c>
      <c r="G82" s="89">
        <f t="shared" si="17"/>
        <v>3.1701359273336323</v>
      </c>
      <c r="H82" s="90">
        <f t="shared" si="18"/>
        <v>404.62981231246863</v>
      </c>
      <c r="I82" s="90">
        <f t="shared" si="12"/>
        <v>0.40462981231246864</v>
      </c>
      <c r="J82" s="90">
        <f t="shared" si="19"/>
        <v>46.333117222233227</v>
      </c>
      <c r="K82" s="90">
        <f t="shared" si="13"/>
        <v>0.46333117222233228</v>
      </c>
      <c r="L82" s="90">
        <f t="shared" si="20"/>
        <v>186.28861683190519</v>
      </c>
      <c r="M82" s="90">
        <f t="shared" si="14"/>
        <v>0.40206363827925967</v>
      </c>
      <c r="N82" s="91">
        <f t="shared" si="15"/>
        <v>0.4603927124579909</v>
      </c>
      <c r="P82" s="86">
        <f t="shared" si="21"/>
        <v>517.55102040816303</v>
      </c>
      <c r="Q82" s="47">
        <f t="shared" si="22"/>
        <v>3.17013592733367</v>
      </c>
      <c r="R82" s="87">
        <f t="shared" si="16"/>
        <v>0.46333117222233</v>
      </c>
      <c r="S82" s="47">
        <f t="shared" si="23"/>
        <v>0.40462981231246864</v>
      </c>
      <c r="T82" s="88">
        <f t="shared" si="24"/>
        <v>3.1701359273336323</v>
      </c>
      <c r="U82" s="88">
        <f t="shared" si="25"/>
        <v>404.62981231246863</v>
      </c>
      <c r="V82" s="88">
        <f t="shared" si="26"/>
        <v>46.333117222233227</v>
      </c>
    </row>
    <row r="83" spans="1:22" x14ac:dyDescent="0.2">
      <c r="A83" s="80">
        <v>42</v>
      </c>
      <c r="B83" s="81">
        <v>530.48979591836701</v>
      </c>
      <c r="C83" s="82">
        <v>2.78993335505064</v>
      </c>
      <c r="D83" s="82">
        <v>0.41901078194932301</v>
      </c>
      <c r="E83" s="75">
        <v>0.40065678764575402</v>
      </c>
      <c r="G83" s="89">
        <f t="shared" si="17"/>
        <v>2.7899333550506213</v>
      </c>
      <c r="H83" s="90">
        <f t="shared" si="18"/>
        <v>402.80510306735982</v>
      </c>
      <c r="I83" s="90">
        <f t="shared" si="12"/>
        <v>0.40280510306735984</v>
      </c>
      <c r="J83" s="90">
        <f t="shared" si="19"/>
        <v>41.90107819493187</v>
      </c>
      <c r="K83" s="90">
        <f t="shared" si="13"/>
        <v>0.41901078194931868</v>
      </c>
      <c r="L83" s="90">
        <f t="shared" si="20"/>
        <v>168.04520645831857</v>
      </c>
      <c r="M83" s="90">
        <f t="shared" si="14"/>
        <v>0.40105222513974459</v>
      </c>
      <c r="N83" s="91">
        <f t="shared" si="15"/>
        <v>0.4171873821325866</v>
      </c>
      <c r="P83" s="86">
        <f t="shared" si="21"/>
        <v>530.48979591836701</v>
      </c>
      <c r="Q83" s="47">
        <f t="shared" si="22"/>
        <v>2.78993335505064</v>
      </c>
      <c r="R83" s="87">
        <f t="shared" si="16"/>
        <v>0.41901078194932301</v>
      </c>
      <c r="S83" s="47">
        <f t="shared" si="23"/>
        <v>0.40280510306735984</v>
      </c>
      <c r="T83" s="88">
        <f t="shared" si="24"/>
        <v>2.7899333550506213</v>
      </c>
      <c r="U83" s="88">
        <f t="shared" si="25"/>
        <v>402.80510306735982</v>
      </c>
      <c r="V83" s="88">
        <f t="shared" si="26"/>
        <v>41.90107819493187</v>
      </c>
    </row>
    <row r="84" spans="1:22" x14ac:dyDescent="0.2">
      <c r="A84" s="80">
        <v>43</v>
      </c>
      <c r="B84" s="81">
        <v>543.42857142857099</v>
      </c>
      <c r="C84" s="82">
        <v>2.40666436827083</v>
      </c>
      <c r="D84" s="82">
        <v>0.37062510979024998</v>
      </c>
      <c r="E84" s="75">
        <v>0.40026719363110702</v>
      </c>
      <c r="G84" s="89">
        <f t="shared" si="17"/>
        <v>2.4066643682708246</v>
      </c>
      <c r="H84" s="90">
        <f t="shared" si="18"/>
        <v>401.15375426250671</v>
      </c>
      <c r="I84" s="90">
        <f t="shared" si="12"/>
        <v>0.40115375426250671</v>
      </c>
      <c r="J84" s="90">
        <f t="shared" si="19"/>
        <v>37.062510979025319</v>
      </c>
      <c r="K84" s="90">
        <f t="shared" si="13"/>
        <v>0.3706251097902532</v>
      </c>
      <c r="L84" s="90">
        <f t="shared" si="20"/>
        <v>148.49548913725343</v>
      </c>
      <c r="M84" s="90">
        <f t="shared" si="14"/>
        <v>0.40066224660625682</v>
      </c>
      <c r="N84" s="91">
        <f t="shared" si="15"/>
        <v>0.37017100690046406</v>
      </c>
      <c r="P84" s="86">
        <f t="shared" si="21"/>
        <v>543.42857142857099</v>
      </c>
      <c r="Q84" s="47">
        <f t="shared" si="22"/>
        <v>2.40666436827083</v>
      </c>
      <c r="R84" s="87">
        <f t="shared" si="16"/>
        <v>0.37062510979024998</v>
      </c>
      <c r="S84" s="47">
        <f t="shared" si="23"/>
        <v>0.40115375426250671</v>
      </c>
      <c r="T84" s="88">
        <f t="shared" si="24"/>
        <v>2.4066643682708246</v>
      </c>
      <c r="U84" s="88">
        <f t="shared" si="25"/>
        <v>401.15375426250671</v>
      </c>
      <c r="V84" s="88">
        <f t="shared" si="26"/>
        <v>37.062510979025319</v>
      </c>
    </row>
    <row r="85" spans="1:22" x14ac:dyDescent="0.2">
      <c r="A85" s="80">
        <v>44</v>
      </c>
      <c r="B85" s="81">
        <v>556.36734693877497</v>
      </c>
      <c r="C85" s="82">
        <v>2.0245220864697799</v>
      </c>
      <c r="D85" s="82">
        <v>0.31893541589475699</v>
      </c>
      <c r="E85" s="75">
        <v>0.40059750862256399</v>
      </c>
      <c r="G85" s="89">
        <f t="shared" si="17"/>
        <v>2.0245220864698581</v>
      </c>
      <c r="H85" s="90">
        <f t="shared" si="18"/>
        <v>399.76283870341842</v>
      </c>
      <c r="I85" s="90">
        <f t="shared" si="12"/>
        <v>0.39976283870341844</v>
      </c>
      <c r="J85" s="90">
        <f t="shared" si="19"/>
        <v>31.893541589476399</v>
      </c>
      <c r="K85" s="90">
        <f t="shared" si="13"/>
        <v>0.31893541589476399</v>
      </c>
      <c r="L85" s="90">
        <f t="shared" si="20"/>
        <v>127.89083338065392</v>
      </c>
      <c r="M85" s="90">
        <f t="shared" si="14"/>
        <v>0.40099288760973728</v>
      </c>
      <c r="N85" s="91">
        <f t="shared" si="15"/>
        <v>0.31991676313749445</v>
      </c>
      <c r="P85" s="86">
        <f t="shared" si="21"/>
        <v>556.36734693877497</v>
      </c>
      <c r="Q85" s="47">
        <f t="shared" si="22"/>
        <v>2.0245220864697799</v>
      </c>
      <c r="R85" s="87">
        <f t="shared" si="16"/>
        <v>0.31893541589475699</v>
      </c>
      <c r="S85" s="47">
        <f t="shared" si="23"/>
        <v>0.39976283870341844</v>
      </c>
      <c r="T85" s="88">
        <f t="shared" si="24"/>
        <v>2.0245220864698581</v>
      </c>
      <c r="U85" s="88">
        <f t="shared" si="25"/>
        <v>399.76283870341842</v>
      </c>
      <c r="V85" s="88">
        <f t="shared" si="26"/>
        <v>31.893541589476399</v>
      </c>
    </row>
    <row r="86" spans="1:22" x14ac:dyDescent="0.2">
      <c r="A86" s="80">
        <v>45</v>
      </c>
      <c r="B86" s="81">
        <v>569.30612244897895</v>
      </c>
      <c r="C86" s="82">
        <v>1.64783474435486</v>
      </c>
      <c r="D86" s="82">
        <v>0.26494999614377301</v>
      </c>
      <c r="E86" s="75">
        <v>0.40162656583121398</v>
      </c>
      <c r="G86" s="89">
        <f t="shared" si="17"/>
        <v>1.6478347443549097</v>
      </c>
      <c r="H86" s="90">
        <f t="shared" si="18"/>
        <v>398.7246059592951</v>
      </c>
      <c r="I86" s="90">
        <f t="shared" si="12"/>
        <v>0.3987246059592951</v>
      </c>
      <c r="J86" s="90">
        <f t="shared" si="19"/>
        <v>26.494999614377775</v>
      </c>
      <c r="K86" s="90">
        <f t="shared" si="13"/>
        <v>0.26494999614377773</v>
      </c>
      <c r="L86" s="90">
        <f t="shared" si="20"/>
        <v>106.51598182629721</v>
      </c>
      <c r="M86" s="90">
        <f t="shared" si="14"/>
        <v>0.40202296047022873</v>
      </c>
      <c r="N86" s="91">
        <f t="shared" si="15"/>
        <v>0.26714173199827851</v>
      </c>
      <c r="P86" s="86">
        <f t="shared" si="21"/>
        <v>569.30612244897895</v>
      </c>
      <c r="Q86" s="47">
        <f t="shared" si="22"/>
        <v>1.64783474435486</v>
      </c>
      <c r="R86" s="87">
        <f t="shared" si="16"/>
        <v>0.26494999614377301</v>
      </c>
      <c r="S86" s="47">
        <f t="shared" si="23"/>
        <v>0.3987246059592951</v>
      </c>
      <c r="T86" s="88">
        <f t="shared" si="24"/>
        <v>1.6478347443549097</v>
      </c>
      <c r="U86" s="88">
        <f t="shared" si="25"/>
        <v>398.7246059592951</v>
      </c>
      <c r="V86" s="88">
        <f t="shared" si="26"/>
        <v>26.494999614377775</v>
      </c>
    </row>
    <row r="87" spans="1:22" x14ac:dyDescent="0.2">
      <c r="A87" s="80">
        <v>46</v>
      </c>
      <c r="B87" s="81">
        <v>582.24489795918305</v>
      </c>
      <c r="C87" s="82">
        <v>1.28098728783712</v>
      </c>
      <c r="D87" s="82">
        <v>0.20995304814740801</v>
      </c>
      <c r="E87" s="75">
        <v>0.402953717404057</v>
      </c>
      <c r="G87" s="89">
        <f t="shared" si="17"/>
        <v>1.2809872878371777</v>
      </c>
      <c r="H87" s="90">
        <f t="shared" si="18"/>
        <v>398.13648236302674</v>
      </c>
      <c r="I87" s="90">
        <f t="shared" si="12"/>
        <v>0.39813648236302673</v>
      </c>
      <c r="J87" s="90">
        <f t="shared" si="19"/>
        <v>20.995304814741075</v>
      </c>
      <c r="K87" s="90">
        <f t="shared" si="13"/>
        <v>0.20995304814741075</v>
      </c>
      <c r="L87" s="90">
        <f t="shared" si="20"/>
        <v>84.68486050376778</v>
      </c>
      <c r="M87" s="90">
        <f t="shared" si="14"/>
        <v>0.40335142190605133</v>
      </c>
      <c r="N87" s="91">
        <f t="shared" si="15"/>
        <v>0.21270309116397645</v>
      </c>
      <c r="P87" s="86">
        <f t="shared" si="21"/>
        <v>582.24489795918305</v>
      </c>
      <c r="Q87" s="47">
        <f t="shared" si="22"/>
        <v>1.28098728783712</v>
      </c>
      <c r="R87" s="87">
        <f t="shared" si="16"/>
        <v>0.20995304814740801</v>
      </c>
      <c r="S87" s="47">
        <f t="shared" si="23"/>
        <v>0.39813648236302673</v>
      </c>
      <c r="T87" s="88">
        <f t="shared" si="24"/>
        <v>1.2809872878371777</v>
      </c>
      <c r="U87" s="88">
        <f t="shared" si="25"/>
        <v>398.13648236302674</v>
      </c>
      <c r="V87" s="88">
        <f t="shared" si="26"/>
        <v>20.995304814741075</v>
      </c>
    </row>
    <row r="88" spans="1:22" x14ac:dyDescent="0.2">
      <c r="A88" s="80">
        <v>47</v>
      </c>
      <c r="B88" s="81">
        <v>595.18367346938703</v>
      </c>
      <c r="C88" s="82">
        <v>0.92833531377647205</v>
      </c>
      <c r="D88" s="82">
        <v>0.155534850713445</v>
      </c>
      <c r="E88" s="75">
        <v>0.40295356594832499</v>
      </c>
      <c r="G88" s="89">
        <f t="shared" si="17"/>
        <v>0.92833531377652889</v>
      </c>
      <c r="H88" s="90">
        <f t="shared" si="18"/>
        <v>398.10107101119411</v>
      </c>
      <c r="I88" s="90">
        <f t="shared" si="12"/>
        <v>0.39810107101119413</v>
      </c>
      <c r="J88" s="90">
        <f t="shared" si="19"/>
        <v>15.553485071344312</v>
      </c>
      <c r="K88" s="90">
        <f t="shared" si="13"/>
        <v>0.15553485071344311</v>
      </c>
      <c r="L88" s="90">
        <f t="shared" si="20"/>
        <v>62.735179611320007</v>
      </c>
      <c r="M88" s="90">
        <f t="shared" si="14"/>
        <v>0.40335127030084783</v>
      </c>
      <c r="N88" s="91">
        <f t="shared" si="15"/>
        <v>0.15758606087637472</v>
      </c>
      <c r="P88" s="86">
        <f t="shared" si="21"/>
        <v>595.18367346938703</v>
      </c>
      <c r="Q88" s="47">
        <f t="shared" si="22"/>
        <v>0.92833531377647205</v>
      </c>
      <c r="R88" s="87">
        <f t="shared" si="16"/>
        <v>0.155534850713445</v>
      </c>
      <c r="S88" s="47">
        <f t="shared" si="23"/>
        <v>0.39810107101119413</v>
      </c>
      <c r="T88" s="88">
        <f t="shared" si="24"/>
        <v>0.92833531377652889</v>
      </c>
      <c r="U88" s="88">
        <f t="shared" si="25"/>
        <v>398.10107101119411</v>
      </c>
      <c r="V88" s="88">
        <f t="shared" si="26"/>
        <v>15.553485071344312</v>
      </c>
    </row>
    <row r="89" spans="1:22" x14ac:dyDescent="0.2">
      <c r="A89" s="80">
        <v>48</v>
      </c>
      <c r="B89" s="81">
        <v>608.12244897959101</v>
      </c>
      <c r="C89" s="82">
        <v>0.59411135349401401</v>
      </c>
      <c r="D89" s="82">
        <v>0.103623256786452</v>
      </c>
      <c r="E89" s="75">
        <v>0.39548360954564599</v>
      </c>
      <c r="G89" s="89">
        <f t="shared" si="17"/>
        <v>0.59411135349395749</v>
      </c>
      <c r="H89" s="90">
        <f t="shared" si="18"/>
        <v>398.72615176406748</v>
      </c>
      <c r="I89" s="90">
        <f t="shared" si="12"/>
        <v>0.3987261517640675</v>
      </c>
      <c r="J89" s="90">
        <f t="shared" si="19"/>
        <v>10.362325678644766</v>
      </c>
      <c r="K89" s="90">
        <f t="shared" si="13"/>
        <v>0.10362325678644765</v>
      </c>
      <c r="L89" s="90">
        <f t="shared" si="20"/>
        <v>41.021747069391836</v>
      </c>
      <c r="M89" s="90">
        <f t="shared" si="14"/>
        <v>0.39587394125173697</v>
      </c>
      <c r="N89" s="91">
        <f t="shared" si="15"/>
        <v>0.10288200783395077</v>
      </c>
      <c r="P89" s="86">
        <f t="shared" si="21"/>
        <v>608.12244897959101</v>
      </c>
      <c r="Q89" s="47">
        <f t="shared" si="22"/>
        <v>0.59411135349401401</v>
      </c>
      <c r="R89" s="87">
        <f t="shared" si="16"/>
        <v>0.103623256786452</v>
      </c>
      <c r="S89" s="47">
        <f t="shared" si="23"/>
        <v>0.3987261517640675</v>
      </c>
      <c r="T89" s="88">
        <f t="shared" si="24"/>
        <v>0.59411135349395749</v>
      </c>
      <c r="U89" s="88">
        <f t="shared" si="25"/>
        <v>398.72615176406748</v>
      </c>
      <c r="V89" s="88">
        <f t="shared" si="26"/>
        <v>10.362325678644766</v>
      </c>
    </row>
    <row r="90" spans="1:22" x14ac:dyDescent="0.2">
      <c r="A90" s="80">
        <v>49</v>
      </c>
      <c r="B90" s="81">
        <v>621.06122448979499</v>
      </c>
      <c r="C90" s="82">
        <v>0.28232350005859502</v>
      </c>
      <c r="D90" s="82">
        <v>5.651649985743E-2</v>
      </c>
      <c r="E90" s="75">
        <v>0.35191114929759298</v>
      </c>
      <c r="G90" s="89">
        <f t="shared" si="17"/>
        <v>0.28232350005848161</v>
      </c>
      <c r="H90" s="90">
        <f t="shared" si="18"/>
        <v>400.12468124560792</v>
      </c>
      <c r="I90" s="90">
        <f t="shared" si="12"/>
        <v>0.4001246812456079</v>
      </c>
      <c r="J90" s="90">
        <f t="shared" si="19"/>
        <v>5.651649985743461</v>
      </c>
      <c r="K90" s="90">
        <f t="shared" si="13"/>
        <v>5.6516499857434607E-2</v>
      </c>
      <c r="L90" s="90">
        <f t="shared" si="20"/>
        <v>19.908416117397184</v>
      </c>
      <c r="M90" s="90">
        <f t="shared" si="14"/>
        <v>0.35225847615505301</v>
      </c>
      <c r="N90" s="91">
        <f t="shared" si="15"/>
        <v>4.975553133943475E-2</v>
      </c>
      <c r="P90" s="86">
        <f t="shared" si="21"/>
        <v>621.06122448979499</v>
      </c>
      <c r="Q90" s="47">
        <f t="shared" si="22"/>
        <v>0.28232350005859502</v>
      </c>
      <c r="R90" s="87">
        <f t="shared" si="16"/>
        <v>5.651649985743E-2</v>
      </c>
      <c r="S90" s="47">
        <f t="shared" si="23"/>
        <v>0.4001246812456079</v>
      </c>
      <c r="T90" s="88">
        <f t="shared" si="24"/>
        <v>0.28232350005848161</v>
      </c>
      <c r="U90" s="88">
        <f t="shared" si="25"/>
        <v>400.12468124560792</v>
      </c>
      <c r="V90" s="88">
        <f t="shared" si="26"/>
        <v>5.651649985743461</v>
      </c>
    </row>
    <row r="91" spans="1:22" x14ac:dyDescent="0.2">
      <c r="A91" s="92">
        <v>50</v>
      </c>
      <c r="B91" s="93">
        <v>634</v>
      </c>
      <c r="C91" s="94">
        <v>0</v>
      </c>
      <c r="D91" s="94">
        <v>1.69173138441692E-2</v>
      </c>
      <c r="E91" s="78">
        <v>0</v>
      </c>
      <c r="G91" s="95">
        <f t="shared" si="17"/>
        <v>-3.3536206589133144E-3</v>
      </c>
      <c r="H91" s="96">
        <f t="shared" si="18"/>
        <v>402.41479284346678</v>
      </c>
      <c r="I91" s="96">
        <f t="shared" si="12"/>
        <v>0.40241479284346676</v>
      </c>
      <c r="J91" s="96">
        <f t="shared" si="19"/>
        <v>1.691731384416471</v>
      </c>
      <c r="K91" s="96">
        <f t="shared" si="13"/>
        <v>1.691731384416471E-2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634</v>
      </c>
      <c r="Q91" s="47">
        <f t="shared" si="22"/>
        <v>0</v>
      </c>
      <c r="R91" s="87">
        <f t="shared" si="16"/>
        <v>1.69173138441692E-2</v>
      </c>
      <c r="S91" s="47">
        <f t="shared" si="23"/>
        <v>0.40241479284346676</v>
      </c>
      <c r="T91" s="88">
        <f t="shared" si="24"/>
        <v>-3.3536206589133144E-3</v>
      </c>
      <c r="U91" s="88">
        <f t="shared" si="25"/>
        <v>402.41479284346678</v>
      </c>
      <c r="V91" s="88">
        <f t="shared" si="26"/>
        <v>1.691731384416471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F841-4756-4ACB-9A51-1D6F1F1A6AE6}">
  <sheetPr codeName="Лист9"/>
  <dimension ref="A1:AU91"/>
  <sheetViews>
    <sheetView zoomScale="40" zoomScaleNormal="40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NHV3800</v>
      </c>
      <c r="C1" s="64"/>
      <c r="D1" s="64"/>
      <c r="E1" s="65">
        <v>86</v>
      </c>
      <c r="G1" s="64" t="s">
        <v>424</v>
      </c>
      <c r="H1" s="66">
        <f>VLOOKUP(num,'tnav 254'!A1:Q263,7,1)</f>
        <v>500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[0,78,156,234,312,390,468,546,624,702,780]</v>
      </c>
    </row>
    <row r="2" spans="1:47" x14ac:dyDescent="0.2">
      <c r="A2" s="67" t="s">
        <v>144</v>
      </c>
      <c r="B2" s="68" t="str">
        <f>"ЭЦН"&amp;L1&amp;"-"&amp;H1&amp;"@"&amp;f_nom&amp;"Гц"</f>
        <v>ЭЦН5А-500@50Гц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[0,78,156,234,312,390,468,546,624,702,780]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7.2921954849999997</v>
      </c>
      <c r="C5" s="73">
        <f>Напор0*(f_50_hz/f_nom)^2</f>
        <v>7.2921954849999997</v>
      </c>
      <c r="R5" s="47">
        <f>S1+num</f>
        <v>2086</v>
      </c>
      <c r="S5" s="47" t="s">
        <v>478</v>
      </c>
      <c r="T5" s="47" t="s">
        <v>479</v>
      </c>
      <c r="U5" s="47" t="str">
        <f>B2</f>
        <v>ЭЦН5А-500@50Гц</v>
      </c>
      <c r="V5" s="47">
        <v>1000</v>
      </c>
      <c r="W5" s="47">
        <f>q_nom</f>
        <v>500</v>
      </c>
      <c r="X5" s="47">
        <f>VLOOKUP(num,'tnav 254'!A1:Q263,10,1)</f>
        <v>350</v>
      </c>
      <c r="Y5" s="47">
        <f>VLOOKUP(num,'tnav 254'!A1:Q263,11,1)</f>
        <v>600</v>
      </c>
      <c r="Z5" s="47">
        <f>VLOOKUP(num,'tnav 254'!A1:Q263,9,1)</f>
        <v>780</v>
      </c>
      <c r="AA5" s="47">
        <f>VLOOKUP(num,'tnav 254'!A1:Q263,15,1)</f>
        <v>2910</v>
      </c>
      <c r="AB5" s="47">
        <f>f_nom</f>
        <v>50</v>
      </c>
      <c r="AC5" s="87">
        <f>MAX(КПД)</f>
        <v>0.61372443202045102</v>
      </c>
      <c r="AE5" s="47" t="str">
        <f>L1</f>
        <v>5А</v>
      </c>
      <c r="AF5" s="47">
        <f>VLOOKUP(num,'tnav 254'!A1:Q263,12,1)*1000</f>
        <v>103</v>
      </c>
      <c r="AQ5" s="98">
        <f>$R$5</f>
        <v>2086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7.2921954849999997</v>
      </c>
      <c r="AT5" s="104" cm="1">
        <f t="array" ref="AT5">[1]!crv_interpolation(Подача_пласт_м3_сут,$I$42:$I$91,AR5,2)</f>
        <v>0.39735478669999996</v>
      </c>
      <c r="AU5" s="105">
        <v>0</v>
      </c>
    </row>
    <row r="6" spans="1:47" x14ac:dyDescent="0.2">
      <c r="A6" s="74" t="s">
        <v>431</v>
      </c>
      <c r="B6" s="75">
        <v>-8.5882009509999999E-3</v>
      </c>
      <c r="C6" s="76">
        <f>Напор1/(f_50_hz/f_nom)*(f_50_hz/f_nom)^2</f>
        <v>-8.5882009509999999E-3</v>
      </c>
      <c r="R6" s="47">
        <f>T1+num</f>
        <v>3086</v>
      </c>
      <c r="S6" s="47" t="s">
        <v>480</v>
      </c>
      <c r="T6" s="47" t="s">
        <v>481</v>
      </c>
      <c r="U6" s="47" t="str">
        <f>"ЭЦН"&amp;L1&amp;"-"&amp;H1&amp;"@"&amp;f_50_hz&amp;"Гц"</f>
        <v>ЭЦН5А-500@50Гц</v>
      </c>
      <c r="V6" s="47">
        <v>1000</v>
      </c>
      <c r="W6" s="47">
        <f>W5*f_50_hz/f_nom</f>
        <v>500</v>
      </c>
      <c r="X6" s="47">
        <f>X5*f_50_hz/f_nom</f>
        <v>350</v>
      </c>
      <c r="Y6" s="47">
        <f>Y5*f_50_hz/f_nom</f>
        <v>600</v>
      </c>
      <c r="Z6" s="47">
        <f>Z5*f_50_hz/f_nom</f>
        <v>780</v>
      </c>
      <c r="AA6" s="47">
        <f>AA5*f_50_hz/f_nom</f>
        <v>2910</v>
      </c>
      <c r="AB6" s="47">
        <f>f_50_hz</f>
        <v>50</v>
      </c>
      <c r="AC6" s="87">
        <f>AC5</f>
        <v>0.61372443202045102</v>
      </c>
      <c r="AE6" s="47" t="str">
        <f>AE5</f>
        <v>5А</v>
      </c>
      <c r="AF6" s="47">
        <f>AF5</f>
        <v>103</v>
      </c>
      <c r="AQ6" s="100">
        <f t="shared" ref="AQ6:AQ15" si="0">$R$5</f>
        <v>2086</v>
      </c>
      <c r="AR6" s="101">
        <v>78</v>
      </c>
      <c r="AS6" s="106" cm="1">
        <f t="array" ref="AS6">[1]!crv_interpolation(Подача_пласт_м3_сут,Напор_м,AR6,2)</f>
        <v>6.9269313008191009</v>
      </c>
      <c r="AT6" s="106" cm="1">
        <f t="array" ref="AT6">[1]!crv_interpolation(Подача_пласт_м3_сут,$I$42:$I$91,AR6,2)</f>
        <v>0.45272509563822561</v>
      </c>
      <c r="AU6" s="107" cm="1">
        <f t="array" ref="AU6">[1]!crv_interpolation(Подача_пласт_м3_сут,КПД,AR6,2)</f>
        <v>0.15262360989418955</v>
      </c>
    </row>
    <row r="7" spans="1:47" x14ac:dyDescent="0.2">
      <c r="A7" s="74" t="s">
        <v>432</v>
      </c>
      <c r="B7" s="75">
        <v>7.8197082599999997E-5</v>
      </c>
      <c r="C7" s="76">
        <f>Напор2/((f_50_hz/f_nom)^2)*(f_50_hz/f_nom)^2</f>
        <v>7.8197082599999997E-5</v>
      </c>
      <c r="AQ7" s="100">
        <f t="shared" si="0"/>
        <v>2086</v>
      </c>
      <c r="AR7" s="101">
        <v>156</v>
      </c>
      <c r="AS7" s="106" cm="1">
        <f t="array" ref="AS7">[1]!crv_interpolation(Подача_пласт_м3_сут,Напор_м,AR7,2)</f>
        <v>6.7147066612755548</v>
      </c>
      <c r="AT7" s="106" cm="1">
        <f t="array" ref="AT7">[1]!crv_interpolation(Подача_пласт_м3_сут,$I$42:$I$91,AR7,2)</f>
        <v>0.46909065989566906</v>
      </c>
      <c r="AU7" s="107" cm="1">
        <f t="array" ref="AU7">[1]!crv_interpolation(Подача_пласт_м3_сут,КПД,AR7,2)</f>
        <v>0.25899036993171543</v>
      </c>
    </row>
    <row r="8" spans="1:47" x14ac:dyDescent="0.2">
      <c r="A8" s="74" t="s">
        <v>433</v>
      </c>
      <c r="B8" s="75">
        <v>-4.3101216580000002E-7</v>
      </c>
      <c r="C8" s="76">
        <f>Напор3/((f_50_hz/f_nom)^3)*(f_50_hz/f_nom)^2</f>
        <v>-4.3101216580000002E-7</v>
      </c>
      <c r="AQ8" s="100">
        <f t="shared" si="0"/>
        <v>2086</v>
      </c>
      <c r="AR8" s="101">
        <v>234</v>
      </c>
      <c r="AS8" s="106" cm="1">
        <f t="array" ref="AS8">[1]!crv_interpolation(Подача_пласт_м3_сут,Напор_м,AR8,2)</f>
        <v>6.3579730614561027</v>
      </c>
      <c r="AT8" s="106" cm="1">
        <f t="array" ref="AT8">[1]!crv_interpolation(Подача_пласт_м3_сут,$I$42:$I$91,AR8,2)</f>
        <v>0.46829448050293887</v>
      </c>
      <c r="AU8" s="107" cm="1">
        <f t="array" ref="AU8">[1]!crv_interpolation(Подача_пласт_м3_сут,КПД,AR8,2)</f>
        <v>0.34553468531997722</v>
      </c>
    </row>
    <row r="9" spans="1:47" x14ac:dyDescent="0.2">
      <c r="A9" s="74" t="s">
        <v>434</v>
      </c>
      <c r="B9" s="75">
        <v>9.7607344660000001E-10</v>
      </c>
      <c r="C9" s="76">
        <f>Напор4/((f_50_hz/f_nom)^4)*(f_50_hz/f_nom)^2</f>
        <v>9.7607344660000001E-10</v>
      </c>
      <c r="AQ9" s="100">
        <f t="shared" si="0"/>
        <v>2086</v>
      </c>
      <c r="AR9" s="101">
        <v>312</v>
      </c>
      <c r="AS9" s="106" cm="1">
        <f t="array" ref="AS9">[1]!crv_interpolation(Подача_пласт_м3_сут,Напор_м,AR9,2)</f>
        <v>5.879163732437978</v>
      </c>
      <c r="AT9" s="106" cm="1">
        <f t="array" ref="AT9">[1]!crv_interpolation(Подача_пласт_м3_сут,$I$42:$I$91,AR9,2)</f>
        <v>0.46547966078286718</v>
      </c>
      <c r="AU9" s="107" cm="1">
        <f t="array" ref="AU9">[1]!crv_interpolation(Подача_пласт_м3_сут,КПД,AR9,2)</f>
        <v>0.42896486206742535</v>
      </c>
    </row>
    <row r="10" spans="1:47" x14ac:dyDescent="0.2">
      <c r="A10" s="74" t="s">
        <v>435</v>
      </c>
      <c r="B10" s="75">
        <v>-9.3859898840000005E-13</v>
      </c>
      <c r="C10" s="76">
        <f>Напор5/((f_50_hz/f_nom)^5)*(f_50_hz/f_nom)^2</f>
        <v>-9.3859898840000005E-13</v>
      </c>
      <c r="AQ10" s="100">
        <f t="shared" si="0"/>
        <v>2086</v>
      </c>
      <c r="AR10" s="101">
        <v>390</v>
      </c>
      <c r="AS10" s="106" cm="1">
        <f t="array" ref="AS10">[1]!crv_interpolation(Подача_пласт_м3_сут,Напор_м,AR10,2)</f>
        <v>5.4140899577367838</v>
      </c>
      <c r="AT10" s="106" cm="1">
        <f t="array" ref="AT10">[1]!crv_interpolation(Подача_пласт_м3_сут,$I$42:$I$91,AR10,2)</f>
        <v>0.46903006223783017</v>
      </c>
      <c r="AU10" s="107" cm="1">
        <f t="array" ref="AU10">[1]!crv_interpolation(Подача_пласт_м3_сут,КПД,AR10,2)</f>
        <v>0.51172530375661163</v>
      </c>
    </row>
    <row r="11" spans="1:47" x14ac:dyDescent="0.2">
      <c r="A11" s="74" t="s">
        <v>436</v>
      </c>
      <c r="B11" s="75">
        <v>2.9336882119999898E-16</v>
      </c>
      <c r="C11" s="76">
        <f>Напор6/((f_50_hz/f_nom)^6)*(f_50_hz/f_nom)^2</f>
        <v>2.9336882119999898E-16</v>
      </c>
      <c r="AQ11" s="100">
        <f t="shared" si="0"/>
        <v>2086</v>
      </c>
      <c r="AR11" s="101">
        <v>468</v>
      </c>
      <c r="AS11" s="106" cm="1">
        <f t="array" ref="AS11">[1]!crv_interpolation(Подача_пласт_м3_сут,Напор_м,AR11,2)</f>
        <v>5.0538014280044203</v>
      </c>
      <c r="AT11" s="106" cm="1">
        <f t="array" ref="AT11">[1]!crv_interpolation(Подача_пласт_м3_сут,$I$42:$I$91,AR11,2)</f>
        <v>0.48062985792069784</v>
      </c>
      <c r="AU11" s="107" cm="1">
        <f t="array" ref="AU11">[1]!crv_interpolation(Подача_пласт_м3_сут,КПД,AR11,2)</f>
        <v>0.58204709766859974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2086</v>
      </c>
      <c r="AR12" s="101">
        <v>546</v>
      </c>
      <c r="AS12" s="106" cm="1">
        <f t="array" ref="AS12">[1]!crv_interpolation(Подача_пласт_м3_сут,Напор_м,AR12,2)</f>
        <v>4.7326063950384221</v>
      </c>
      <c r="AT12" s="106" cm="1">
        <f t="array" ref="AT12">[1]!crv_interpolation(Подача_пласт_м3_сут,$I$42:$I$91,AR12,2)</f>
        <v>0.49523373951220784</v>
      </c>
      <c r="AU12" s="107" cm="1">
        <f t="array" ref="AU12">[1]!crv_interpolation(Подача_пласт_м3_сут,КПД,AR12,2)</f>
        <v>0.61390166681548464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2086</v>
      </c>
      <c r="AR13" s="101">
        <v>624</v>
      </c>
      <c r="AS13" s="106" cm="1">
        <f t="array" ref="AS13">[1]!crv_interpolation(Подача_пласт_м3_сут,Напор_м,AR13,2)</f>
        <v>4.1651518421326239</v>
      </c>
      <c r="AT13" s="106" cm="1">
        <f t="array" ref="AT13">[1]!crv_interpolation(Подача_пласт_м3_сут,$I$42:$I$91,AR13,2)</f>
        <v>0.50107294073945419</v>
      </c>
      <c r="AU13" s="107" cm="1">
        <f t="array" ref="AU13">[1]!crv_interpolation(Подача_пласт_м3_сут,КПД,AR13,2)</f>
        <v>0.56702256297526676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2086</v>
      </c>
      <c r="AR14" s="101">
        <v>702</v>
      </c>
      <c r="AS14" s="106" cm="1">
        <f t="array" ref="AS14">[1]!crv_interpolation(Подача_пласт_м3_сут,Напор_м,AR14,2)</f>
        <v>2.8300318527120245</v>
      </c>
      <c r="AT14" s="106" cm="1">
        <f t="array" ref="AT14">[1]!crv_interpolation(Подача_пласт_м3_сут,$I$42:$I$91,AR14,2)</f>
        <v>0.47965485360177146</v>
      </c>
      <c r="AU14" s="107" cm="1">
        <f t="array" ref="AU14">[1]!crv_interpolation(Подача_пласт_м3_сут,КПД,AR14,2)</f>
        <v>0.38690130854206078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2086</v>
      </c>
      <c r="AR15" s="103">
        <v>780</v>
      </c>
      <c r="AS15" s="108">
        <v>0</v>
      </c>
      <c r="AT15" s="108" cm="1">
        <f t="array" ref="AT15">[1]!crv_interpolation(Подача_пласт_м3_сут,$I$42:$I$91,AR15,2)</f>
        <v>0.4057635206966238</v>
      </c>
      <c r="AU15" s="109">
        <v>0</v>
      </c>
    </row>
    <row r="16" spans="1:47" x14ac:dyDescent="0.2">
      <c r="A16" s="71" t="s">
        <v>441</v>
      </c>
      <c r="B16" s="72">
        <v>397.35478669999998</v>
      </c>
      <c r="C16" s="73">
        <f>Мощность0*(f_50_hz/f_nom)^3</f>
        <v>397.35478669999998</v>
      </c>
      <c r="AQ16" s="98">
        <f>$R$6</f>
        <v>3086</v>
      </c>
      <c r="AR16" s="99">
        <f t="array" ref="AR16:AR26">[1]!decode_json($AR$2)</f>
        <v>0</v>
      </c>
      <c r="AS16" s="104" cm="1">
        <f t="array" ref="AS16">[1]!crv_interpolation(Подача_f50_,$Q$42:$Q$91,AR16,2)</f>
        <v>7.2921954849999997</v>
      </c>
      <c r="AT16" s="104" cm="1">
        <f t="array" ref="AT16">[1]!crv_interpolation(Подача_f50_,$S$42:$S$91,AR16,2)</f>
        <v>0.39735478669999996</v>
      </c>
      <c r="AU16" s="105">
        <v>0</v>
      </c>
    </row>
    <row r="17" spans="1:47" x14ac:dyDescent="0.2">
      <c r="A17" s="74" t="s">
        <v>442</v>
      </c>
      <c r="B17" s="75">
        <v>1.0747115709999999</v>
      </c>
      <c r="C17" s="76">
        <f>Мощность1/(f_50_hz/f_nom)*(f_50_hz/f_nom)^3</f>
        <v>1.0747115709999999</v>
      </c>
      <c r="AQ17" s="100">
        <f t="shared" ref="AQ17:AQ26" si="1">$R$6</f>
        <v>3086</v>
      </c>
      <c r="AR17" s="101">
        <v>78</v>
      </c>
      <c r="AS17" s="106" cm="1">
        <f t="array" ref="AS17">[1]!crv_interpolation(Подача_f50_,$Q$42:$Q$91,AR17,2)</f>
        <v>6.9269313008191009</v>
      </c>
      <c r="AT17" s="106" cm="1">
        <f t="array" ref="AT17">[1]!crv_interpolation(Подача_f50_,$S$42:$S$91,AR17,2)</f>
        <v>0.45272509563822561</v>
      </c>
      <c r="AU17" s="107" cm="1">
        <f t="array" ref="AU17">[1]!crv_interpolation(Подача_f50_,$R$42:$R$91,AR17,2)</f>
        <v>0.15262360989418955</v>
      </c>
    </row>
    <row r="18" spans="1:47" x14ac:dyDescent="0.2">
      <c r="A18" s="74" t="s">
        <v>443</v>
      </c>
      <c r="B18" s="75">
        <v>-5.5068603919999999E-3</v>
      </c>
      <c r="C18" s="76">
        <f>Мощность2/((f_50_hz/f_nom)^2)*(f_50_hz/f_nom)^3</f>
        <v>-5.5068603919999999E-3</v>
      </c>
      <c r="AQ18" s="100">
        <f t="shared" si="1"/>
        <v>3086</v>
      </c>
      <c r="AR18" s="101">
        <v>156</v>
      </c>
      <c r="AS18" s="106" cm="1">
        <f t="array" ref="AS18">[1]!crv_interpolation(Подача_f50_,$Q$42:$Q$91,AR18,2)</f>
        <v>6.7147066612755548</v>
      </c>
      <c r="AT18" s="106" cm="1">
        <f t="array" ref="AT18">[1]!crv_interpolation(Подача_f50_,$S$42:$S$91,AR18,2)</f>
        <v>0.46909065989566906</v>
      </c>
      <c r="AU18" s="107" cm="1">
        <f t="array" ref="AU18">[1]!crv_interpolation(Подача_f50_,$R$42:$R$91,AR18,2)</f>
        <v>0.25899036993171543</v>
      </c>
    </row>
    <row r="19" spans="1:47" x14ac:dyDescent="0.2">
      <c r="A19" s="74" t="s">
        <v>444</v>
      </c>
      <c r="B19" s="75">
        <v>1.1213944050000001E-5</v>
      </c>
      <c r="C19" s="76">
        <f>Мощность3/((f_50_hz/f_nom)^3)*(f_50_hz/f_nom)^3</f>
        <v>1.1213944050000001E-5</v>
      </c>
      <c r="AQ19" s="100">
        <f t="shared" si="1"/>
        <v>3086</v>
      </c>
      <c r="AR19" s="101">
        <v>234</v>
      </c>
      <c r="AS19" s="106" cm="1">
        <f t="array" ref="AS19">[1]!crv_interpolation(Подача_f50_,$Q$42:$Q$91,AR19,2)</f>
        <v>6.3579730614561027</v>
      </c>
      <c r="AT19" s="106" cm="1">
        <f t="array" ref="AT19">[1]!crv_interpolation(Подача_f50_,$S$42:$S$91,AR19,2)</f>
        <v>0.46829448050293887</v>
      </c>
      <c r="AU19" s="107" cm="1">
        <f t="array" ref="AU19">[1]!crv_interpolation(Подача_f50_,$R$42:$R$91,AR19,2)</f>
        <v>0.34553468531997722</v>
      </c>
    </row>
    <row r="20" spans="1:47" x14ac:dyDescent="0.2">
      <c r="A20" s="74" t="s">
        <v>445</v>
      </c>
      <c r="B20" s="75">
        <v>-7.5674396000000004E-9</v>
      </c>
      <c r="C20" s="76">
        <f>Мощность4/((f_50_hz/f_nom)^4)*(f_50_hz/f_nom)^3</f>
        <v>-7.5674396000000004E-9</v>
      </c>
      <c r="AQ20" s="100">
        <f t="shared" si="1"/>
        <v>3086</v>
      </c>
      <c r="AR20" s="101">
        <v>312</v>
      </c>
      <c r="AS20" s="106" cm="1">
        <f t="array" ref="AS20">[1]!crv_interpolation(Подача_f50_,$Q$42:$Q$91,AR20,2)</f>
        <v>5.879163732437978</v>
      </c>
      <c r="AT20" s="106" cm="1">
        <f t="array" ref="AT20">[1]!crv_interpolation(Подача_f50_,$S$42:$S$91,AR20,2)</f>
        <v>0.46547966078286718</v>
      </c>
      <c r="AU20" s="107" cm="1">
        <f t="array" ref="AU20">[1]!crv_interpolation(Подача_f50_,$R$42:$R$91,AR20,2)</f>
        <v>0.42896486206742535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3086</v>
      </c>
      <c r="AR21" s="101">
        <v>390</v>
      </c>
      <c r="AS21" s="106" cm="1">
        <f t="array" ref="AS21">[1]!crv_interpolation(Подача_f50_,$Q$42:$Q$91,AR21,2)</f>
        <v>5.4140899577367838</v>
      </c>
      <c r="AT21" s="106" cm="1">
        <f t="array" ref="AT21">[1]!crv_interpolation(Подача_f50_,$S$42:$S$91,AR21,2)</f>
        <v>0.46903006223783017</v>
      </c>
      <c r="AU21" s="107" cm="1">
        <f t="array" ref="AU21">[1]!crv_interpolation(Подача_f50_,$R$42:$R$91,AR21,2)</f>
        <v>0.51172530375661163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3086</v>
      </c>
      <c r="AR22" s="101">
        <v>468</v>
      </c>
      <c r="AS22" s="106" cm="1">
        <f t="array" ref="AS22">[1]!crv_interpolation(Подача_f50_,$Q$42:$Q$91,AR22,2)</f>
        <v>5.0538014280044203</v>
      </c>
      <c r="AT22" s="106" cm="1">
        <f t="array" ref="AT22">[1]!crv_interpolation(Подача_f50_,$S$42:$S$91,AR22,2)</f>
        <v>0.48062985792069784</v>
      </c>
      <c r="AU22" s="107" cm="1">
        <f t="array" ref="AU22">[1]!crv_interpolation(Подача_f50_,$R$42:$R$91,AR22,2)</f>
        <v>0.58204709766859974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3086</v>
      </c>
      <c r="AR23" s="101">
        <v>546</v>
      </c>
      <c r="AS23" s="106" cm="1">
        <f t="array" ref="AS23">[1]!crv_interpolation(Подача_f50_,$Q$42:$Q$91,AR23,2)</f>
        <v>4.7326063950384221</v>
      </c>
      <c r="AT23" s="106" cm="1">
        <f t="array" ref="AT23">[1]!crv_interpolation(Подача_f50_,$S$42:$S$91,AR23,2)</f>
        <v>0.49523373951220784</v>
      </c>
      <c r="AU23" s="107" cm="1">
        <f t="array" ref="AU23">[1]!crv_interpolation(Подача_f50_,$R$42:$R$91,AR23,2)</f>
        <v>0.61390166681548464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3086</v>
      </c>
      <c r="AR24" s="101">
        <v>624</v>
      </c>
      <c r="AS24" s="106" cm="1">
        <f t="array" ref="AS24">[1]!crv_interpolation(Подача_f50_,$Q$42:$Q$91,AR24,2)</f>
        <v>4.1651518421326239</v>
      </c>
      <c r="AT24" s="106" cm="1">
        <f t="array" ref="AT24">[1]!crv_interpolation(Подача_f50_,$S$42:$S$91,AR24,2)</f>
        <v>0.50107294073945419</v>
      </c>
      <c r="AU24" s="107" cm="1">
        <f t="array" ref="AU24">[1]!crv_interpolation(Подача_f50_,$R$42:$R$91,AR24,2)</f>
        <v>0.56702256297526676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3086</v>
      </c>
      <c r="AR25" s="101">
        <v>702</v>
      </c>
      <c r="AS25" s="106" cm="1">
        <f t="array" ref="AS25">[1]!crv_interpolation(Подача_f50_,$Q$42:$Q$91,AR25,2)</f>
        <v>2.8300318527120245</v>
      </c>
      <c r="AT25" s="106" cm="1">
        <f t="array" ref="AT25">[1]!crv_interpolation(Подача_f50_,$S$42:$S$91,AR25,2)</f>
        <v>0.47965485360177151</v>
      </c>
      <c r="AU25" s="107" cm="1">
        <f t="array" ref="AU25">[1]!crv_interpolation(Подача_f50_,$R$42:$R$91,AR25,2)</f>
        <v>0.38690130854206084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3086</v>
      </c>
      <c r="AR26" s="103">
        <v>780</v>
      </c>
      <c r="AS26" s="108">
        <v>0</v>
      </c>
      <c r="AT26" s="108" cm="1">
        <f t="array" ref="AT26">[1]!crv_interpolation(Подача_f50_,$S$42:$S$91,AR26,2)</f>
        <v>0.4057635206966238</v>
      </c>
      <c r="AU26" s="109">
        <v>0</v>
      </c>
    </row>
    <row r="27" spans="1:47" x14ac:dyDescent="0.2">
      <c r="A27" s="74" t="s">
        <v>452</v>
      </c>
      <c r="B27" s="75">
        <v>-0.45085906240000001</v>
      </c>
      <c r="C27" s="73">
        <f>К.П.Д.0</f>
        <v>-0.45085906240000001</v>
      </c>
    </row>
    <row r="28" spans="1:47" x14ac:dyDescent="0.2">
      <c r="A28" s="74" t="s">
        <v>453</v>
      </c>
      <c r="B28" s="75">
        <v>0.25176312020000002</v>
      </c>
      <c r="C28" s="76">
        <f>К.П.Д.1/(f_50_hz/f_nom)</f>
        <v>0.25176312020000002</v>
      </c>
    </row>
    <row r="29" spans="1:47" x14ac:dyDescent="0.2">
      <c r="A29" s="74" t="s">
        <v>454</v>
      </c>
      <c r="B29" s="75">
        <v>-7.7865741389999998E-4</v>
      </c>
      <c r="C29" s="76">
        <f>К.П.Д.2/((f_50_hz/f_nom)^2)</f>
        <v>-7.7865741389999998E-4</v>
      </c>
    </row>
    <row r="30" spans="1:47" x14ac:dyDescent="0.2">
      <c r="A30" s="74" t="s">
        <v>455</v>
      </c>
      <c r="B30" s="75">
        <v>1.8367325930000001E-6</v>
      </c>
      <c r="C30" s="76">
        <f>К.П.Д.3/((f_50_hz/f_nom)^3)</f>
        <v>1.8367325930000001E-6</v>
      </c>
    </row>
    <row r="31" spans="1:47" x14ac:dyDescent="0.2">
      <c r="A31" s="74" t="s">
        <v>456</v>
      </c>
      <c r="B31" s="75">
        <v>-1.6029574280000001E-9</v>
      </c>
      <c r="C31" s="76">
        <f>К.П.Д.4/((f_50_hz/f_nom)^4)</f>
        <v>-1.6029574280000001E-9</v>
      </c>
    </row>
    <row r="32" spans="1:47" x14ac:dyDescent="0.2">
      <c r="A32" s="74" t="s">
        <v>457</v>
      </c>
      <c r="B32" s="75">
        <v>0</v>
      </c>
      <c r="C32" s="76">
        <f>К.П.Д.5/((f_50_hz/f_nom)^5)</f>
        <v>0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7.2921954849999997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7.2921954849999997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397.35478669999998</v>
      </c>
      <c r="I42" s="84">
        <f>H42/1000</f>
        <v>0.39735478669999996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-0.45085906240000001</v>
      </c>
      <c r="K42" s="84">
        <f>J42/100</f>
        <v>-4.5085906239999999E-3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7.2921954849999997</v>
      </c>
      <c r="R42" s="87">
        <f>D42</f>
        <v>1E-3</v>
      </c>
      <c r="S42" s="47">
        <f t="shared" ref="S42:S73" si="8">I42*(f_50_hz/f_nom)^3</f>
        <v>0.39735478669999996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7.2921954849999997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397.35478669999998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-0.45085906240000001</v>
      </c>
    </row>
    <row r="43" spans="1:22" x14ac:dyDescent="0.2">
      <c r="A43" s="80">
        <v>2</v>
      </c>
      <c r="B43" s="81">
        <v>15.9183673469387</v>
      </c>
      <c r="C43" s="82">
        <v>7.1736232279565701</v>
      </c>
      <c r="D43" s="82">
        <v>3.3667970938259198E-2</v>
      </c>
      <c r="E43" s="75">
        <v>0.38472196415459398</v>
      </c>
      <c r="G43" s="89">
        <f t="shared" si="2"/>
        <v>7.1736232279565719</v>
      </c>
      <c r="H43" s="90">
        <f t="shared" si="3"/>
        <v>413.11177954404513</v>
      </c>
      <c r="I43" s="90">
        <f t="shared" ref="I43:I91" si="12">H43/1000</f>
        <v>0.41311177954404515</v>
      </c>
      <c r="J43" s="90">
        <f t="shared" si="4"/>
        <v>3.3667970938259075</v>
      </c>
      <c r="K43" s="90">
        <f t="shared" ref="K43:K91" si="13">J43/100</f>
        <v>3.3667970938259073E-2</v>
      </c>
      <c r="L43" s="90">
        <f t="shared" si="5"/>
        <v>12.965591982161241</v>
      </c>
      <c r="M43" s="90">
        <f t="shared" ref="M43:M91" si="14">IF(K43&gt;0,L43/K43,0)/1000</f>
        <v>0.3851016744055582</v>
      </c>
      <c r="N43" s="91">
        <f t="shared" ref="N43:N91" si="15">L43/H43</f>
        <v>3.1385190701827652E-2</v>
      </c>
      <c r="P43" s="86">
        <f t="shared" si="6"/>
        <v>15.918367346938702</v>
      </c>
      <c r="Q43" s="47">
        <f t="shared" si="7"/>
        <v>7.1736232279565701</v>
      </c>
      <c r="R43" s="87">
        <f t="shared" ref="R43:R91" si="16">D43</f>
        <v>3.3667970938259198E-2</v>
      </c>
      <c r="S43" s="47">
        <f t="shared" si="8"/>
        <v>0.41311177954404515</v>
      </c>
      <c r="T43" s="88">
        <f t="shared" si="9"/>
        <v>7.1736232279565719</v>
      </c>
      <c r="U43" s="88">
        <f t="shared" si="10"/>
        <v>413.11177954404513</v>
      </c>
      <c r="V43" s="88">
        <f t="shared" si="11"/>
        <v>3.3667970938259075</v>
      </c>
    </row>
    <row r="44" spans="1:22" x14ac:dyDescent="0.2">
      <c r="A44" s="80">
        <v>3</v>
      </c>
      <c r="B44" s="81">
        <v>31.836734693877499</v>
      </c>
      <c r="C44" s="82">
        <v>7.0850980595597504</v>
      </c>
      <c r="D44" s="82">
        <v>6.8328495779272802E-2</v>
      </c>
      <c r="E44" s="75">
        <v>0.37445476631893099</v>
      </c>
      <c r="G44" s="89">
        <f t="shared" si="2"/>
        <v>7.0850980595597521</v>
      </c>
      <c r="H44" s="90">
        <f t="shared" si="3"/>
        <v>426.34255156968112</v>
      </c>
      <c r="I44" s="90">
        <f t="shared" si="12"/>
        <v>0.42634255156968109</v>
      </c>
      <c r="J44" s="90">
        <f t="shared" si="4"/>
        <v>6.8328495779272771</v>
      </c>
      <c r="K44" s="90">
        <f t="shared" si="13"/>
        <v>6.8328495779272774E-2</v>
      </c>
      <c r="L44" s="90">
        <f t="shared" si="5"/>
        <v>25.611183546928952</v>
      </c>
      <c r="M44" s="90">
        <f t="shared" si="14"/>
        <v>0.37482434312124902</v>
      </c>
      <c r="N44" s="91">
        <f t="shared" si="15"/>
        <v>6.0071844700078168E-2</v>
      </c>
      <c r="P44" s="86">
        <f t="shared" si="6"/>
        <v>31.836734693877496</v>
      </c>
      <c r="Q44" s="47">
        <f t="shared" si="7"/>
        <v>7.0850980595597504</v>
      </c>
      <c r="R44" s="87">
        <f t="shared" si="16"/>
        <v>6.8328495779272802E-2</v>
      </c>
      <c r="S44" s="47">
        <f t="shared" si="8"/>
        <v>0.42634255156968109</v>
      </c>
      <c r="T44" s="88">
        <f t="shared" si="9"/>
        <v>7.0850980595597521</v>
      </c>
      <c r="U44" s="88">
        <f t="shared" si="10"/>
        <v>426.34255156968112</v>
      </c>
      <c r="V44" s="88">
        <f t="shared" si="11"/>
        <v>6.8328495779272762</v>
      </c>
    </row>
    <row r="45" spans="1:22" x14ac:dyDescent="0.2">
      <c r="A45" s="80">
        <v>4</v>
      </c>
      <c r="B45" s="81">
        <v>47.755102040816297</v>
      </c>
      <c r="C45" s="82">
        <v>7.0183036141940898</v>
      </c>
      <c r="D45" s="82">
        <v>9.9880452787667703E-2</v>
      </c>
      <c r="E45" s="75">
        <v>0.38062583807113198</v>
      </c>
      <c r="G45" s="89">
        <f t="shared" si="2"/>
        <v>7.0183036141940951</v>
      </c>
      <c r="H45" s="90">
        <f t="shared" si="3"/>
        <v>437.3010076321454</v>
      </c>
      <c r="I45" s="90">
        <f t="shared" si="12"/>
        <v>0.43730100763214541</v>
      </c>
      <c r="J45" s="90">
        <f t="shared" si="4"/>
        <v>9.9880452787667657</v>
      </c>
      <c r="K45" s="90">
        <f t="shared" si="13"/>
        <v>9.9880452787667662E-2</v>
      </c>
      <c r="L45" s="90">
        <f t="shared" si="5"/>
        <v>38.054602887677369</v>
      </c>
      <c r="M45" s="90">
        <f t="shared" si="14"/>
        <v>0.38100150555560963</v>
      </c>
      <c r="N45" s="91">
        <f t="shared" si="15"/>
        <v>8.7021530304107239E-2</v>
      </c>
      <c r="P45" s="86">
        <f t="shared" si="6"/>
        <v>47.755102040816297</v>
      </c>
      <c r="Q45" s="47">
        <f t="shared" si="7"/>
        <v>7.0183036141940898</v>
      </c>
      <c r="R45" s="87">
        <f t="shared" si="16"/>
        <v>9.9880452787667703E-2</v>
      </c>
      <c r="S45" s="47">
        <f t="shared" si="8"/>
        <v>0.43730100763214541</v>
      </c>
      <c r="T45" s="88">
        <f t="shared" si="9"/>
        <v>7.0183036141940951</v>
      </c>
      <c r="U45" s="88">
        <f t="shared" si="10"/>
        <v>437.3010076321454</v>
      </c>
      <c r="V45" s="88">
        <f t="shared" si="11"/>
        <v>9.9880452787667657</v>
      </c>
    </row>
    <row r="46" spans="1:22" x14ac:dyDescent="0.2">
      <c r="A46" s="80">
        <v>5</v>
      </c>
      <c r="B46" s="81">
        <v>63.673469387755098</v>
      </c>
      <c r="C46" s="82">
        <v>6.9662048691932599</v>
      </c>
      <c r="D46" s="82">
        <v>0.12870660912489701</v>
      </c>
      <c r="E46" s="75">
        <v>0.390913570476491</v>
      </c>
      <c r="G46" s="89">
        <f t="shared" si="2"/>
        <v>6.9662048691932643</v>
      </c>
      <c r="H46" s="90">
        <f t="shared" si="3"/>
        <v>446.22939108992358</v>
      </c>
      <c r="I46" s="90">
        <f t="shared" si="12"/>
        <v>0.4462293910899236</v>
      </c>
      <c r="J46" s="90">
        <f t="shared" si="4"/>
        <v>12.870660912489704</v>
      </c>
      <c r="K46" s="90">
        <f t="shared" si="13"/>
        <v>0.12870660912489704</v>
      </c>
      <c r="L46" s="90">
        <f t="shared" si="5"/>
        <v>50.362817855341071</v>
      </c>
      <c r="M46" s="90">
        <f t="shared" si="14"/>
        <v>0.39129939167668487</v>
      </c>
      <c r="N46" s="91">
        <f t="shared" si="15"/>
        <v>0.11286306742890456</v>
      </c>
      <c r="P46" s="86">
        <f t="shared" si="6"/>
        <v>63.673469387755091</v>
      </c>
      <c r="Q46" s="47">
        <f t="shared" si="7"/>
        <v>6.9662048691932599</v>
      </c>
      <c r="R46" s="87">
        <f t="shared" si="16"/>
        <v>0.12870660912489701</v>
      </c>
      <c r="S46" s="47">
        <f t="shared" si="8"/>
        <v>0.4462293910899236</v>
      </c>
      <c r="T46" s="88">
        <f t="shared" si="9"/>
        <v>6.9662048691932643</v>
      </c>
      <c r="U46" s="88">
        <f t="shared" si="10"/>
        <v>446.22939108992358</v>
      </c>
      <c r="V46" s="88">
        <f t="shared" si="11"/>
        <v>12.870660912489706</v>
      </c>
    </row>
    <row r="47" spans="1:22" x14ac:dyDescent="0.2">
      <c r="A47" s="80">
        <v>6</v>
      </c>
      <c r="B47" s="81">
        <v>79.5918367346938</v>
      </c>
      <c r="C47" s="82">
        <v>6.9229416156725296</v>
      </c>
      <c r="D47" s="82">
        <v>0.15516503022524</v>
      </c>
      <c r="E47" s="75">
        <v>0.40280252561317098</v>
      </c>
      <c r="G47" s="89">
        <f t="shared" si="2"/>
        <v>6.9229416156725305</v>
      </c>
      <c r="H47" s="90">
        <f t="shared" si="3"/>
        <v>453.35828380474948</v>
      </c>
      <c r="I47" s="90">
        <f t="shared" si="12"/>
        <v>0.45335828380474946</v>
      </c>
      <c r="J47" s="90">
        <f t="shared" si="4"/>
        <v>15.516503022524066</v>
      </c>
      <c r="K47" s="90">
        <f t="shared" si="13"/>
        <v>0.15516503022524067</v>
      </c>
      <c r="L47" s="90">
        <f t="shared" si="5"/>
        <v>62.562552738571206</v>
      </c>
      <c r="M47" s="90">
        <f t="shared" si="14"/>
        <v>0.40320008089293158</v>
      </c>
      <c r="N47" s="91">
        <f t="shared" si="15"/>
        <v>0.13799803593202986</v>
      </c>
      <c r="P47" s="86">
        <f t="shared" si="6"/>
        <v>79.5918367346938</v>
      </c>
      <c r="Q47" s="47">
        <f t="shared" si="7"/>
        <v>6.9229416156725296</v>
      </c>
      <c r="R47" s="87">
        <f t="shared" si="16"/>
        <v>0.15516503022524</v>
      </c>
      <c r="S47" s="47">
        <f t="shared" si="8"/>
        <v>0.45335828380474946</v>
      </c>
      <c r="T47" s="88">
        <f t="shared" si="9"/>
        <v>6.9229416156725305</v>
      </c>
      <c r="U47" s="88">
        <f t="shared" si="10"/>
        <v>453.35828380474948</v>
      </c>
      <c r="V47" s="88">
        <f t="shared" si="11"/>
        <v>15.516503022524066</v>
      </c>
    </row>
    <row r="48" spans="1:22" x14ac:dyDescent="0.2">
      <c r="A48" s="80">
        <v>7</v>
      </c>
      <c r="B48" s="81">
        <v>95.510204081632594</v>
      </c>
      <c r="C48" s="82">
        <v>6.8837253660293198</v>
      </c>
      <c r="D48" s="82">
        <v>0.17958907979580499</v>
      </c>
      <c r="E48" s="75">
        <v>0.41526011750601799</v>
      </c>
      <c r="G48" s="89">
        <f t="shared" si="2"/>
        <v>6.8837253660293198</v>
      </c>
      <c r="H48" s="90">
        <f t="shared" si="3"/>
        <v>458.90660614160481</v>
      </c>
      <c r="I48" s="90">
        <f t="shared" si="12"/>
        <v>0.45890660614160483</v>
      </c>
      <c r="J48" s="90">
        <f t="shared" si="4"/>
        <v>17.95890797958053</v>
      </c>
      <c r="K48" s="90">
        <f t="shared" si="13"/>
        <v>0.1795890797958053</v>
      </c>
      <c r="L48" s="90">
        <f t="shared" si="5"/>
        <v>74.649787068853627</v>
      </c>
      <c r="M48" s="90">
        <f t="shared" si="14"/>
        <v>0.41566996809455919</v>
      </c>
      <c r="N48" s="91">
        <f t="shared" si="15"/>
        <v>0.16266880029575984</v>
      </c>
      <c r="P48" s="86">
        <f t="shared" si="6"/>
        <v>95.510204081632594</v>
      </c>
      <c r="Q48" s="47">
        <f t="shared" si="7"/>
        <v>6.8837253660293198</v>
      </c>
      <c r="R48" s="87">
        <f t="shared" si="16"/>
        <v>0.17958907979580499</v>
      </c>
      <c r="S48" s="47">
        <f t="shared" si="8"/>
        <v>0.45890660614160483</v>
      </c>
      <c r="T48" s="88">
        <f t="shared" si="9"/>
        <v>6.8837253660293198</v>
      </c>
      <c r="U48" s="88">
        <f t="shared" si="10"/>
        <v>458.90660614160481</v>
      </c>
      <c r="V48" s="88">
        <f t="shared" si="11"/>
        <v>17.95890797958053</v>
      </c>
    </row>
    <row r="49" spans="1:22" x14ac:dyDescent="0.2">
      <c r="A49" s="80">
        <v>8</v>
      </c>
      <c r="B49" s="81">
        <v>111.428571428571</v>
      </c>
      <c r="C49" s="82">
        <v>6.84473969811184</v>
      </c>
      <c r="D49" s="82">
        <v>0.20228741981652301</v>
      </c>
      <c r="E49" s="75">
        <v>0.42767263630942498</v>
      </c>
      <c r="G49" s="89">
        <f t="shared" si="2"/>
        <v>6.8447396981118471</v>
      </c>
      <c r="H49" s="90">
        <f t="shared" si="3"/>
        <v>463.0816169687194</v>
      </c>
      <c r="I49" s="90">
        <f t="shared" si="12"/>
        <v>0.46308161696871941</v>
      </c>
      <c r="J49" s="90">
        <f t="shared" si="4"/>
        <v>20.22874198165232</v>
      </c>
      <c r="K49" s="90">
        <f t="shared" si="13"/>
        <v>0.20228741981652321</v>
      </c>
      <c r="L49" s="90">
        <f t="shared" si="5"/>
        <v>86.59817993057537</v>
      </c>
      <c r="M49" s="90">
        <f t="shared" si="14"/>
        <v>0.42809473772081735</v>
      </c>
      <c r="N49" s="91">
        <f t="shared" si="15"/>
        <v>0.18700414086276496</v>
      </c>
      <c r="P49" s="86">
        <f t="shared" si="6"/>
        <v>111.42857142857102</v>
      </c>
      <c r="Q49" s="47">
        <f t="shared" si="7"/>
        <v>6.84473969811184</v>
      </c>
      <c r="R49" s="87">
        <f t="shared" si="16"/>
        <v>0.20228741981652301</v>
      </c>
      <c r="S49" s="47">
        <f t="shared" si="8"/>
        <v>0.46308161696871941</v>
      </c>
      <c r="T49" s="88">
        <f t="shared" si="9"/>
        <v>6.8447396981118462</v>
      </c>
      <c r="U49" s="88">
        <f t="shared" si="10"/>
        <v>463.08161696871952</v>
      </c>
      <c r="V49" s="88">
        <f t="shared" si="11"/>
        <v>20.228741981652323</v>
      </c>
    </row>
    <row r="50" spans="1:22" x14ac:dyDescent="0.2">
      <c r="A50" s="80">
        <v>9</v>
      </c>
      <c r="B50" s="81">
        <v>127.34693877551</v>
      </c>
      <c r="C50" s="82">
        <v>6.8030440360558</v>
      </c>
      <c r="D50" s="82">
        <v>0.22354401054015499</v>
      </c>
      <c r="E50" s="75">
        <v>0.43959788359262902</v>
      </c>
      <c r="G50" s="89">
        <f t="shared" si="2"/>
        <v>6.8030440360558044</v>
      </c>
      <c r="H50" s="90">
        <f t="shared" si="3"/>
        <v>466.07891365757172</v>
      </c>
      <c r="I50" s="90">
        <f t="shared" si="12"/>
        <v>0.4660789136575717</v>
      </c>
      <c r="J50" s="90">
        <f t="shared" si="4"/>
        <v>22.354401054015522</v>
      </c>
      <c r="K50" s="90">
        <f t="shared" si="13"/>
        <v>0.22354401054015521</v>
      </c>
      <c r="L50" s="90">
        <f t="shared" si="5"/>
        <v>98.366463256031139</v>
      </c>
      <c r="M50" s="90">
        <f t="shared" si="14"/>
        <v>0.44003175490296381</v>
      </c>
      <c r="N50" s="91">
        <f t="shared" si="15"/>
        <v>0.21105109107832543</v>
      </c>
      <c r="P50" s="86">
        <f t="shared" si="6"/>
        <v>127.34693877550998</v>
      </c>
      <c r="Q50" s="47">
        <f t="shared" si="7"/>
        <v>6.8030440360558</v>
      </c>
      <c r="R50" s="87">
        <f t="shared" si="16"/>
        <v>0.22354401054015499</v>
      </c>
      <c r="S50" s="47">
        <f t="shared" si="8"/>
        <v>0.4660789136575717</v>
      </c>
      <c r="T50" s="88">
        <f t="shared" si="9"/>
        <v>6.8030440360558035</v>
      </c>
      <c r="U50" s="88">
        <f t="shared" si="10"/>
        <v>466.07891365757177</v>
      </c>
      <c r="V50" s="88">
        <f t="shared" si="11"/>
        <v>22.354401054015515</v>
      </c>
    </row>
    <row r="51" spans="1:22" x14ac:dyDescent="0.2">
      <c r="A51" s="80">
        <v>10</v>
      </c>
      <c r="B51" s="81">
        <v>143.26530612244801</v>
      </c>
      <c r="C51" s="82">
        <v>6.7564808677891497</v>
      </c>
      <c r="D51" s="82">
        <v>0.24361811049228599</v>
      </c>
      <c r="E51" s="75">
        <v>0.45069096539564502</v>
      </c>
      <c r="G51" s="89">
        <f t="shared" si="2"/>
        <v>6.7564808677891532</v>
      </c>
      <c r="H51" s="90">
        <f t="shared" si="3"/>
        <v>468.08243208288718</v>
      </c>
      <c r="I51" s="90">
        <f t="shared" si="12"/>
        <v>0.46808243208288719</v>
      </c>
      <c r="J51" s="90">
        <f t="shared" si="4"/>
        <v>24.361811049228532</v>
      </c>
      <c r="K51" s="90">
        <f t="shared" si="13"/>
        <v>0.24361811049228532</v>
      </c>
      <c r="L51" s="90">
        <f t="shared" si="5"/>
        <v>109.90484758535008</v>
      </c>
      <c r="M51" s="90">
        <f t="shared" si="14"/>
        <v>0.45113578527993076</v>
      </c>
      <c r="N51" s="91">
        <f t="shared" si="15"/>
        <v>0.23479806130790298</v>
      </c>
      <c r="P51" s="86">
        <f t="shared" si="6"/>
        <v>143.26530612244801</v>
      </c>
      <c r="Q51" s="47">
        <f t="shared" si="7"/>
        <v>6.7564808677891497</v>
      </c>
      <c r="R51" s="87">
        <f t="shared" si="16"/>
        <v>0.24361811049228599</v>
      </c>
      <c r="S51" s="47">
        <f t="shared" si="8"/>
        <v>0.46808243208288719</v>
      </c>
      <c r="T51" s="88">
        <f t="shared" si="9"/>
        <v>6.7564808677891532</v>
      </c>
      <c r="U51" s="88">
        <f t="shared" si="10"/>
        <v>468.08243208288718</v>
      </c>
      <c r="V51" s="88">
        <f t="shared" si="11"/>
        <v>24.361811049228532</v>
      </c>
    </row>
    <row r="52" spans="1:22" x14ac:dyDescent="0.2">
      <c r="A52" s="80">
        <v>11</v>
      </c>
      <c r="B52" s="81">
        <v>159.183673469387</v>
      </c>
      <c r="C52" s="82">
        <v>6.7035863992049398</v>
      </c>
      <c r="D52" s="82">
        <v>0.26274427647132897</v>
      </c>
      <c r="E52" s="75">
        <v>0.46067994766597198</v>
      </c>
      <c r="G52" s="89">
        <f t="shared" si="2"/>
        <v>6.7035863992049443</v>
      </c>
      <c r="H52" s="90">
        <f t="shared" si="3"/>
        <v>469.26444662264038</v>
      </c>
      <c r="I52" s="90">
        <f t="shared" si="12"/>
        <v>0.46926444662264039</v>
      </c>
      <c r="J52" s="90">
        <f t="shared" si="4"/>
        <v>26.274427647132864</v>
      </c>
      <c r="K52" s="90">
        <f t="shared" si="13"/>
        <v>0.26274427647132864</v>
      </c>
      <c r="L52" s="90">
        <f t="shared" si="5"/>
        <v>121.16048377134382</v>
      </c>
      <c r="M52" s="90">
        <f t="shared" si="14"/>
        <v>0.46113462640760955</v>
      </c>
      <c r="N52" s="91">
        <f t="shared" si="15"/>
        <v>0.25819233620478216</v>
      </c>
      <c r="P52" s="86">
        <f t="shared" si="6"/>
        <v>159.183673469387</v>
      </c>
      <c r="Q52" s="47">
        <f t="shared" si="7"/>
        <v>6.7035863992049398</v>
      </c>
      <c r="R52" s="87">
        <f t="shared" si="16"/>
        <v>0.26274427647132897</v>
      </c>
      <c r="S52" s="47">
        <f t="shared" si="8"/>
        <v>0.46926444662264039</v>
      </c>
      <c r="T52" s="88">
        <f t="shared" si="9"/>
        <v>6.7035863992049443</v>
      </c>
      <c r="U52" s="88">
        <f t="shared" si="10"/>
        <v>469.26444662264038</v>
      </c>
      <c r="V52" s="88">
        <f t="shared" si="11"/>
        <v>26.274427647132864</v>
      </c>
    </row>
    <row r="53" spans="1:22" x14ac:dyDescent="0.2">
      <c r="A53" s="80">
        <v>12</v>
      </c>
      <c r="B53" s="81">
        <v>175.102040816326</v>
      </c>
      <c r="C53" s="82">
        <v>6.6435046450022499</v>
      </c>
      <c r="D53" s="82">
        <v>0.281132363548523</v>
      </c>
      <c r="E53" s="75">
        <v>0.46935823954221101</v>
      </c>
      <c r="G53" s="89">
        <f t="shared" si="2"/>
        <v>6.6435046450022623</v>
      </c>
      <c r="H53" s="90">
        <f t="shared" si="3"/>
        <v>469.7855701580533</v>
      </c>
      <c r="I53" s="90">
        <f t="shared" si="12"/>
        <v>0.46978557015805328</v>
      </c>
      <c r="J53" s="90">
        <f t="shared" si="4"/>
        <v>28.113236354852297</v>
      </c>
      <c r="K53" s="90">
        <f t="shared" si="13"/>
        <v>0.281132363548523</v>
      </c>
      <c r="L53" s="90">
        <f t="shared" si="5"/>
        <v>132.08202410924713</v>
      </c>
      <c r="M53" s="90">
        <f t="shared" si="14"/>
        <v>0.46982148352496589</v>
      </c>
      <c r="N53" s="91">
        <f t="shared" si="15"/>
        <v>0.28115385507649765</v>
      </c>
      <c r="P53" s="86">
        <f t="shared" si="6"/>
        <v>175.102040816326</v>
      </c>
      <c r="Q53" s="47">
        <f t="shared" si="7"/>
        <v>6.6435046450022499</v>
      </c>
      <c r="R53" s="87">
        <f t="shared" si="16"/>
        <v>0.281132363548523</v>
      </c>
      <c r="S53" s="47">
        <f t="shared" si="8"/>
        <v>0.46978557015805328</v>
      </c>
      <c r="T53" s="88">
        <f t="shared" si="9"/>
        <v>6.6435046450022623</v>
      </c>
      <c r="U53" s="88">
        <f t="shared" si="10"/>
        <v>469.7855701580533</v>
      </c>
      <c r="V53" s="88">
        <f t="shared" si="11"/>
        <v>28.113236354852297</v>
      </c>
    </row>
    <row r="54" spans="1:22" x14ac:dyDescent="0.2">
      <c r="A54" s="80">
        <v>13</v>
      </c>
      <c r="B54" s="81">
        <v>191.02040816326499</v>
      </c>
      <c r="C54" s="82">
        <v>6.5759049561951803</v>
      </c>
      <c r="D54" s="82">
        <v>0.298967525067934</v>
      </c>
      <c r="E54" s="75">
        <v>0.47658253095943198</v>
      </c>
      <c r="G54" s="89">
        <f t="shared" si="2"/>
        <v>6.5759049561951883</v>
      </c>
      <c r="H54" s="90">
        <f t="shared" si="3"/>
        <v>469.79475407359644</v>
      </c>
      <c r="I54" s="90">
        <f t="shared" si="12"/>
        <v>0.46979475407359644</v>
      </c>
      <c r="J54" s="90">
        <f t="shared" si="4"/>
        <v>29.896752506793398</v>
      </c>
      <c r="K54" s="90">
        <f t="shared" si="13"/>
        <v>0.298967525067934</v>
      </c>
      <c r="L54" s="90">
        <f t="shared" si="5"/>
        <v>142.62332637135546</v>
      </c>
      <c r="M54" s="90">
        <f t="shared" si="14"/>
        <v>0.47705290512388376</v>
      </c>
      <c r="N54" s="91">
        <f t="shared" si="15"/>
        <v>0.3035864601183107</v>
      </c>
      <c r="P54" s="86">
        <f t="shared" si="6"/>
        <v>191.02040816326499</v>
      </c>
      <c r="Q54" s="47">
        <f t="shared" si="7"/>
        <v>6.5759049561951803</v>
      </c>
      <c r="R54" s="87">
        <f t="shared" si="16"/>
        <v>0.298967525067934</v>
      </c>
      <c r="S54" s="47">
        <f t="shared" si="8"/>
        <v>0.46979475407359644</v>
      </c>
      <c r="T54" s="88">
        <f t="shared" si="9"/>
        <v>6.5759049561951883</v>
      </c>
      <c r="U54" s="88">
        <f t="shared" si="10"/>
        <v>469.79475407359644</v>
      </c>
      <c r="V54" s="88">
        <f t="shared" si="11"/>
        <v>29.896752506793398</v>
      </c>
    </row>
    <row r="55" spans="1:22" x14ac:dyDescent="0.2">
      <c r="A55" s="80">
        <v>14</v>
      </c>
      <c r="B55" s="81">
        <v>206.93877551020401</v>
      </c>
      <c r="C55" s="82">
        <v>6.5009029842898798</v>
      </c>
      <c r="D55" s="82">
        <v>0.31641021264645403</v>
      </c>
      <c r="E55" s="75">
        <v>0.48227184279172902</v>
      </c>
      <c r="G55" s="89">
        <f t="shared" si="2"/>
        <v>6.5009029842898851</v>
      </c>
      <c r="H55" s="90">
        <f t="shared" si="3"/>
        <v>469.42928825698789</v>
      </c>
      <c r="I55" s="90">
        <f t="shared" si="12"/>
        <v>0.46942928825698788</v>
      </c>
      <c r="J55" s="90">
        <f t="shared" si="4"/>
        <v>31.641021264645396</v>
      </c>
      <c r="K55" s="90">
        <f t="shared" si="13"/>
        <v>0.31641021264645397</v>
      </c>
      <c r="L55" s="90">
        <f t="shared" si="5"/>
        <v>152.74634422653554</v>
      </c>
      <c r="M55" s="90">
        <f t="shared" si="14"/>
        <v>0.48274783215423306</v>
      </c>
      <c r="N55" s="91">
        <f t="shared" si="15"/>
        <v>0.32538733318853963</v>
      </c>
      <c r="P55" s="86">
        <f t="shared" si="6"/>
        <v>206.93877551020398</v>
      </c>
      <c r="Q55" s="47">
        <f t="shared" si="7"/>
        <v>6.5009029842898798</v>
      </c>
      <c r="R55" s="87">
        <f t="shared" si="16"/>
        <v>0.31641021264645403</v>
      </c>
      <c r="S55" s="47">
        <f t="shared" si="8"/>
        <v>0.46942928825698788</v>
      </c>
      <c r="T55" s="88">
        <f t="shared" si="9"/>
        <v>6.5009029842898851</v>
      </c>
      <c r="U55" s="88">
        <f t="shared" si="10"/>
        <v>469.429288256988</v>
      </c>
      <c r="V55" s="88">
        <f t="shared" si="11"/>
        <v>31.641021264645396</v>
      </c>
    </row>
    <row r="56" spans="1:22" x14ac:dyDescent="0.2">
      <c r="A56" s="80">
        <v>15</v>
      </c>
      <c r="B56" s="81">
        <v>222.85714285714201</v>
      </c>
      <c r="C56" s="82">
        <v>6.4189850821297103</v>
      </c>
      <c r="D56" s="82">
        <v>0.333596176173801</v>
      </c>
      <c r="E56" s="75">
        <v>0.48640574980093998</v>
      </c>
      <c r="G56" s="89">
        <f t="shared" si="2"/>
        <v>6.4189850821297192</v>
      </c>
      <c r="H56" s="90">
        <f t="shared" si="3"/>
        <v>468.81480109919448</v>
      </c>
      <c r="I56" s="90">
        <f t="shared" si="12"/>
        <v>0.46881480109919449</v>
      </c>
      <c r="J56" s="90">
        <f t="shared" si="4"/>
        <v>33.359617617380053</v>
      </c>
      <c r="K56" s="90">
        <f t="shared" si="13"/>
        <v>0.33359617617380055</v>
      </c>
      <c r="L56" s="90">
        <f t="shared" si="5"/>
        <v>162.42324752460294</v>
      </c>
      <c r="M56" s="90">
        <f t="shared" si="14"/>
        <v>0.4868858192186889</v>
      </c>
      <c r="N56" s="91">
        <f t="shared" si="15"/>
        <v>0.34645503329626426</v>
      </c>
      <c r="P56" s="86">
        <f t="shared" si="6"/>
        <v>222.85714285714204</v>
      </c>
      <c r="Q56" s="47">
        <f t="shared" si="7"/>
        <v>6.4189850821297103</v>
      </c>
      <c r="R56" s="87">
        <f t="shared" si="16"/>
        <v>0.333596176173801</v>
      </c>
      <c r="S56" s="47">
        <f t="shared" si="8"/>
        <v>0.46881480109919449</v>
      </c>
      <c r="T56" s="88">
        <f t="shared" si="9"/>
        <v>6.4189850821297174</v>
      </c>
      <c r="U56" s="88">
        <f t="shared" si="10"/>
        <v>468.81480109919448</v>
      </c>
      <c r="V56" s="88">
        <f t="shared" si="11"/>
        <v>33.35961761738006</v>
      </c>
    </row>
    <row r="57" spans="1:22" x14ac:dyDescent="0.2">
      <c r="A57" s="80">
        <v>16</v>
      </c>
      <c r="B57" s="81">
        <v>238.775510204081</v>
      </c>
      <c r="C57" s="82">
        <v>6.33093614140844</v>
      </c>
      <c r="D57" s="82">
        <v>0.350636463812521</v>
      </c>
      <c r="E57" s="75">
        <v>0.48902096255093103</v>
      </c>
      <c r="G57" s="89">
        <f t="shared" si="2"/>
        <v>6.3309361414084533</v>
      </c>
      <c r="H57" s="90">
        <f t="shared" si="3"/>
        <v>468.06525949443051</v>
      </c>
      <c r="I57" s="90">
        <f t="shared" si="12"/>
        <v>0.46806525949443051</v>
      </c>
      <c r="J57" s="90">
        <f t="shared" si="4"/>
        <v>35.063646381252106</v>
      </c>
      <c r="K57" s="90">
        <f t="shared" si="13"/>
        <v>0.35063646381252106</v>
      </c>
      <c r="L57" s="90">
        <f t="shared" si="5"/>
        <v>171.63781592555617</v>
      </c>
      <c r="M57" s="90">
        <f t="shared" si="14"/>
        <v>0.48950361311346041</v>
      </c>
      <c r="N57" s="91">
        <f t="shared" si="15"/>
        <v>0.36669633655560474</v>
      </c>
      <c r="P57" s="86">
        <f t="shared" si="6"/>
        <v>238.775510204081</v>
      </c>
      <c r="Q57" s="47">
        <f t="shared" si="7"/>
        <v>6.33093614140844</v>
      </c>
      <c r="R57" s="87">
        <f t="shared" si="16"/>
        <v>0.350636463812521</v>
      </c>
      <c r="S57" s="47">
        <f t="shared" si="8"/>
        <v>0.46806525949443051</v>
      </c>
      <c r="T57" s="88">
        <f t="shared" si="9"/>
        <v>6.3309361414084533</v>
      </c>
      <c r="U57" s="88">
        <f t="shared" si="10"/>
        <v>468.06525949443051</v>
      </c>
      <c r="V57" s="88">
        <f t="shared" si="11"/>
        <v>35.063646381252106</v>
      </c>
    </row>
    <row r="58" spans="1:22" x14ac:dyDescent="0.2">
      <c r="A58" s="80">
        <v>17</v>
      </c>
      <c r="B58" s="81">
        <v>254.69387755101999</v>
      </c>
      <c r="C58" s="82">
        <v>6.2377708668515499</v>
      </c>
      <c r="D58" s="82">
        <v>0.36761742199798703</v>
      </c>
      <c r="E58" s="75">
        <v>0.49020606159239599</v>
      </c>
      <c r="G58" s="89">
        <f t="shared" si="2"/>
        <v>6.2377708668515552</v>
      </c>
      <c r="H58" s="90">
        <f t="shared" si="3"/>
        <v>467.2829688401589</v>
      </c>
      <c r="I58" s="90">
        <f t="shared" si="12"/>
        <v>0.46728296884015891</v>
      </c>
      <c r="J58" s="90">
        <f t="shared" si="4"/>
        <v>36.761742199798647</v>
      </c>
      <c r="K58" s="90">
        <f t="shared" si="13"/>
        <v>0.36761742199798647</v>
      </c>
      <c r="L58" s="90">
        <f t="shared" si="5"/>
        <v>180.38614935364558</v>
      </c>
      <c r="M58" s="90">
        <f t="shared" si="14"/>
        <v>0.4906898818158667</v>
      </c>
      <c r="N58" s="91">
        <f t="shared" si="15"/>
        <v>0.3860319364974531</v>
      </c>
      <c r="P58" s="86">
        <f t="shared" si="6"/>
        <v>254.69387755101997</v>
      </c>
      <c r="Q58" s="47">
        <f t="shared" si="7"/>
        <v>6.2377708668515499</v>
      </c>
      <c r="R58" s="87">
        <f t="shared" si="16"/>
        <v>0.36761742199798703</v>
      </c>
      <c r="S58" s="47">
        <f t="shared" si="8"/>
        <v>0.46728296884015891</v>
      </c>
      <c r="T58" s="88">
        <f t="shared" si="9"/>
        <v>6.2377708668515552</v>
      </c>
      <c r="U58" s="88">
        <f t="shared" si="10"/>
        <v>467.2829688401589</v>
      </c>
      <c r="V58" s="88">
        <f t="shared" si="11"/>
        <v>36.76174219979864</v>
      </c>
    </row>
    <row r="59" spans="1:22" x14ac:dyDescent="0.2">
      <c r="A59" s="80">
        <v>18</v>
      </c>
      <c r="B59" s="81">
        <v>270.61224489795899</v>
      </c>
      <c r="C59" s="82">
        <v>6.1406684870655202</v>
      </c>
      <c r="D59" s="82">
        <v>0.38460069543839498</v>
      </c>
      <c r="E59" s="75">
        <v>0.49009454670124403</v>
      </c>
      <c r="G59" s="89">
        <f t="shared" si="2"/>
        <v>6.1406684870655281</v>
      </c>
      <c r="H59" s="90">
        <f t="shared" si="3"/>
        <v>466.55857303709001</v>
      </c>
      <c r="I59" s="90">
        <f t="shared" si="12"/>
        <v>0.46655857303709003</v>
      </c>
      <c r="J59" s="90">
        <f t="shared" si="4"/>
        <v>38.460069543839495</v>
      </c>
      <c r="K59" s="90">
        <f t="shared" si="13"/>
        <v>0.38460069543839492</v>
      </c>
      <c r="L59" s="90">
        <f t="shared" si="5"/>
        <v>188.67673875627705</v>
      </c>
      <c r="M59" s="90">
        <f t="shared" si="14"/>
        <v>0.49057825686251044</v>
      </c>
      <c r="N59" s="91">
        <f t="shared" si="15"/>
        <v>0.40440096841019318</v>
      </c>
      <c r="P59" s="86">
        <f t="shared" si="6"/>
        <v>270.61224489795899</v>
      </c>
      <c r="Q59" s="47">
        <f t="shared" si="7"/>
        <v>6.1406684870655202</v>
      </c>
      <c r="R59" s="87">
        <f t="shared" si="16"/>
        <v>0.38460069543839498</v>
      </c>
      <c r="S59" s="47">
        <f t="shared" si="8"/>
        <v>0.46655857303709003</v>
      </c>
      <c r="T59" s="88">
        <f t="shared" si="9"/>
        <v>6.1406684870655281</v>
      </c>
      <c r="U59" s="88">
        <f t="shared" si="10"/>
        <v>466.55857303709001</v>
      </c>
      <c r="V59" s="88">
        <f t="shared" si="11"/>
        <v>38.460069543839495</v>
      </c>
    </row>
    <row r="60" spans="1:22" x14ac:dyDescent="0.2">
      <c r="A60" s="80">
        <v>19</v>
      </c>
      <c r="B60" s="81">
        <v>286.53061224489699</v>
      </c>
      <c r="C60" s="82">
        <v>6.04091090205534</v>
      </c>
      <c r="D60" s="82">
        <v>0.401623227114771</v>
      </c>
      <c r="E60" s="75">
        <v>0.48885659212670102</v>
      </c>
      <c r="G60" s="89">
        <f t="shared" si="2"/>
        <v>6.040910902055348</v>
      </c>
      <c r="H60" s="90">
        <f t="shared" si="3"/>
        <v>465.97105448918273</v>
      </c>
      <c r="I60" s="90">
        <f t="shared" si="12"/>
        <v>0.46597105448918275</v>
      </c>
      <c r="J60" s="90">
        <f t="shared" si="4"/>
        <v>40.162322711477074</v>
      </c>
      <c r="K60" s="90">
        <f t="shared" si="13"/>
        <v>0.40162322711477072</v>
      </c>
      <c r="L60" s="90">
        <f t="shared" si="5"/>
        <v>196.52994064773338</v>
      </c>
      <c r="M60" s="90">
        <f t="shared" si="14"/>
        <v>0.48933908046003421</v>
      </c>
      <c r="N60" s="91">
        <f t="shared" si="15"/>
        <v>0.4217642678753466</v>
      </c>
      <c r="P60" s="86">
        <f t="shared" si="6"/>
        <v>286.53061224489699</v>
      </c>
      <c r="Q60" s="47">
        <f t="shared" si="7"/>
        <v>6.04091090205534</v>
      </c>
      <c r="R60" s="87">
        <f t="shared" si="16"/>
        <v>0.401623227114771</v>
      </c>
      <c r="S60" s="47">
        <f t="shared" si="8"/>
        <v>0.46597105448918275</v>
      </c>
      <c r="T60" s="88">
        <f t="shared" si="9"/>
        <v>6.040910902055348</v>
      </c>
      <c r="U60" s="88">
        <f t="shared" si="10"/>
        <v>465.97105448918273</v>
      </c>
      <c r="V60" s="88">
        <f t="shared" si="11"/>
        <v>40.162322711477074</v>
      </c>
    </row>
    <row r="61" spans="1:22" x14ac:dyDescent="0.2">
      <c r="A61" s="80">
        <v>20</v>
      </c>
      <c r="B61" s="81">
        <v>302.44897959183601</v>
      </c>
      <c r="C61" s="82">
        <v>5.9398242674099198</v>
      </c>
      <c r="D61" s="82">
        <v>0.41869725828096699</v>
      </c>
      <c r="E61" s="75">
        <v>0.48669002164476499</v>
      </c>
      <c r="G61" s="89">
        <f t="shared" si="2"/>
        <v>5.9398242674099304</v>
      </c>
      <c r="H61" s="90">
        <f t="shared" si="3"/>
        <v>465.58773410364432</v>
      </c>
      <c r="I61" s="90">
        <f t="shared" si="12"/>
        <v>0.46558773410364435</v>
      </c>
      <c r="J61" s="90">
        <f t="shared" si="4"/>
        <v>41.869725828096691</v>
      </c>
      <c r="K61" s="90">
        <f t="shared" si="13"/>
        <v>0.41869725828096693</v>
      </c>
      <c r="L61" s="90">
        <f t="shared" si="5"/>
        <v>203.97689891770011</v>
      </c>
      <c r="M61" s="90">
        <f t="shared" si="14"/>
        <v>0.48717037163119264</v>
      </c>
      <c r="N61" s="91">
        <f t="shared" si="15"/>
        <v>0.43810625576380174</v>
      </c>
      <c r="P61" s="86">
        <f t="shared" si="6"/>
        <v>302.44897959183601</v>
      </c>
      <c r="Q61" s="47">
        <f t="shared" si="7"/>
        <v>5.9398242674099198</v>
      </c>
      <c r="R61" s="87">
        <f t="shared" si="16"/>
        <v>0.41869725828096699</v>
      </c>
      <c r="S61" s="47">
        <f t="shared" si="8"/>
        <v>0.46558773410364435</v>
      </c>
      <c r="T61" s="88">
        <f t="shared" si="9"/>
        <v>5.9398242674099304</v>
      </c>
      <c r="U61" s="88">
        <f t="shared" si="10"/>
        <v>465.58773410364432</v>
      </c>
      <c r="V61" s="88">
        <f t="shared" si="11"/>
        <v>41.869725828096691</v>
      </c>
    </row>
    <row r="62" spans="1:22" x14ac:dyDescent="0.2">
      <c r="A62" s="80">
        <v>21</v>
      </c>
      <c r="B62" s="81">
        <v>318.36734693877497</v>
      </c>
      <c r="C62" s="82">
        <v>5.8387240151557203</v>
      </c>
      <c r="D62" s="82">
        <v>0.43581032846366102</v>
      </c>
      <c r="E62" s="75">
        <v>0.483811053725826</v>
      </c>
      <c r="G62" s="89">
        <f t="shared" si="2"/>
        <v>5.8387240151557309</v>
      </c>
      <c r="H62" s="90">
        <f t="shared" si="3"/>
        <v>465.46427129092928</v>
      </c>
      <c r="I62" s="90">
        <f t="shared" si="12"/>
        <v>0.46546427129092927</v>
      </c>
      <c r="J62" s="90">
        <f t="shared" si="4"/>
        <v>43.581032846366057</v>
      </c>
      <c r="K62" s="90">
        <f t="shared" si="13"/>
        <v>0.43581032846366058</v>
      </c>
      <c r="L62" s="90">
        <f t="shared" si="5"/>
        <v>211.05795738458266</v>
      </c>
      <c r="M62" s="90">
        <f t="shared" si="14"/>
        <v>0.48428856224820155</v>
      </c>
      <c r="N62" s="91">
        <f t="shared" si="15"/>
        <v>0.45343535562725296</v>
      </c>
      <c r="P62" s="86">
        <f t="shared" si="6"/>
        <v>318.36734693877497</v>
      </c>
      <c r="Q62" s="47">
        <f t="shared" si="7"/>
        <v>5.8387240151557203</v>
      </c>
      <c r="R62" s="87">
        <f t="shared" si="16"/>
        <v>0.43581032846366102</v>
      </c>
      <c r="S62" s="47">
        <f t="shared" si="8"/>
        <v>0.46546427129092927</v>
      </c>
      <c r="T62" s="88">
        <f t="shared" si="9"/>
        <v>5.8387240151557309</v>
      </c>
      <c r="U62" s="88">
        <f t="shared" si="10"/>
        <v>465.46427129092928</v>
      </c>
      <c r="V62" s="88">
        <f t="shared" si="11"/>
        <v>43.581032846366057</v>
      </c>
    </row>
    <row r="63" spans="1:22" x14ac:dyDescent="0.2">
      <c r="A63" s="80">
        <v>22</v>
      </c>
      <c r="B63" s="81">
        <v>334.28571428571399</v>
      </c>
      <c r="C63" s="82">
        <v>5.7388633112783598</v>
      </c>
      <c r="D63" s="82">
        <v>0.452925275462356</v>
      </c>
      <c r="E63" s="75">
        <v>0.48044533446138799</v>
      </c>
      <c r="G63" s="89">
        <f t="shared" si="2"/>
        <v>5.7388633112783669</v>
      </c>
      <c r="H63" s="90">
        <f t="shared" si="3"/>
        <v>465.64466396474126</v>
      </c>
      <c r="I63" s="90">
        <f t="shared" si="12"/>
        <v>0.46564466396474125</v>
      </c>
      <c r="J63" s="90">
        <f t="shared" si="4"/>
        <v>45.29252754623564</v>
      </c>
      <c r="K63" s="90">
        <f t="shared" si="13"/>
        <v>0.45292527546235639</v>
      </c>
      <c r="L63" s="90">
        <f t="shared" si="5"/>
        <v>217.82060657360969</v>
      </c>
      <c r="M63" s="90">
        <f t="shared" si="14"/>
        <v>0.48091952110920172</v>
      </c>
      <c r="N63" s="91">
        <f t="shared" si="15"/>
        <v>0.46778288989499328</v>
      </c>
      <c r="P63" s="86">
        <f t="shared" si="6"/>
        <v>334.28571428571399</v>
      </c>
      <c r="Q63" s="47">
        <f t="shared" si="7"/>
        <v>5.7388633112783598</v>
      </c>
      <c r="R63" s="87">
        <f t="shared" si="16"/>
        <v>0.452925275462356</v>
      </c>
      <c r="S63" s="47">
        <f t="shared" si="8"/>
        <v>0.46564466396474125</v>
      </c>
      <c r="T63" s="88">
        <f t="shared" si="9"/>
        <v>5.7388633112783669</v>
      </c>
      <c r="U63" s="88">
        <f t="shared" si="10"/>
        <v>465.64466396474126</v>
      </c>
      <c r="V63" s="88">
        <f t="shared" si="11"/>
        <v>45.29252754623564</v>
      </c>
    </row>
    <row r="64" spans="1:22" x14ac:dyDescent="0.2">
      <c r="A64" s="80">
        <v>23</v>
      </c>
      <c r="B64" s="81">
        <v>350.20408163265301</v>
      </c>
      <c r="C64" s="82">
        <v>5.6413849499123403</v>
      </c>
      <c r="D64" s="82">
        <v>0.46998023534938499</v>
      </c>
      <c r="E64" s="75">
        <v>0.47681969320055401</v>
      </c>
      <c r="G64" s="89">
        <f t="shared" si="2"/>
        <v>5.6413849499123447</v>
      </c>
      <c r="H64" s="90">
        <f t="shared" si="3"/>
        <v>466.16124854203053</v>
      </c>
      <c r="I64" s="90">
        <f t="shared" si="12"/>
        <v>0.46616124854203056</v>
      </c>
      <c r="J64" s="90">
        <f t="shared" si="4"/>
        <v>46.998023534938532</v>
      </c>
      <c r="K64" s="90">
        <f t="shared" si="13"/>
        <v>0.46998023534938532</v>
      </c>
      <c r="L64" s="90">
        <f t="shared" si="5"/>
        <v>224.31700819970317</v>
      </c>
      <c r="M64" s="90">
        <f t="shared" si="14"/>
        <v>0.47729030143777201</v>
      </c>
      <c r="N64" s="91">
        <f t="shared" si="15"/>
        <v>0.48120046207461203</v>
      </c>
      <c r="P64" s="86">
        <f t="shared" si="6"/>
        <v>350.20408163265301</v>
      </c>
      <c r="Q64" s="47">
        <f t="shared" si="7"/>
        <v>5.6413849499123403</v>
      </c>
      <c r="R64" s="87">
        <f t="shared" si="16"/>
        <v>0.46998023534938499</v>
      </c>
      <c r="S64" s="47">
        <f t="shared" si="8"/>
        <v>0.46616124854203056</v>
      </c>
      <c r="T64" s="88">
        <f t="shared" si="9"/>
        <v>5.6413849499123447</v>
      </c>
      <c r="U64" s="88">
        <f t="shared" si="10"/>
        <v>466.16124854203053</v>
      </c>
      <c r="V64" s="88">
        <f t="shared" si="11"/>
        <v>46.998023534938532</v>
      </c>
    </row>
    <row r="65" spans="1:22" x14ac:dyDescent="0.2">
      <c r="A65" s="80">
        <v>24</v>
      </c>
      <c r="B65" s="81">
        <v>366.12244897959101</v>
      </c>
      <c r="C65" s="82">
        <v>5.5472766841988204</v>
      </c>
      <c r="D65" s="82">
        <v>0.48688864246990399</v>
      </c>
      <c r="E65" s="75">
        <v>0.473154943482755</v>
      </c>
      <c r="G65" s="89">
        <f t="shared" si="2"/>
        <v>5.5472766841988266</v>
      </c>
      <c r="H65" s="90">
        <f t="shared" si="3"/>
        <v>467.03469994299695</v>
      </c>
      <c r="I65" s="90">
        <f t="shared" si="12"/>
        <v>0.46703469994299696</v>
      </c>
      <c r="J65" s="90">
        <f t="shared" si="4"/>
        <v>48.688864246990391</v>
      </c>
      <c r="K65" s="90">
        <f t="shared" si="13"/>
        <v>0.48688864246990393</v>
      </c>
      <c r="L65" s="90">
        <f t="shared" si="5"/>
        <v>230.60114083510635</v>
      </c>
      <c r="M65" s="90">
        <f t="shared" si="14"/>
        <v>0.47362193471037989</v>
      </c>
      <c r="N65" s="91">
        <f t="shared" si="15"/>
        <v>0.49375590478234688</v>
      </c>
      <c r="P65" s="86">
        <f t="shared" si="6"/>
        <v>366.12244897959101</v>
      </c>
      <c r="Q65" s="47">
        <f t="shared" si="7"/>
        <v>5.5472766841988204</v>
      </c>
      <c r="R65" s="87">
        <f t="shared" si="16"/>
        <v>0.48688864246990399</v>
      </c>
      <c r="S65" s="47">
        <f t="shared" si="8"/>
        <v>0.46703469994299696</v>
      </c>
      <c r="T65" s="88">
        <f t="shared" si="9"/>
        <v>5.5472766841988266</v>
      </c>
      <c r="U65" s="88">
        <f t="shared" si="10"/>
        <v>467.03469994299695</v>
      </c>
      <c r="V65" s="88">
        <f t="shared" si="11"/>
        <v>48.688864246990391</v>
      </c>
    </row>
    <row r="66" spans="1:22" x14ac:dyDescent="0.2">
      <c r="A66" s="80">
        <v>25</v>
      </c>
      <c r="B66" s="81">
        <v>382.04081632652998</v>
      </c>
      <c r="C66" s="82">
        <v>5.4573299938114799</v>
      </c>
      <c r="D66" s="82">
        <v>0.503539229441898</v>
      </c>
      <c r="E66" s="75">
        <v>0.46965992908274601</v>
      </c>
      <c r="G66" s="89">
        <f t="shared" si="2"/>
        <v>5.4573299938114799</v>
      </c>
      <c r="H66" s="90">
        <f t="shared" si="3"/>
        <v>468.27403159108775</v>
      </c>
      <c r="I66" s="90">
        <f t="shared" si="12"/>
        <v>0.46827403159108777</v>
      </c>
      <c r="J66" s="90">
        <f t="shared" si="4"/>
        <v>50.353922944189847</v>
      </c>
      <c r="K66" s="90">
        <f t="shared" si="13"/>
        <v>0.50353922944189844</v>
      </c>
      <c r="L66" s="90">
        <f t="shared" si="5"/>
        <v>236.72561024176088</v>
      </c>
      <c r="M66" s="90">
        <f t="shared" si="14"/>
        <v>0.47012347082497929</v>
      </c>
      <c r="N66" s="91">
        <f t="shared" si="15"/>
        <v>0.50552794789286426</v>
      </c>
      <c r="P66" s="86">
        <f t="shared" si="6"/>
        <v>382.04081632652998</v>
      </c>
      <c r="Q66" s="47">
        <f t="shared" si="7"/>
        <v>5.4573299938114799</v>
      </c>
      <c r="R66" s="87">
        <f t="shared" si="16"/>
        <v>0.503539229441898</v>
      </c>
      <c r="S66" s="47">
        <f t="shared" si="8"/>
        <v>0.46827403159108777</v>
      </c>
      <c r="T66" s="88">
        <f t="shared" si="9"/>
        <v>5.4573299938114799</v>
      </c>
      <c r="U66" s="88">
        <f t="shared" si="10"/>
        <v>468.27403159108775</v>
      </c>
      <c r="V66" s="88">
        <f t="shared" si="11"/>
        <v>50.353922944189847</v>
      </c>
    </row>
    <row r="67" spans="1:22" x14ac:dyDescent="0.2">
      <c r="A67" s="80">
        <v>26</v>
      </c>
      <c r="B67" s="81">
        <v>397.959183673469</v>
      </c>
      <c r="C67" s="82">
        <v>5.3721022891504502</v>
      </c>
      <c r="D67" s="82">
        <v>0.51979602715617801</v>
      </c>
      <c r="E67" s="75">
        <v>0.46652689775570699</v>
      </c>
      <c r="G67" s="89">
        <f t="shared" si="2"/>
        <v>5.372102289150452</v>
      </c>
      <c r="H67" s="90">
        <f t="shared" si="3"/>
        <v>469.87659541299814</v>
      </c>
      <c r="I67" s="90">
        <f t="shared" si="12"/>
        <v>0.46987659541299814</v>
      </c>
      <c r="J67" s="90">
        <f t="shared" si="4"/>
        <v>51.979602715617858</v>
      </c>
      <c r="K67" s="90">
        <f t="shared" si="13"/>
        <v>0.51979602715617856</v>
      </c>
      <c r="L67" s="90">
        <f t="shared" si="5"/>
        <v>242.73816784841136</v>
      </c>
      <c r="M67" s="90">
        <f t="shared" si="14"/>
        <v>0.46698734728012448</v>
      </c>
      <c r="N67" s="91">
        <f t="shared" si="15"/>
        <v>0.51659982688658201</v>
      </c>
      <c r="P67" s="86">
        <f t="shared" si="6"/>
        <v>397.959183673469</v>
      </c>
      <c r="Q67" s="47">
        <f t="shared" si="7"/>
        <v>5.3721022891504502</v>
      </c>
      <c r="R67" s="87">
        <f t="shared" si="16"/>
        <v>0.51979602715617801</v>
      </c>
      <c r="S67" s="47">
        <f t="shared" si="8"/>
        <v>0.46987659541299814</v>
      </c>
      <c r="T67" s="88">
        <f t="shared" si="9"/>
        <v>5.372102289150452</v>
      </c>
      <c r="U67" s="88">
        <f t="shared" si="10"/>
        <v>469.87659541299814</v>
      </c>
      <c r="V67" s="88">
        <f t="shared" si="11"/>
        <v>51.979602715617858</v>
      </c>
    </row>
    <row r="68" spans="1:22" x14ac:dyDescent="0.2">
      <c r="A68" s="80">
        <v>27</v>
      </c>
      <c r="B68" s="81">
        <v>413.87755102040802</v>
      </c>
      <c r="C68" s="82">
        <v>5.2918825522043296</v>
      </c>
      <c r="D68" s="82">
        <v>0.53549836477638102</v>
      </c>
      <c r="E68" s="75">
        <v>0.46392818485460902</v>
      </c>
      <c r="G68" s="89">
        <f t="shared" si="2"/>
        <v>5.2918825522043331</v>
      </c>
      <c r="H68" s="90">
        <f t="shared" si="3"/>
        <v>471.82808183867184</v>
      </c>
      <c r="I68" s="90">
        <f t="shared" si="12"/>
        <v>0.47182808183867181</v>
      </c>
      <c r="J68" s="90">
        <f t="shared" si="4"/>
        <v>53.549836477638145</v>
      </c>
      <c r="K68" s="90">
        <f t="shared" si="13"/>
        <v>0.53549836477638146</v>
      </c>
      <c r="L68" s="90">
        <f t="shared" si="5"/>
        <v>248.67798085243859</v>
      </c>
      <c r="M68" s="90">
        <f t="shared" si="14"/>
        <v>0.46438606951915518</v>
      </c>
      <c r="N68" s="91">
        <f t="shared" si="15"/>
        <v>0.52705209889874027</v>
      </c>
      <c r="P68" s="86">
        <f t="shared" si="6"/>
        <v>413.87755102040796</v>
      </c>
      <c r="Q68" s="47">
        <f t="shared" si="7"/>
        <v>5.2918825522043296</v>
      </c>
      <c r="R68" s="87">
        <f t="shared" si="16"/>
        <v>0.53549836477638102</v>
      </c>
      <c r="S68" s="47">
        <f t="shared" si="8"/>
        <v>0.47182808183867181</v>
      </c>
      <c r="T68" s="88">
        <f t="shared" si="9"/>
        <v>5.291882552204326</v>
      </c>
      <c r="U68" s="88">
        <f t="shared" si="10"/>
        <v>471.82808183867201</v>
      </c>
      <c r="V68" s="88">
        <f t="shared" si="11"/>
        <v>53.549836477638166</v>
      </c>
    </row>
    <row r="69" spans="1:22" x14ac:dyDescent="0.2">
      <c r="A69" s="80">
        <v>28</v>
      </c>
      <c r="B69" s="81">
        <v>429.79591836734699</v>
      </c>
      <c r="C69" s="82">
        <v>5.21666041408022</v>
      </c>
      <c r="D69" s="82">
        <v>0.55046086973897002</v>
      </c>
      <c r="E69" s="75">
        <v>0.46201411165399198</v>
      </c>
      <c r="G69" s="89">
        <f t="shared" si="2"/>
        <v>5.21666041408022</v>
      </c>
      <c r="H69" s="90">
        <f t="shared" si="3"/>
        <v>474.10251980130033</v>
      </c>
      <c r="I69" s="90">
        <f t="shared" si="12"/>
        <v>0.47410251980130036</v>
      </c>
      <c r="J69" s="90">
        <f t="shared" si="4"/>
        <v>55.04608697389709</v>
      </c>
      <c r="K69" s="90">
        <f t="shared" si="13"/>
        <v>0.5504608697389709</v>
      </c>
      <c r="L69" s="90">
        <f t="shared" si="5"/>
        <v>254.5716974263969</v>
      </c>
      <c r="M69" s="90">
        <f t="shared" si="14"/>
        <v>0.46247010717967119</v>
      </c>
      <c r="N69" s="91">
        <f t="shared" si="15"/>
        <v>0.53695495550854622</v>
      </c>
      <c r="P69" s="86">
        <f t="shared" si="6"/>
        <v>429.79591836734699</v>
      </c>
      <c r="Q69" s="47">
        <f t="shared" si="7"/>
        <v>5.21666041408022</v>
      </c>
      <c r="R69" s="87">
        <f t="shared" si="16"/>
        <v>0.55046086973897002</v>
      </c>
      <c r="S69" s="47">
        <f t="shared" si="8"/>
        <v>0.47410251980130036</v>
      </c>
      <c r="T69" s="88">
        <f t="shared" si="9"/>
        <v>5.21666041408022</v>
      </c>
      <c r="U69" s="88">
        <f t="shared" si="10"/>
        <v>474.10251980130033</v>
      </c>
      <c r="V69" s="88">
        <f t="shared" si="11"/>
        <v>55.04608697389709</v>
      </c>
    </row>
    <row r="70" spans="1:22" x14ac:dyDescent="0.2">
      <c r="A70" s="80">
        <v>29</v>
      </c>
      <c r="B70" s="81">
        <v>445.71428571428498</v>
      </c>
      <c r="C70" s="82">
        <v>5.1460986692018897</v>
      </c>
      <c r="D70" s="82">
        <v>0.56447346775323703</v>
      </c>
      <c r="E70" s="75">
        <v>0.46091195075157498</v>
      </c>
      <c r="G70" s="89">
        <f t="shared" si="2"/>
        <v>5.1460986692018871</v>
      </c>
      <c r="H70" s="90">
        <f t="shared" si="3"/>
        <v>476.66227673732277</v>
      </c>
      <c r="I70" s="90">
        <f t="shared" si="12"/>
        <v>0.47666227673732275</v>
      </c>
      <c r="J70" s="90">
        <f t="shared" si="4"/>
        <v>56.447346775323645</v>
      </c>
      <c r="K70" s="90">
        <f t="shared" si="13"/>
        <v>0.56447346775323648</v>
      </c>
      <c r="L70" s="90">
        <f t="shared" si="5"/>
        <v>260.4293505092524</v>
      </c>
      <c r="M70" s="90">
        <f t="shared" si="14"/>
        <v>0.46136685847403003</v>
      </c>
      <c r="N70" s="91">
        <f t="shared" si="15"/>
        <v>0.54636031257151241</v>
      </c>
      <c r="P70" s="86">
        <f t="shared" si="6"/>
        <v>445.71428571428498</v>
      </c>
      <c r="Q70" s="47">
        <f t="shared" si="7"/>
        <v>5.1460986692018897</v>
      </c>
      <c r="R70" s="87">
        <f t="shared" si="16"/>
        <v>0.56447346775323703</v>
      </c>
      <c r="S70" s="47">
        <f t="shared" si="8"/>
        <v>0.47666227673732275</v>
      </c>
      <c r="T70" s="88">
        <f t="shared" si="9"/>
        <v>5.1460986692018871</v>
      </c>
      <c r="U70" s="88">
        <f t="shared" si="10"/>
        <v>476.66227673732277</v>
      </c>
      <c r="V70" s="88">
        <f t="shared" si="11"/>
        <v>56.447346775323645</v>
      </c>
    </row>
    <row r="71" spans="1:22" x14ac:dyDescent="0.2">
      <c r="A71" s="80">
        <v>30</v>
      </c>
      <c r="B71" s="81">
        <v>461.632653061224</v>
      </c>
      <c r="C71" s="82">
        <v>5.0795092261760102</v>
      </c>
      <c r="D71" s="82">
        <v>0.57730138280129695</v>
      </c>
      <c r="E71" s="75">
        <v>0.46072578172258799</v>
      </c>
      <c r="G71" s="89">
        <f t="shared" si="2"/>
        <v>5.0795092261759969</v>
      </c>
      <c r="H71" s="90">
        <f t="shared" si="3"/>
        <v>479.45805858642797</v>
      </c>
      <c r="I71" s="90">
        <f t="shared" si="12"/>
        <v>0.47945805858642798</v>
      </c>
      <c r="J71" s="90">
        <f t="shared" si="4"/>
        <v>57.730138280129708</v>
      </c>
      <c r="K71" s="90">
        <f t="shared" si="13"/>
        <v>0.57730138280129706</v>
      </c>
      <c r="L71" s="90">
        <f t="shared" si="5"/>
        <v>266.24014366230944</v>
      </c>
      <c r="M71" s="90">
        <f t="shared" si="14"/>
        <v>0.46118050570120905</v>
      </c>
      <c r="N71" s="91">
        <f t="shared" si="15"/>
        <v>0.55529391756863444</v>
      </c>
      <c r="P71" s="86">
        <f t="shared" si="6"/>
        <v>461.63265306122395</v>
      </c>
      <c r="Q71" s="47">
        <f t="shared" si="7"/>
        <v>5.0795092261760102</v>
      </c>
      <c r="R71" s="87">
        <f t="shared" si="16"/>
        <v>0.57730138280129695</v>
      </c>
      <c r="S71" s="47">
        <f t="shared" si="8"/>
        <v>0.47945805858642798</v>
      </c>
      <c r="T71" s="88">
        <f t="shared" si="9"/>
        <v>5.0795092261760058</v>
      </c>
      <c r="U71" s="88">
        <f t="shared" si="10"/>
        <v>479.45805858642768</v>
      </c>
      <c r="V71" s="88">
        <f t="shared" si="11"/>
        <v>57.730138280129694</v>
      </c>
    </row>
    <row r="72" spans="1:22" x14ac:dyDescent="0.2">
      <c r="A72" s="80">
        <v>31</v>
      </c>
      <c r="B72" s="81">
        <v>477.55102040816303</v>
      </c>
      <c r="C72" s="82">
        <v>5.0158324953264497</v>
      </c>
      <c r="D72" s="82">
        <v>0.58868513713809401</v>
      </c>
      <c r="E72" s="75">
        <v>0.46153705048930799</v>
      </c>
      <c r="G72" s="89">
        <f t="shared" si="2"/>
        <v>5.0158324953264399</v>
      </c>
      <c r="H72" s="90">
        <f t="shared" si="3"/>
        <v>482.42890979155067</v>
      </c>
      <c r="I72" s="90">
        <f t="shared" si="12"/>
        <v>0.48242890979155068</v>
      </c>
      <c r="J72" s="90">
        <f t="shared" si="4"/>
        <v>58.868513713809421</v>
      </c>
      <c r="K72" s="90">
        <f t="shared" si="13"/>
        <v>0.58868513713809423</v>
      </c>
      <c r="L72" s="90">
        <f t="shared" si="5"/>
        <v>271.96816246980524</v>
      </c>
      <c r="M72" s="90">
        <f t="shared" si="14"/>
        <v>0.4619925751684244</v>
      </c>
      <c r="N72" s="91">
        <f t="shared" si="15"/>
        <v>0.56374764644042175</v>
      </c>
      <c r="P72" s="86">
        <f t="shared" si="6"/>
        <v>477.55102040816303</v>
      </c>
      <c r="Q72" s="47">
        <f t="shared" si="7"/>
        <v>5.0158324953264497</v>
      </c>
      <c r="R72" s="87">
        <f t="shared" si="16"/>
        <v>0.58868513713809401</v>
      </c>
      <c r="S72" s="47">
        <f t="shared" si="8"/>
        <v>0.48242890979155068</v>
      </c>
      <c r="T72" s="88">
        <f t="shared" si="9"/>
        <v>5.0158324953264399</v>
      </c>
      <c r="U72" s="88">
        <f t="shared" si="10"/>
        <v>482.42890979155067</v>
      </c>
      <c r="V72" s="88">
        <f t="shared" si="11"/>
        <v>58.868513713809421</v>
      </c>
    </row>
    <row r="73" spans="1:22" x14ac:dyDescent="0.2">
      <c r="A73" s="80">
        <v>32</v>
      </c>
      <c r="B73" s="81">
        <v>493.46938775510199</v>
      </c>
      <c r="C73" s="82">
        <v>4.9536202128965803</v>
      </c>
      <c r="D73" s="82">
        <v>0.59834055129139796</v>
      </c>
      <c r="E73" s="75">
        <v>0.46340565081797103</v>
      </c>
      <c r="G73" s="89">
        <f t="shared" si="2"/>
        <v>4.9536202128965767</v>
      </c>
      <c r="H73" s="90">
        <f t="shared" si="3"/>
        <v>485.50221329887472</v>
      </c>
      <c r="I73" s="90">
        <f t="shared" si="12"/>
        <v>0.48550221329887472</v>
      </c>
      <c r="J73" s="90">
        <f t="shared" si="4"/>
        <v>59.834055129139855</v>
      </c>
      <c r="K73" s="90">
        <f t="shared" si="13"/>
        <v>0.59834055129139851</v>
      </c>
      <c r="L73" s="90">
        <f t="shared" si="5"/>
        <v>277.5480549641685</v>
      </c>
      <c r="M73" s="90">
        <f t="shared" si="14"/>
        <v>0.46386301975544947</v>
      </c>
      <c r="N73" s="91">
        <f t="shared" si="15"/>
        <v>0.57167206937800341</v>
      </c>
      <c r="P73" s="86">
        <f t="shared" si="6"/>
        <v>493.46938775510199</v>
      </c>
      <c r="Q73" s="47">
        <f t="shared" si="7"/>
        <v>4.9536202128965803</v>
      </c>
      <c r="R73" s="87">
        <f t="shared" si="16"/>
        <v>0.59834055129139796</v>
      </c>
      <c r="S73" s="47">
        <f t="shared" si="8"/>
        <v>0.48550221329887472</v>
      </c>
      <c r="T73" s="88">
        <f t="shared" si="9"/>
        <v>4.9536202128965767</v>
      </c>
      <c r="U73" s="88">
        <f t="shared" si="10"/>
        <v>485.50221329887472</v>
      </c>
      <c r="V73" s="88">
        <f t="shared" si="11"/>
        <v>59.834055129139855</v>
      </c>
    </row>
    <row r="74" spans="1:22" x14ac:dyDescent="0.2">
      <c r="A74" s="80">
        <v>33</v>
      </c>
      <c r="B74" s="81">
        <v>509.38775510203999</v>
      </c>
      <c r="C74" s="82">
        <v>4.8910217019197901</v>
      </c>
      <c r="D74" s="82">
        <v>0.60595874406180605</v>
      </c>
      <c r="E74" s="75">
        <v>0.46637136097287701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4.8910217019197813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488.59369055783293</v>
      </c>
      <c r="I74" s="90">
        <f t="shared" si="12"/>
        <v>0.48859369055783292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60.595874406180599</v>
      </c>
      <c r="K74" s="90">
        <f t="shared" si="13"/>
        <v>0.60595874406180594</v>
      </c>
      <c r="L74" s="90">
        <f t="shared" ref="L74:L91" si="20">Подача_пласт_м3_сут*Напор_м*9.81*1000/86400</f>
        <v>282.88072455593192</v>
      </c>
      <c r="M74" s="90">
        <f t="shared" si="14"/>
        <v>0.46683165698666601</v>
      </c>
      <c r="N74" s="91">
        <f t="shared" si="15"/>
        <v>0.57896925405025967</v>
      </c>
      <c r="P74" s="86">
        <f t="shared" ref="P74:P91" si="21">Подача_пласт_м3_сут*f_50_hz/f_nom</f>
        <v>509.38775510203993</v>
      </c>
      <c r="Q74" s="47">
        <f t="shared" ref="Q74:Q91" si="22">Напор_м*(f_50_hz/f_nom)^2</f>
        <v>4.8910217019197901</v>
      </c>
      <c r="R74" s="87">
        <f t="shared" si="16"/>
        <v>0.60595874406180605</v>
      </c>
      <c r="S74" s="47">
        <f t="shared" ref="S74:S91" si="23">I74*(f_50_hz/f_nom)^3</f>
        <v>0.48859369055783292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4.8910217019197848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488.59369055783293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60.595874406180585</v>
      </c>
    </row>
    <row r="75" spans="1:22" x14ac:dyDescent="0.2">
      <c r="A75" s="80">
        <v>34</v>
      </c>
      <c r="B75" s="81">
        <v>525.30612244897895</v>
      </c>
      <c r="C75" s="82">
        <v>4.8257735697579296</v>
      </c>
      <c r="D75" s="82">
        <v>0.61120613252274003</v>
      </c>
      <c r="E75" s="75">
        <v>0.47045548821573302</v>
      </c>
      <c r="G75" s="89">
        <f t="shared" si="17"/>
        <v>4.8257735697579047</v>
      </c>
      <c r="H75" s="90">
        <f t="shared" si="18"/>
        <v>491.6074015211052</v>
      </c>
      <c r="I75" s="90">
        <f t="shared" si="12"/>
        <v>0.49160740152110521</v>
      </c>
      <c r="J75" s="90">
        <f t="shared" si="19"/>
        <v>61.120613252274097</v>
      </c>
      <c r="K75" s="90">
        <f t="shared" si="13"/>
        <v>0.61120613252274092</v>
      </c>
      <c r="L75" s="90">
        <f t="shared" si="20"/>
        <v>287.82907894827838</v>
      </c>
      <c r="M75" s="90">
        <f t="shared" si="14"/>
        <v>0.47091981515347314</v>
      </c>
      <c r="N75" s="91">
        <f t="shared" si="15"/>
        <v>0.58548564984516738</v>
      </c>
      <c r="P75" s="86">
        <f t="shared" si="21"/>
        <v>525.30612244897895</v>
      </c>
      <c r="Q75" s="47">
        <f t="shared" si="22"/>
        <v>4.8257735697579296</v>
      </c>
      <c r="R75" s="87">
        <f t="shared" si="16"/>
        <v>0.61120613252274003</v>
      </c>
      <c r="S75" s="47">
        <f t="shared" si="23"/>
        <v>0.49160740152110521</v>
      </c>
      <c r="T75" s="88">
        <f t="shared" si="24"/>
        <v>4.8257735697579047</v>
      </c>
      <c r="U75" s="88">
        <f t="shared" si="25"/>
        <v>491.6074015211052</v>
      </c>
      <c r="V75" s="88">
        <f t="shared" si="26"/>
        <v>61.120613252274097</v>
      </c>
    </row>
    <row r="76" spans="1:22" x14ac:dyDescent="0.2">
      <c r="A76" s="80">
        <v>35</v>
      </c>
      <c r="B76" s="81">
        <v>541.22448979591798</v>
      </c>
      <c r="C76" s="82">
        <v>4.7551928423079097</v>
      </c>
      <c r="D76" s="82">
        <v>0.61372443202045102</v>
      </c>
      <c r="E76" s="75">
        <v>0.47566259448225401</v>
      </c>
      <c r="G76" s="89">
        <f t="shared" si="17"/>
        <v>4.7551928423078946</v>
      </c>
      <c r="H76" s="90">
        <f t="shared" si="18"/>
        <v>494.43574464461904</v>
      </c>
      <c r="I76" s="90">
        <f t="shared" si="12"/>
        <v>0.49443574464461904</v>
      </c>
      <c r="J76" s="90">
        <f t="shared" si="19"/>
        <v>61.372443202045105</v>
      </c>
      <c r="K76" s="90">
        <f t="shared" si="13"/>
        <v>0.61372443202045102</v>
      </c>
      <c r="L76" s="90">
        <f t="shared" si="20"/>
        <v>292.21387851621216</v>
      </c>
      <c r="M76" s="90">
        <f t="shared" si="14"/>
        <v>0.47613206069409791</v>
      </c>
      <c r="N76" s="91">
        <f t="shared" si="15"/>
        <v>0.5910047598323297</v>
      </c>
      <c r="P76" s="86">
        <f t="shared" si="21"/>
        <v>541.22448979591798</v>
      </c>
      <c r="Q76" s="47">
        <f t="shared" si="22"/>
        <v>4.7551928423079097</v>
      </c>
      <c r="R76" s="87">
        <f t="shared" si="16"/>
        <v>0.61372443202045102</v>
      </c>
      <c r="S76" s="47">
        <f t="shared" si="23"/>
        <v>0.49443574464461904</v>
      </c>
      <c r="T76" s="88">
        <f t="shared" si="24"/>
        <v>4.7551928423078946</v>
      </c>
      <c r="U76" s="88">
        <f t="shared" si="25"/>
        <v>494.43574464461904</v>
      </c>
      <c r="V76" s="88">
        <f t="shared" si="26"/>
        <v>61.372443202045105</v>
      </c>
    </row>
    <row r="77" spans="1:22" x14ac:dyDescent="0.2">
      <c r="A77" s="80">
        <v>36</v>
      </c>
      <c r="B77" s="81">
        <v>557.142857142857</v>
      </c>
      <c r="C77" s="82">
        <v>4.6761735348763702</v>
      </c>
      <c r="D77" s="82">
        <v>0.61313065617401397</v>
      </c>
      <c r="E77" s="75">
        <v>0.48198219459937403</v>
      </c>
      <c r="G77" s="89">
        <f t="shared" si="17"/>
        <v>4.6761735348763551</v>
      </c>
      <c r="H77" s="90">
        <f t="shared" si="18"/>
        <v>496.95945688755069</v>
      </c>
      <c r="I77" s="90">
        <f t="shared" si="12"/>
        <v>0.49695945688755067</v>
      </c>
      <c r="J77" s="90">
        <f t="shared" si="19"/>
        <v>61.313065617401435</v>
      </c>
      <c r="K77" s="90">
        <f t="shared" si="13"/>
        <v>0.6131306561740143</v>
      </c>
      <c r="L77" s="90">
        <f t="shared" si="20"/>
        <v>295.8097276303489</v>
      </c>
      <c r="M77" s="90">
        <f t="shared" si="14"/>
        <v>0.48245789808688727</v>
      </c>
      <c r="N77" s="91">
        <f t="shared" si="15"/>
        <v>0.59523915589211362</v>
      </c>
      <c r="P77" s="86">
        <f t="shared" si="21"/>
        <v>557.142857142857</v>
      </c>
      <c r="Q77" s="47">
        <f t="shared" si="22"/>
        <v>4.6761735348763702</v>
      </c>
      <c r="R77" s="87">
        <f t="shared" si="16"/>
        <v>0.61313065617401397</v>
      </c>
      <c r="S77" s="47">
        <f t="shared" si="23"/>
        <v>0.49695945688755067</v>
      </c>
      <c r="T77" s="88">
        <f t="shared" si="24"/>
        <v>4.6761735348763551</v>
      </c>
      <c r="U77" s="88">
        <f t="shared" si="25"/>
        <v>496.95945688755069</v>
      </c>
      <c r="V77" s="88">
        <f t="shared" si="26"/>
        <v>61.313065617401435</v>
      </c>
    </row>
    <row r="78" spans="1:22" x14ac:dyDescent="0.2">
      <c r="A78" s="80">
        <v>37</v>
      </c>
      <c r="B78" s="81">
        <v>573.06122448979499</v>
      </c>
      <c r="C78" s="82">
        <v>4.5851866597224298</v>
      </c>
      <c r="D78" s="82">
        <v>0.609017116875332</v>
      </c>
      <c r="E78" s="75">
        <v>0.48939033020880801</v>
      </c>
      <c r="G78" s="89">
        <f t="shared" si="17"/>
        <v>4.5851866597223871</v>
      </c>
      <c r="H78" s="90">
        <f t="shared" si="18"/>
        <v>499.04761371232553</v>
      </c>
      <c r="I78" s="90">
        <f t="shared" si="12"/>
        <v>0.49904761371232553</v>
      </c>
      <c r="J78" s="90">
        <f t="shared" si="19"/>
        <v>60.901711687533293</v>
      </c>
      <c r="K78" s="90">
        <f t="shared" si="13"/>
        <v>0.60901711687533289</v>
      </c>
      <c r="L78" s="90">
        <f t="shared" si="20"/>
        <v>298.34125240530642</v>
      </c>
      <c r="M78" s="90">
        <f t="shared" si="14"/>
        <v>0.48987334532729976</v>
      </c>
      <c r="N78" s="91">
        <f t="shared" si="15"/>
        <v>0.5978212182721393</v>
      </c>
      <c r="P78" s="86">
        <f t="shared" si="21"/>
        <v>573.06122448979499</v>
      </c>
      <c r="Q78" s="47">
        <f t="shared" si="22"/>
        <v>4.5851866597224298</v>
      </c>
      <c r="R78" s="87">
        <f t="shared" si="16"/>
        <v>0.609017116875332</v>
      </c>
      <c r="S78" s="47">
        <f t="shared" si="23"/>
        <v>0.49904761371232553</v>
      </c>
      <c r="T78" s="88">
        <f t="shared" si="24"/>
        <v>4.5851866597223871</v>
      </c>
      <c r="U78" s="88">
        <f t="shared" si="25"/>
        <v>499.04761371232553</v>
      </c>
      <c r="V78" s="88">
        <f t="shared" si="26"/>
        <v>60.901711687533293</v>
      </c>
    </row>
    <row r="79" spans="1:22" x14ac:dyDescent="0.2">
      <c r="A79" s="80">
        <v>38</v>
      </c>
      <c r="B79" s="81">
        <v>588.97959183673402</v>
      </c>
      <c r="C79" s="82">
        <v>4.4782836702683397</v>
      </c>
      <c r="D79" s="82">
        <v>0.60095142428913295</v>
      </c>
      <c r="E79" s="75">
        <v>0.49785092349410298</v>
      </c>
      <c r="G79" s="89">
        <f t="shared" si="17"/>
        <v>4.4782836702683344</v>
      </c>
      <c r="H79" s="90">
        <f t="shared" si="18"/>
        <v>500.55762908461497</v>
      </c>
      <c r="I79" s="90">
        <f t="shared" si="12"/>
        <v>0.50055762908461499</v>
      </c>
      <c r="J79" s="90">
        <f t="shared" si="19"/>
        <v>60.095142428913391</v>
      </c>
      <c r="K79" s="90">
        <f t="shared" si="13"/>
        <v>0.60095142428913395</v>
      </c>
      <c r="L79" s="90">
        <f t="shared" si="20"/>
        <v>299.4795083526767</v>
      </c>
      <c r="M79" s="90">
        <f t="shared" si="14"/>
        <v>0.49834228899104671</v>
      </c>
      <c r="N79" s="91">
        <f t="shared" si="15"/>
        <v>0.59829176692470765</v>
      </c>
      <c r="P79" s="86">
        <f t="shared" si="21"/>
        <v>588.97959183673402</v>
      </c>
      <c r="Q79" s="47">
        <f t="shared" si="22"/>
        <v>4.4782836702683397</v>
      </c>
      <c r="R79" s="87">
        <f t="shared" si="16"/>
        <v>0.60095142428913295</v>
      </c>
      <c r="S79" s="47">
        <f t="shared" si="23"/>
        <v>0.50055762908461499</v>
      </c>
      <c r="T79" s="88">
        <f t="shared" si="24"/>
        <v>4.4782836702683344</v>
      </c>
      <c r="U79" s="88">
        <f t="shared" si="25"/>
        <v>500.55762908461497</v>
      </c>
      <c r="V79" s="88">
        <f t="shared" si="26"/>
        <v>60.095142428913391</v>
      </c>
    </row>
    <row r="80" spans="1:22" x14ac:dyDescent="0.2">
      <c r="A80" s="80">
        <v>39</v>
      </c>
      <c r="B80" s="81">
        <v>604.89795918367304</v>
      </c>
      <c r="C80" s="82">
        <v>4.3511033419786198</v>
      </c>
      <c r="D80" s="82">
        <v>0.58847648685297504</v>
      </c>
      <c r="E80" s="75">
        <v>0.50731679713318201</v>
      </c>
      <c r="G80" s="89">
        <f t="shared" si="17"/>
        <v>4.3511033419785754</v>
      </c>
      <c r="H80" s="90">
        <f t="shared" si="18"/>
        <v>501.33525547333954</v>
      </c>
      <c r="I80" s="90">
        <f t="shared" si="12"/>
        <v>0.50133525547333957</v>
      </c>
      <c r="J80" s="90">
        <f t="shared" si="19"/>
        <v>58.8476486852976</v>
      </c>
      <c r="K80" s="90">
        <f t="shared" si="13"/>
        <v>0.58847648685297604</v>
      </c>
      <c r="L80" s="90">
        <f t="shared" si="20"/>
        <v>298.83866141859772</v>
      </c>
      <c r="M80" s="90">
        <f t="shared" si="14"/>
        <v>0.50781750519330271</v>
      </c>
      <c r="N80" s="91">
        <f t="shared" si="15"/>
        <v>0.59608547006423251</v>
      </c>
      <c r="P80" s="86">
        <f t="shared" si="21"/>
        <v>604.89795918367304</v>
      </c>
      <c r="Q80" s="47">
        <f t="shared" si="22"/>
        <v>4.3511033419786198</v>
      </c>
      <c r="R80" s="87">
        <f t="shared" si="16"/>
        <v>0.58847648685297504</v>
      </c>
      <c r="S80" s="47">
        <f t="shared" si="23"/>
        <v>0.50133525547333957</v>
      </c>
      <c r="T80" s="88">
        <f t="shared" si="24"/>
        <v>4.3511033419785754</v>
      </c>
      <c r="U80" s="88">
        <f t="shared" si="25"/>
        <v>501.33525547333954</v>
      </c>
      <c r="V80" s="88">
        <f t="shared" si="26"/>
        <v>58.8476486852976</v>
      </c>
    </row>
    <row r="81" spans="1:22" x14ac:dyDescent="0.2">
      <c r="A81" s="80">
        <v>40</v>
      </c>
      <c r="B81" s="81">
        <v>620.81632653061195</v>
      </c>
      <c r="C81" s="82">
        <v>4.1988820899067001</v>
      </c>
      <c r="D81" s="82">
        <v>0.571110511277239</v>
      </c>
      <c r="E81" s="75">
        <v>0.51773019526555497</v>
      </c>
      <c r="G81" s="89">
        <f t="shared" si="17"/>
        <v>4.1988820899066539</v>
      </c>
      <c r="H81" s="90">
        <f t="shared" si="18"/>
        <v>501.21458385066808</v>
      </c>
      <c r="I81" s="90">
        <f t="shared" si="12"/>
        <v>0.50121458385066808</v>
      </c>
      <c r="J81" s="90">
        <f t="shared" si="19"/>
        <v>57.111051127723925</v>
      </c>
      <c r="K81" s="90">
        <f t="shared" si="13"/>
        <v>0.57111051127723922</v>
      </c>
      <c r="L81" s="90">
        <f t="shared" si="20"/>
        <v>295.97298588585954</v>
      </c>
      <c r="M81" s="90">
        <f t="shared" si="14"/>
        <v>0.51824118107009021</v>
      </c>
      <c r="N81" s="91">
        <f t="shared" si="15"/>
        <v>0.59051152025943798</v>
      </c>
      <c r="P81" s="86">
        <f t="shared" si="21"/>
        <v>620.81632653061195</v>
      </c>
      <c r="Q81" s="47">
        <f t="shared" si="22"/>
        <v>4.1988820899067001</v>
      </c>
      <c r="R81" s="87">
        <f t="shared" si="16"/>
        <v>0.571110511277239</v>
      </c>
      <c r="S81" s="47">
        <f t="shared" si="23"/>
        <v>0.50121458385066808</v>
      </c>
      <c r="T81" s="88">
        <f t="shared" si="24"/>
        <v>4.1988820899066539</v>
      </c>
      <c r="U81" s="88">
        <f t="shared" si="25"/>
        <v>501.21458385066808</v>
      </c>
      <c r="V81" s="88">
        <f t="shared" si="26"/>
        <v>57.111051127723925</v>
      </c>
    </row>
    <row r="82" spans="1:22" x14ac:dyDescent="0.2">
      <c r="A82" s="80">
        <v>41</v>
      </c>
      <c r="B82" s="81">
        <v>636.73469387755097</v>
      </c>
      <c r="C82" s="82">
        <v>4.0164677229101304</v>
      </c>
      <c r="D82" s="82">
        <v>0.54834700254513302</v>
      </c>
      <c r="E82" s="75">
        <v>0.529022520941407</v>
      </c>
      <c r="G82" s="89">
        <f t="shared" si="17"/>
        <v>4.0164677229100292</v>
      </c>
      <c r="H82" s="90">
        <f t="shared" si="18"/>
        <v>500.01804369201705</v>
      </c>
      <c r="I82" s="90">
        <f t="shared" si="12"/>
        <v>0.50001804369201708</v>
      </c>
      <c r="J82" s="90">
        <f t="shared" si="19"/>
        <v>54.83470025451345</v>
      </c>
      <c r="K82" s="90">
        <f t="shared" si="13"/>
        <v>0.54834700254513447</v>
      </c>
      <c r="L82" s="90">
        <f t="shared" si="20"/>
        <v>290.37422262059465</v>
      </c>
      <c r="M82" s="90">
        <f t="shared" si="14"/>
        <v>0.52954465196824696</v>
      </c>
      <c r="N82" s="91">
        <f t="shared" si="15"/>
        <v>0.58072748830529963</v>
      </c>
      <c r="P82" s="86">
        <f t="shared" si="21"/>
        <v>636.73469387755097</v>
      </c>
      <c r="Q82" s="47">
        <f t="shared" si="22"/>
        <v>4.0164677229101304</v>
      </c>
      <c r="R82" s="87">
        <f t="shared" si="16"/>
        <v>0.54834700254513302</v>
      </c>
      <c r="S82" s="47">
        <f t="shared" si="23"/>
        <v>0.50001804369201708</v>
      </c>
      <c r="T82" s="88">
        <f t="shared" si="24"/>
        <v>4.0164677229100292</v>
      </c>
      <c r="U82" s="88">
        <f t="shared" si="25"/>
        <v>500.01804369201705</v>
      </c>
      <c r="V82" s="88">
        <f t="shared" si="26"/>
        <v>54.83470025451345</v>
      </c>
    </row>
    <row r="83" spans="1:22" x14ac:dyDescent="0.2">
      <c r="A83" s="80">
        <v>42</v>
      </c>
      <c r="B83" s="81">
        <v>652.65306122448897</v>
      </c>
      <c r="C83" s="82">
        <v>3.7983366345335501</v>
      </c>
      <c r="D83" s="82">
        <v>0.51965476391269405</v>
      </c>
      <c r="E83" s="75">
        <v>0.54111273849567698</v>
      </c>
      <c r="G83" s="89">
        <f t="shared" si="17"/>
        <v>3.7983366345335163</v>
      </c>
      <c r="H83" s="90">
        <f t="shared" si="18"/>
        <v>497.556402976051</v>
      </c>
      <c r="I83" s="90">
        <f t="shared" si="12"/>
        <v>0.49755640297605103</v>
      </c>
      <c r="J83" s="90">
        <f t="shared" si="19"/>
        <v>51.965476391269647</v>
      </c>
      <c r="K83" s="90">
        <f t="shared" si="13"/>
        <v>0.51965476391269649</v>
      </c>
      <c r="L83" s="90">
        <f t="shared" si="20"/>
        <v>281.46934114348898</v>
      </c>
      <c r="M83" s="90">
        <f t="shared" si="14"/>
        <v>0.54164680224268402</v>
      </c>
      <c r="N83" s="91">
        <f t="shared" si="15"/>
        <v>0.56570338450058499</v>
      </c>
      <c r="P83" s="86">
        <f t="shared" si="21"/>
        <v>652.65306122448897</v>
      </c>
      <c r="Q83" s="47">
        <f t="shared" si="22"/>
        <v>3.7983366345335501</v>
      </c>
      <c r="R83" s="87">
        <f t="shared" si="16"/>
        <v>0.51965476391269405</v>
      </c>
      <c r="S83" s="47">
        <f t="shared" si="23"/>
        <v>0.49755640297605103</v>
      </c>
      <c r="T83" s="88">
        <f t="shared" si="24"/>
        <v>3.7983366345335163</v>
      </c>
      <c r="U83" s="88">
        <f t="shared" si="25"/>
        <v>497.556402976051</v>
      </c>
      <c r="V83" s="88">
        <f t="shared" si="26"/>
        <v>51.965476391269647</v>
      </c>
    </row>
    <row r="84" spans="1:22" x14ac:dyDescent="0.2">
      <c r="A84" s="80">
        <v>43</v>
      </c>
      <c r="B84" s="81">
        <v>668.57142857142799</v>
      </c>
      <c r="C84" s="82">
        <v>3.53861443056004</v>
      </c>
      <c r="D84" s="82">
        <v>0.48447789690878401</v>
      </c>
      <c r="E84" s="75">
        <v>0.55390326913005405</v>
      </c>
      <c r="G84" s="89">
        <f t="shared" si="17"/>
        <v>3.5386144305599743</v>
      </c>
      <c r="H84" s="90">
        <f t="shared" si="18"/>
        <v>493.62876818468408</v>
      </c>
      <c r="I84" s="90">
        <f t="shared" si="12"/>
        <v>0.4936287681846841</v>
      </c>
      <c r="J84" s="90">
        <f t="shared" si="19"/>
        <v>48.447789690878494</v>
      </c>
      <c r="K84" s="90">
        <f t="shared" si="13"/>
        <v>0.48447789690878496</v>
      </c>
      <c r="L84" s="90">
        <f t="shared" si="20"/>
        <v>268.61874900554852</v>
      </c>
      <c r="M84" s="90">
        <f t="shared" si="14"/>
        <v>0.55444995678744602</v>
      </c>
      <c r="N84" s="91">
        <f t="shared" si="15"/>
        <v>0.54417158463715931</v>
      </c>
      <c r="P84" s="86">
        <f t="shared" si="21"/>
        <v>668.57142857142799</v>
      </c>
      <c r="Q84" s="47">
        <f t="shared" si="22"/>
        <v>3.53861443056004</v>
      </c>
      <c r="R84" s="87">
        <f t="shared" si="16"/>
        <v>0.48447789690878401</v>
      </c>
      <c r="S84" s="47">
        <f t="shared" si="23"/>
        <v>0.4936287681846841</v>
      </c>
      <c r="T84" s="88">
        <f t="shared" si="24"/>
        <v>3.5386144305599743</v>
      </c>
      <c r="U84" s="88">
        <f t="shared" si="25"/>
        <v>493.62876818468408</v>
      </c>
      <c r="V84" s="88">
        <f t="shared" si="26"/>
        <v>48.447789690878494</v>
      </c>
    </row>
    <row r="85" spans="1:22" x14ac:dyDescent="0.2">
      <c r="A85" s="80">
        <v>44</v>
      </c>
      <c r="B85" s="81">
        <v>684.48979591836701</v>
      </c>
      <c r="C85" s="82">
        <v>3.2310999932300901</v>
      </c>
      <c r="D85" s="82">
        <v>0.442235801335087</v>
      </c>
      <c r="E85" s="75">
        <v>0.56727065472521299</v>
      </c>
      <c r="G85" s="89">
        <f t="shared" si="17"/>
        <v>3.2310999932300213</v>
      </c>
      <c r="H85" s="90">
        <f t="shared" si="18"/>
        <v>488.02258430307415</v>
      </c>
      <c r="I85" s="90">
        <f t="shared" si="12"/>
        <v>0.48802258430307416</v>
      </c>
      <c r="J85" s="90">
        <f t="shared" si="19"/>
        <v>44.22358013350896</v>
      </c>
      <c r="K85" s="90">
        <f t="shared" si="13"/>
        <v>0.44223580133508961</v>
      </c>
      <c r="L85" s="90">
        <f t="shared" si="20"/>
        <v>251.11499194834502</v>
      </c>
      <c r="M85" s="90">
        <f t="shared" si="14"/>
        <v>0.56783053563334396</v>
      </c>
      <c r="N85" s="91">
        <f t="shared" si="15"/>
        <v>0.51455608823299126</v>
      </c>
      <c r="P85" s="86">
        <f t="shared" si="21"/>
        <v>684.48979591836701</v>
      </c>
      <c r="Q85" s="47">
        <f t="shared" si="22"/>
        <v>3.2310999932300901</v>
      </c>
      <c r="R85" s="87">
        <f t="shared" si="16"/>
        <v>0.442235801335087</v>
      </c>
      <c r="S85" s="47">
        <f t="shared" si="23"/>
        <v>0.48802258430307416</v>
      </c>
      <c r="T85" s="88">
        <f t="shared" si="24"/>
        <v>3.2310999932300213</v>
      </c>
      <c r="U85" s="88">
        <f t="shared" si="25"/>
        <v>488.02258430307415</v>
      </c>
      <c r="V85" s="88">
        <f t="shared" si="26"/>
        <v>44.22358013350896</v>
      </c>
    </row>
    <row r="86" spans="1:22" x14ac:dyDescent="0.2">
      <c r="A86" s="80">
        <v>45</v>
      </c>
      <c r="B86" s="81">
        <v>700.40816326530603</v>
      </c>
      <c r="C86" s="82">
        <v>2.86929298212916</v>
      </c>
      <c r="D86" s="82">
        <v>0.39232317526612498</v>
      </c>
      <c r="E86" s="75">
        <v>0.58104393331770299</v>
      </c>
      <c r="G86" s="89">
        <f t="shared" si="17"/>
        <v>2.8692929821290392</v>
      </c>
      <c r="H86" s="90">
        <f t="shared" si="18"/>
        <v>480.51363481963267</v>
      </c>
      <c r="I86" s="90">
        <f t="shared" si="12"/>
        <v>0.48051363481963266</v>
      </c>
      <c r="J86" s="90">
        <f t="shared" si="19"/>
        <v>39.232317526612576</v>
      </c>
      <c r="K86" s="90">
        <f t="shared" si="13"/>
        <v>0.39232317526612576</v>
      </c>
      <c r="L86" s="90">
        <f t="shared" si="20"/>
        <v>228.18198832881228</v>
      </c>
      <c r="M86" s="90">
        <f t="shared" si="14"/>
        <v>0.58161740808207141</v>
      </c>
      <c r="N86" s="91">
        <f t="shared" si="15"/>
        <v>0.47487099593846799</v>
      </c>
      <c r="P86" s="86">
        <f t="shared" si="21"/>
        <v>700.40816326530603</v>
      </c>
      <c r="Q86" s="47">
        <f t="shared" si="22"/>
        <v>2.86929298212916</v>
      </c>
      <c r="R86" s="87">
        <f t="shared" si="16"/>
        <v>0.39232317526612498</v>
      </c>
      <c r="S86" s="47">
        <f t="shared" si="23"/>
        <v>0.48051363481963266</v>
      </c>
      <c r="T86" s="88">
        <f t="shared" si="24"/>
        <v>2.8692929821290392</v>
      </c>
      <c r="U86" s="88">
        <f t="shared" si="25"/>
        <v>480.51363481963267</v>
      </c>
      <c r="V86" s="88">
        <f t="shared" si="26"/>
        <v>39.232317526612576</v>
      </c>
    </row>
    <row r="87" spans="1:22" x14ac:dyDescent="0.2">
      <c r="A87" s="80">
        <v>46</v>
      </c>
      <c r="B87" s="81">
        <v>716.32653061224403</v>
      </c>
      <c r="C87" s="82">
        <v>2.4464247717426701</v>
      </c>
      <c r="D87" s="82">
        <v>0.33411001504923499</v>
      </c>
      <c r="E87" s="75">
        <v>0.59494969663115504</v>
      </c>
      <c r="G87" s="89">
        <f t="shared" si="17"/>
        <v>2.4464247717426062</v>
      </c>
      <c r="H87" s="90">
        <f t="shared" si="18"/>
        <v>470.86604172601733</v>
      </c>
      <c r="I87" s="90">
        <f t="shared" si="12"/>
        <v>0.47086604172601731</v>
      </c>
      <c r="J87" s="90">
        <f t="shared" si="19"/>
        <v>33.411001504923945</v>
      </c>
      <c r="K87" s="90">
        <f t="shared" si="13"/>
        <v>0.33411001504923943</v>
      </c>
      <c r="L87" s="90">
        <f t="shared" si="20"/>
        <v>198.97484128848365</v>
      </c>
      <c r="M87" s="90">
        <f t="shared" si="14"/>
        <v>0.59553689601061421</v>
      </c>
      <c r="N87" s="91">
        <f t="shared" si="15"/>
        <v>0.42257207710098804</v>
      </c>
      <c r="P87" s="86">
        <f t="shared" si="21"/>
        <v>716.32653061224414</v>
      </c>
      <c r="Q87" s="47">
        <f t="shared" si="22"/>
        <v>2.4464247717426701</v>
      </c>
      <c r="R87" s="87">
        <f t="shared" si="16"/>
        <v>0.33411001504923499</v>
      </c>
      <c r="S87" s="47">
        <f t="shared" si="23"/>
        <v>0.47086604172601731</v>
      </c>
      <c r="T87" s="88">
        <f t="shared" si="24"/>
        <v>2.446424771742592</v>
      </c>
      <c r="U87" s="88">
        <f t="shared" si="25"/>
        <v>470.86604172601733</v>
      </c>
      <c r="V87" s="88">
        <f t="shared" si="26"/>
        <v>33.411001504923775</v>
      </c>
    </row>
    <row r="88" spans="1:22" x14ac:dyDescent="0.2">
      <c r="A88" s="80">
        <v>47</v>
      </c>
      <c r="B88" s="81">
        <v>732.24489795918305</v>
      </c>
      <c r="C88" s="82">
        <v>1.9554928256800099</v>
      </c>
      <c r="D88" s="82">
        <v>0.26694161530458499</v>
      </c>
      <c r="E88" s="75">
        <v>0.60844753566665499</v>
      </c>
      <c r="G88" s="89">
        <f t="shared" si="17"/>
        <v>1.9554928256798902</v>
      </c>
      <c r="H88" s="90">
        <f t="shared" si="18"/>
        <v>458.83226551713096</v>
      </c>
      <c r="I88" s="90">
        <f t="shared" si="12"/>
        <v>0.45883226551713097</v>
      </c>
      <c r="J88" s="90">
        <f t="shared" si="19"/>
        <v>26.694161530458928</v>
      </c>
      <c r="K88" s="90">
        <f t="shared" si="13"/>
        <v>0.26694161530458926</v>
      </c>
      <c r="L88" s="90">
        <f t="shared" si="20"/>
        <v>162.58027214728867</v>
      </c>
      <c r="M88" s="90">
        <f t="shared" si="14"/>
        <v>0.60904805705089915</v>
      </c>
      <c r="N88" s="91">
        <f t="shared" si="15"/>
        <v>0.3543348721652152</v>
      </c>
      <c r="P88" s="86">
        <f t="shared" si="21"/>
        <v>732.24489795918305</v>
      </c>
      <c r="Q88" s="47">
        <f t="shared" si="22"/>
        <v>1.9554928256800099</v>
      </c>
      <c r="R88" s="87">
        <f t="shared" si="16"/>
        <v>0.26694161530458499</v>
      </c>
      <c r="S88" s="47">
        <f t="shared" si="23"/>
        <v>0.45883226551713097</v>
      </c>
      <c r="T88" s="88">
        <f t="shared" si="24"/>
        <v>1.9554928256798902</v>
      </c>
      <c r="U88" s="88">
        <f t="shared" si="25"/>
        <v>458.83226551713096</v>
      </c>
      <c r="V88" s="88">
        <f t="shared" si="26"/>
        <v>26.694161530458928</v>
      </c>
    </row>
    <row r="89" spans="1:22" x14ac:dyDescent="0.2">
      <c r="A89" s="80">
        <v>48</v>
      </c>
      <c r="B89" s="81">
        <v>748.16326530612196</v>
      </c>
      <c r="C89" s="82">
        <v>1.3892985075656401</v>
      </c>
      <c r="D89" s="82">
        <v>0.190138568925171</v>
      </c>
      <c r="E89" s="75">
        <v>0.62008120550069301</v>
      </c>
      <c r="G89" s="89">
        <f t="shared" si="17"/>
        <v>1.3892985075654778</v>
      </c>
      <c r="H89" s="90">
        <f t="shared" si="18"/>
        <v>444.15310519112791</v>
      </c>
      <c r="I89" s="90">
        <f t="shared" si="12"/>
        <v>0.44415310519112788</v>
      </c>
      <c r="J89" s="90">
        <f t="shared" si="19"/>
        <v>19.013856892517651</v>
      </c>
      <c r="K89" s="90">
        <f t="shared" si="13"/>
        <v>0.19013856892517653</v>
      </c>
      <c r="L89" s="90">
        <f t="shared" si="20"/>
        <v>118.01771850173981</v>
      </c>
      <c r="M89" s="90">
        <f t="shared" si="14"/>
        <v>0.620693209004756</v>
      </c>
      <c r="N89" s="91">
        <f t="shared" si="15"/>
        <v>0.26571404572518847</v>
      </c>
      <c r="P89" s="86">
        <f t="shared" si="21"/>
        <v>748.16326530612196</v>
      </c>
      <c r="Q89" s="47">
        <f t="shared" si="22"/>
        <v>1.3892985075656401</v>
      </c>
      <c r="R89" s="87">
        <f t="shared" si="16"/>
        <v>0.190138568925171</v>
      </c>
      <c r="S89" s="47">
        <f t="shared" si="23"/>
        <v>0.44415310519112788</v>
      </c>
      <c r="T89" s="88">
        <f t="shared" si="24"/>
        <v>1.3892985075654778</v>
      </c>
      <c r="U89" s="88">
        <f t="shared" si="25"/>
        <v>444.15310519112791</v>
      </c>
      <c r="V89" s="88">
        <f t="shared" si="26"/>
        <v>19.013856892517651</v>
      </c>
    </row>
    <row r="90" spans="1:22" x14ac:dyDescent="0.2">
      <c r="A90" s="80">
        <v>49</v>
      </c>
      <c r="B90" s="81">
        <v>764.08163265306098</v>
      </c>
      <c r="C90" s="82">
        <v>0.74048832859858005</v>
      </c>
      <c r="D90" s="82">
        <v>0.102996767076815</v>
      </c>
      <c r="E90" s="75">
        <v>0.62310498246220403</v>
      </c>
      <c r="G90" s="89">
        <f t="shared" si="17"/>
        <v>0.74048832859837432</v>
      </c>
      <c r="H90" s="90">
        <f t="shared" si="18"/>
        <v>426.55769824940899</v>
      </c>
      <c r="I90" s="90">
        <f t="shared" si="12"/>
        <v>0.42655769824940898</v>
      </c>
      <c r="J90" s="90">
        <f t="shared" si="19"/>
        <v>10.299676707681783</v>
      </c>
      <c r="K90" s="90">
        <f t="shared" si="13"/>
        <v>0.10299676707681783</v>
      </c>
      <c r="L90" s="90">
        <f t="shared" si="20"/>
        <v>64.241140507603333</v>
      </c>
      <c r="M90" s="90">
        <f t="shared" si="14"/>
        <v>0.6237199703529579</v>
      </c>
      <c r="N90" s="91">
        <f t="shared" si="15"/>
        <v>0.15060363643945171</v>
      </c>
      <c r="P90" s="86">
        <f t="shared" si="21"/>
        <v>764.08163265306098</v>
      </c>
      <c r="Q90" s="47">
        <f t="shared" si="22"/>
        <v>0.74048832859858005</v>
      </c>
      <c r="R90" s="87">
        <f t="shared" si="16"/>
        <v>0.102996767076815</v>
      </c>
      <c r="S90" s="47">
        <f t="shared" si="23"/>
        <v>0.42655769824940898</v>
      </c>
      <c r="T90" s="88">
        <f t="shared" si="24"/>
        <v>0.74048832859837432</v>
      </c>
      <c r="U90" s="88">
        <f t="shared" si="25"/>
        <v>426.55769824940899</v>
      </c>
      <c r="V90" s="88">
        <f t="shared" si="26"/>
        <v>10.299676707681783</v>
      </c>
    </row>
    <row r="91" spans="1:22" x14ac:dyDescent="0.2">
      <c r="A91" s="92">
        <v>50</v>
      </c>
      <c r="B91" s="93">
        <v>780</v>
      </c>
      <c r="C91" s="94">
        <v>1.59863178068064E-3</v>
      </c>
      <c r="D91" s="94">
        <v>4.7873991981646196E-3</v>
      </c>
      <c r="E91" s="78">
        <v>2.95440644279793E-2</v>
      </c>
      <c r="G91" s="95">
        <f t="shared" si="17"/>
        <v>1.5986317804674854E-3</v>
      </c>
      <c r="H91" s="96">
        <f t="shared" si="18"/>
        <v>405.7635206966238</v>
      </c>
      <c r="I91" s="96">
        <f t="shared" si="12"/>
        <v>0.4057635206966238</v>
      </c>
      <c r="J91" s="96">
        <f t="shared" si="19"/>
        <v>0.47873991981646213</v>
      </c>
      <c r="K91" s="96">
        <f t="shared" si="13"/>
        <v>4.7873991981646213E-3</v>
      </c>
      <c r="L91" s="96">
        <f t="shared" si="20"/>
        <v>0.14157882707652916</v>
      </c>
      <c r="M91" s="96">
        <f t="shared" si="14"/>
        <v>2.9573223626474937E-2</v>
      </c>
      <c r="N91" s="97">
        <f t="shared" si="15"/>
        <v>3.489195549995808E-4</v>
      </c>
      <c r="P91" s="86">
        <f t="shared" si="21"/>
        <v>780</v>
      </c>
      <c r="Q91" s="47">
        <f t="shared" si="22"/>
        <v>1.59863178068064E-3</v>
      </c>
      <c r="R91" s="87">
        <f t="shared" si="16"/>
        <v>4.7873991981646196E-3</v>
      </c>
      <c r="S91" s="47">
        <f t="shared" si="23"/>
        <v>0.4057635206966238</v>
      </c>
      <c r="T91" s="88">
        <f t="shared" si="24"/>
        <v>1.5986317804674854E-3</v>
      </c>
      <c r="U91" s="88">
        <f t="shared" si="25"/>
        <v>405.7635206966238</v>
      </c>
      <c r="V91" s="88">
        <f t="shared" si="26"/>
        <v>0.47873991981646213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33D73-348E-4778-8F86-E0B3B49B8932}">
  <sheetPr codeName="Лист17"/>
  <dimension ref="A1:AU91"/>
  <sheetViews>
    <sheetView zoomScale="70" zoomScaleNormal="70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NHV600</v>
      </c>
      <c r="C1" s="64"/>
      <c r="D1" s="64"/>
      <c r="E1" s="65">
        <v>89</v>
      </c>
      <c r="G1" s="64" t="s">
        <v>424</v>
      </c>
      <c r="H1" s="66">
        <f>VLOOKUP(num,'tnav 254'!A1:Q263,7,1)</f>
        <v>80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[0,13.6,27.2,40.8,54.4,68,81.6,95.2,108.8,122.4,136]</v>
      </c>
    </row>
    <row r="2" spans="1:47" x14ac:dyDescent="0.2">
      <c r="A2" s="67" t="s">
        <v>144</v>
      </c>
      <c r="B2" s="68" t="str">
        <f>"ЭЦН"&amp;L1&amp;"-"&amp;H1&amp;"@"&amp;f_nom&amp;"Гц"</f>
        <v>ЭЦН5А-80@50Гц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[0,13.6,27.2,40.8,54.4,68,81.6,95.2,108.8,122.4,136]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7.9019829719999999</v>
      </c>
      <c r="C5" s="73">
        <f>Напор0*(f_50_hz/f_nom)^2</f>
        <v>7.9019829719999999</v>
      </c>
      <c r="R5" s="47">
        <f>S1+num</f>
        <v>2089</v>
      </c>
      <c r="S5" s="47" t="s">
        <v>478</v>
      </c>
      <c r="T5" s="47" t="s">
        <v>479</v>
      </c>
      <c r="U5" s="47" t="str">
        <f>B2</f>
        <v>ЭЦН5А-80@50Гц</v>
      </c>
      <c r="V5" s="47">
        <v>1000</v>
      </c>
      <c r="W5" s="47">
        <f>q_nom</f>
        <v>80</v>
      </c>
      <c r="X5" s="47">
        <f>VLOOKUP(num,'tnav 254'!A1:Q263,10,1)</f>
        <v>60</v>
      </c>
      <c r="Y5" s="47">
        <f>VLOOKUP(num,'tnav 254'!A1:Q263,11,1)</f>
        <v>100</v>
      </c>
      <c r="Z5" s="47">
        <f>VLOOKUP(num,'tnav 254'!A1:Q263,9,1)</f>
        <v>136</v>
      </c>
      <c r="AA5" s="47">
        <f>VLOOKUP(num,'tnav 254'!A1:Q263,15,1)</f>
        <v>2910</v>
      </c>
      <c r="AB5" s="47">
        <f>f_nom</f>
        <v>50</v>
      </c>
      <c r="AC5" s="87">
        <f>MAX(КПД)</f>
        <v>0.55978618276000702</v>
      </c>
      <c r="AE5" s="47" t="str">
        <f>L1</f>
        <v>5А</v>
      </c>
      <c r="AF5" s="47">
        <f>VLOOKUP(num,'tnav 254'!A1:Q263,12,1)*1000</f>
        <v>103</v>
      </c>
      <c r="AQ5" s="98">
        <f>$R$5</f>
        <v>2089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7.9019829719999999</v>
      </c>
      <c r="AT5" s="104" cm="1">
        <f t="array" ref="AT5">[1]!crv_interpolation(Подача_пласт_м3_сут,$I$42:$I$91,AR5,2)</f>
        <v>8.4422268910000001E-2</v>
      </c>
      <c r="AU5" s="105">
        <v>0</v>
      </c>
    </row>
    <row r="6" spans="1:47" x14ac:dyDescent="0.2">
      <c r="A6" s="74" t="s">
        <v>431</v>
      </c>
      <c r="B6" s="75">
        <v>2.3790409950000001E-2</v>
      </c>
      <c r="C6" s="76">
        <f>Напор1/(f_50_hz/f_nom)*(f_50_hz/f_nom)^2</f>
        <v>2.3790409950000001E-2</v>
      </c>
      <c r="R6" s="47">
        <f>T1+num</f>
        <v>3089</v>
      </c>
      <c r="S6" s="47" t="s">
        <v>480</v>
      </c>
      <c r="T6" s="47" t="s">
        <v>481</v>
      </c>
      <c r="U6" s="47" t="str">
        <f>"ЭЦН"&amp;L1&amp;"-"&amp;H1&amp;"@"&amp;f_50_hz&amp;"Гц"</f>
        <v>ЭЦН5А-80@50Гц</v>
      </c>
      <c r="V6" s="47">
        <v>1000</v>
      </c>
      <c r="W6" s="47">
        <f>W5*f_50_hz/f_nom</f>
        <v>80</v>
      </c>
      <c r="X6" s="47">
        <f>X5*f_50_hz/f_nom</f>
        <v>60</v>
      </c>
      <c r="Y6" s="47">
        <f>Y5*f_50_hz/f_nom</f>
        <v>100</v>
      </c>
      <c r="Z6" s="47">
        <f>Z5*f_50_hz/f_nom</f>
        <v>136</v>
      </c>
      <c r="AA6" s="47">
        <f>AA5*f_50_hz/f_nom</f>
        <v>2910</v>
      </c>
      <c r="AB6" s="47">
        <f>f_50_hz</f>
        <v>50</v>
      </c>
      <c r="AC6" s="87">
        <f>AC5</f>
        <v>0.55978618276000702</v>
      </c>
      <c r="AE6" s="47" t="str">
        <f>AE5</f>
        <v>5А</v>
      </c>
      <c r="AF6" s="47">
        <f>AF5</f>
        <v>103</v>
      </c>
      <c r="AQ6" s="100">
        <f t="shared" ref="AQ6:AQ15" si="0">$R$5</f>
        <v>2089</v>
      </c>
      <c r="AR6" s="101">
        <v>13.6</v>
      </c>
      <c r="AS6" s="106" cm="1">
        <f t="array" ref="AS6">[1]!crv_interpolation(Подача_пласт_м3_сут,Напор_м,AR6,2)</f>
        <v>7.9995138700822945</v>
      </c>
      <c r="AT6" s="106" cm="1">
        <f t="array" ref="AT6">[1]!crv_interpolation(Подача_пласт_м3_сут,$I$42:$I$91,AR6,2)</f>
        <v>8.2133783574619659E-2</v>
      </c>
      <c r="AU6" s="107" cm="1">
        <f t="array" ref="AU6">[1]!crv_interpolation(Подача_пласт_м3_сут,КПД,AR6,2)</f>
        <v>0.15006007633736484</v>
      </c>
    </row>
    <row r="7" spans="1:47" x14ac:dyDescent="0.2">
      <c r="A7" s="74" t="s">
        <v>432</v>
      </c>
      <c r="B7" s="75">
        <v>-1.6669271250000001E-3</v>
      </c>
      <c r="C7" s="76">
        <f>Напор2/((f_50_hz/f_nom)^2)*(f_50_hz/f_nom)^2</f>
        <v>-1.6669271250000001E-3</v>
      </c>
      <c r="AQ7" s="100">
        <f t="shared" si="0"/>
        <v>2089</v>
      </c>
      <c r="AR7" s="101">
        <v>27.2</v>
      </c>
      <c r="AS7" s="106" cm="1">
        <f t="array" ref="AS7">[1]!crv_interpolation(Подача_пласт_м3_сут,Напор_м,AR7,2)</f>
        <v>7.8670752168486207</v>
      </c>
      <c r="AT7" s="106" cm="1">
        <f t="array" ref="AT7">[1]!crv_interpolation(Подача_пласт_м3_сут,$I$42:$I$91,AR7,2)</f>
        <v>8.3849711578562913E-2</v>
      </c>
      <c r="AU7" s="107" cm="1">
        <f t="array" ref="AU7">[1]!crv_interpolation(Подача_пласт_м3_сут,КПД,AR7,2)</f>
        <v>0.2906409003597677</v>
      </c>
    </row>
    <row r="8" spans="1:47" x14ac:dyDescent="0.2">
      <c r="A8" s="74" t="s">
        <v>433</v>
      </c>
      <c r="B8" s="75">
        <v>3.9058650999999999E-5</v>
      </c>
      <c r="C8" s="76">
        <f>Напор3/((f_50_hz/f_nom)^3)*(f_50_hz/f_nom)^2</f>
        <v>3.9058650999999999E-5</v>
      </c>
      <c r="AQ8" s="100">
        <f t="shared" si="0"/>
        <v>2089</v>
      </c>
      <c r="AR8" s="101">
        <v>40.799999999999997</v>
      </c>
      <c r="AS8" s="106" cm="1">
        <f t="array" ref="AS8">[1]!crv_interpolation(Подача_пласт_м3_сут,Напор_м,AR8,2)</f>
        <v>7.6611795900245969</v>
      </c>
      <c r="AT8" s="106" cm="1">
        <f t="array" ref="AT8">[1]!crv_interpolation(Подача_пласт_м3_сут,$I$42:$I$91,AR8,2)</f>
        <v>8.8243412187667014E-2</v>
      </c>
      <c r="AU8" s="107" cm="1">
        <f t="array" ref="AU8">[1]!crv_interpolation(Подача_пласт_м3_сут,КПД,AR8,2)</f>
        <v>0.40339115475100196</v>
      </c>
    </row>
    <row r="9" spans="1:47" x14ac:dyDescent="0.2">
      <c r="A9" s="74" t="s">
        <v>434</v>
      </c>
      <c r="B9" s="75">
        <v>-5.0971585499999999E-7</v>
      </c>
      <c r="C9" s="76">
        <f>Напор4/((f_50_hz/f_nom)^4)*(f_50_hz/f_nom)^2</f>
        <v>-5.0971585499999999E-7</v>
      </c>
      <c r="AQ9" s="100">
        <f t="shared" si="0"/>
        <v>2089</v>
      </c>
      <c r="AR9" s="101">
        <v>54.4</v>
      </c>
      <c r="AS9" s="106" cm="1">
        <f t="array" ref="AS9">[1]!crv_interpolation(Подача_пласт_м3_сут,Напор_м,AR9,2)</f>
        <v>7.3943668644096299</v>
      </c>
      <c r="AT9" s="106" cm="1">
        <f t="array" ref="AT9">[1]!crv_interpolation(Подача_пласт_м3_сут,$I$42:$I$91,AR9,2)</f>
        <v>9.4173324019780874E-2</v>
      </c>
      <c r="AU9" s="107" cm="1">
        <f t="array" ref="AU9">[1]!crv_interpolation(Подача_пласт_м3_сут,КПД,AR9,2)</f>
        <v>0.48455887016755328</v>
      </c>
    </row>
    <row r="10" spans="1:47" x14ac:dyDescent="0.2">
      <c r="A10" s="74" t="s">
        <v>435</v>
      </c>
      <c r="B10" s="75">
        <v>3.1988717550000002E-9</v>
      </c>
      <c r="C10" s="76">
        <f>Напор5/((f_50_hz/f_nom)^5)*(f_50_hz/f_nom)^2</f>
        <v>3.1988717550000002E-9</v>
      </c>
      <c r="AQ10" s="100">
        <f t="shared" si="0"/>
        <v>2089</v>
      </c>
      <c r="AR10" s="101">
        <v>68</v>
      </c>
      <c r="AS10" s="106" cm="1">
        <f t="array" ref="AS10">[1]!crv_interpolation(Подача_пласт_м3_сут,Напор_м,AR10,2)</f>
        <v>7.0185859446157108</v>
      </c>
      <c r="AT10" s="106" cm="1">
        <f t="array" ref="AT10">[1]!crv_interpolation(Подача_пласт_м3_сут,$I$42:$I$91,AR10,2)</f>
        <v>0.10068291410173696</v>
      </c>
      <c r="AU10" s="107" cm="1">
        <f t="array" ref="AU10">[1]!crv_interpolation(Подача_пласт_м3_сут,КПД,AR10,2)</f>
        <v>0.53623533945525292</v>
      </c>
    </row>
    <row r="11" spans="1:47" x14ac:dyDescent="0.2">
      <c r="A11" s="74" t="s">
        <v>436</v>
      </c>
      <c r="B11" s="75">
        <v>-8.3655830749999997E-12</v>
      </c>
      <c r="C11" s="76">
        <f>Напор6/((f_50_hz/f_nom)^6)*(f_50_hz/f_nom)^2</f>
        <v>-8.3655830749999997E-12</v>
      </c>
      <c r="AQ11" s="100">
        <f t="shared" si="0"/>
        <v>2089</v>
      </c>
      <c r="AR11" s="101">
        <v>81.599999999999994</v>
      </c>
      <c r="AS11" s="106" cm="1">
        <f t="array" ref="AS11">[1]!crv_interpolation(Подача_пласт_м3_сут,Напор_м,AR11,2)</f>
        <v>6.4704311290095058</v>
      </c>
      <c r="AT11" s="106" cm="1">
        <f t="array" ref="AT11">[1]!crv_interpolation(Подача_пласт_м3_сут,$I$42:$I$91,AR11,2)</f>
        <v>0.10700092229890827</v>
      </c>
      <c r="AU11" s="107" cm="1">
        <f t="array" ref="AU11">[1]!crv_interpolation(Подача_пласт_м3_сут,КПД,AR11,2)</f>
        <v>0.55916506222843998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2089</v>
      </c>
      <c r="AR12" s="101">
        <v>95.2</v>
      </c>
      <c r="AS12" s="106" cm="1">
        <f t="array" ref="AS12">[1]!crv_interpolation(Подача_пласт_м3_сут,Напор_м,AR12,2)</f>
        <v>5.6782458645376321</v>
      </c>
      <c r="AT12" s="106" cm="1">
        <f t="array" ref="AT12">[1]!crv_interpolation(Подача_пласт_м3_сут,$I$42:$I$91,AR12,2)</f>
        <v>0.11254088039067414</v>
      </c>
      <c r="AU12" s="107" cm="1">
        <f t="array" ref="AU12">[1]!crv_interpolation(Подача_пласт_м3_сут,КПД,AR12,2)</f>
        <v>0.5466797498625211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2089</v>
      </c>
      <c r="AR13" s="101">
        <v>108.8</v>
      </c>
      <c r="AS13" s="106" cm="1">
        <f t="array" ref="AS13">[1]!crv_interpolation(Подача_пласт_м3_сут,Напор_м,AR13,2)</f>
        <v>4.5310847841679811</v>
      </c>
      <c r="AT13" s="106" cm="1">
        <f t="array" ref="AT13">[1]!crv_interpolation(Подача_пласт_м3_сут,$I$42:$I$91,AR13,2)</f>
        <v>0.11690158881315335</v>
      </c>
      <c r="AU13" s="107" cm="1">
        <f t="array" ref="AU13">[1]!crv_interpolation(Подача_пласт_м3_сут,КПД,AR13,2)</f>
        <v>0.47975653967699877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2089</v>
      </c>
      <c r="AR14" s="101">
        <v>122.4</v>
      </c>
      <c r="AS14" s="106" cm="1">
        <f t="array" ref="AS14">[1]!crv_interpolation(Подача_пласт_м3_сут,Напор_м,AR14,2)</f>
        <v>2.8095372797737994</v>
      </c>
      <c r="AT14" s="106" cm="1">
        <f t="array" ref="AT14">[1]!crv_interpolation(Подача_пласт_м3_сут,$I$42:$I$91,AR14,2)</f>
        <v>0.11986687942511785</v>
      </c>
      <c r="AU14" s="107" cm="1">
        <f t="array" ref="AU14">[1]!crv_interpolation(Подача_пласт_м3_сут,КПД,AR14,2)</f>
        <v>0.3232003224214014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2089</v>
      </c>
      <c r="AR15" s="103">
        <v>136</v>
      </c>
      <c r="AS15" s="108">
        <v>0</v>
      </c>
      <c r="AT15" s="108" cm="1">
        <f t="array" ref="AT15">[1]!crv_interpolation(Подача_пласт_м3_сут,$I$42:$I$91,AR15,2)</f>
        <v>0.12140566304904311</v>
      </c>
      <c r="AU15" s="109">
        <v>0</v>
      </c>
    </row>
    <row r="16" spans="1:47" x14ac:dyDescent="0.2">
      <c r="A16" s="71" t="s">
        <v>441</v>
      </c>
      <c r="B16" s="72">
        <v>84.42226891</v>
      </c>
      <c r="C16" s="73">
        <f>Мощность0*(f_50_hz/f_nom)^3</f>
        <v>84.42226891</v>
      </c>
      <c r="AQ16" s="98">
        <f>$R$6</f>
        <v>3089</v>
      </c>
      <c r="AR16" s="99">
        <f t="array" ref="AR16:AR26">[1]!decode_json($AR$2)</f>
        <v>0</v>
      </c>
      <c r="AS16" s="104" cm="1">
        <f t="array" ref="AS16">[1]!crv_interpolation(Подача_f50_,$Q$42:$Q$91,AR16,2)</f>
        <v>7.9019829719999999</v>
      </c>
      <c r="AT16" s="104" cm="1">
        <f t="array" ref="AT16">[1]!crv_interpolation(Подача_f50_,$S$42:$S$91,AR16,2)</f>
        <v>8.4422268910000001E-2</v>
      </c>
      <c r="AU16" s="105">
        <v>0</v>
      </c>
    </row>
    <row r="17" spans="1:47" x14ac:dyDescent="0.2">
      <c r="A17" s="74" t="s">
        <v>442</v>
      </c>
      <c r="B17" s="75">
        <v>-0.3513765646</v>
      </c>
      <c r="C17" s="76">
        <f>Мощность1/(f_50_hz/f_nom)*(f_50_hz/f_nom)^3</f>
        <v>-0.3513765646</v>
      </c>
      <c r="AQ17" s="100">
        <f t="shared" ref="AQ17:AQ26" si="1">$R$6</f>
        <v>3089</v>
      </c>
      <c r="AR17" s="101">
        <v>13.6</v>
      </c>
      <c r="AS17" s="106" cm="1">
        <f t="array" ref="AS17">[1]!crv_interpolation(Подача_f50_,$Q$42:$Q$91,AR17,2)</f>
        <v>7.9995138700822945</v>
      </c>
      <c r="AT17" s="106" cm="1">
        <f t="array" ref="AT17">[1]!crv_interpolation(Подача_f50_,$S$42:$S$91,AR17,2)</f>
        <v>8.2133783574619659E-2</v>
      </c>
      <c r="AU17" s="107" cm="1">
        <f t="array" ref="AU17">[1]!crv_interpolation(Подача_f50_,$R$42:$R$91,AR17,2)</f>
        <v>0.15006007633736484</v>
      </c>
    </row>
    <row r="18" spans="1:47" x14ac:dyDescent="0.2">
      <c r="A18" s="74" t="s">
        <v>443</v>
      </c>
      <c r="B18" s="75">
        <v>1.4868966819999999E-2</v>
      </c>
      <c r="C18" s="76">
        <f>Мощность2/((f_50_hz/f_nom)^2)*(f_50_hz/f_nom)^3</f>
        <v>1.4868966819999999E-2</v>
      </c>
      <c r="AQ18" s="100">
        <f t="shared" si="1"/>
        <v>3089</v>
      </c>
      <c r="AR18" s="101">
        <v>27.2</v>
      </c>
      <c r="AS18" s="106" cm="1">
        <f t="array" ref="AS18">[1]!crv_interpolation(Подача_f50_,$Q$42:$Q$91,AR18,2)</f>
        <v>7.8670752168486207</v>
      </c>
      <c r="AT18" s="106" cm="1">
        <f t="array" ref="AT18">[1]!crv_interpolation(Подача_f50_,$S$42:$S$91,AR18,2)</f>
        <v>8.3849711578562913E-2</v>
      </c>
      <c r="AU18" s="107" cm="1">
        <f t="array" ref="AU18">[1]!crv_interpolation(Подача_f50_,$R$42:$R$91,AR18,2)</f>
        <v>0.2906409003597677</v>
      </c>
    </row>
    <row r="19" spans="1:47" x14ac:dyDescent="0.2">
      <c r="A19" s="74" t="s">
        <v>444</v>
      </c>
      <c r="B19" s="75">
        <v>-1.062834225E-4</v>
      </c>
      <c r="C19" s="76">
        <f>Мощность3/((f_50_hz/f_nom)^3)*(f_50_hz/f_nom)^3</f>
        <v>-1.062834225E-4</v>
      </c>
      <c r="AQ19" s="100">
        <f t="shared" si="1"/>
        <v>3089</v>
      </c>
      <c r="AR19" s="101">
        <v>40.799999999999997</v>
      </c>
      <c r="AS19" s="106" cm="1">
        <f t="array" ref="AS19">[1]!crv_interpolation(Подача_f50_,$Q$42:$Q$91,AR19,2)</f>
        <v>7.6611795900245969</v>
      </c>
      <c r="AT19" s="106" cm="1">
        <f t="array" ref="AT19">[1]!crv_interpolation(Подача_f50_,$S$42:$S$91,AR19,2)</f>
        <v>8.8243412187667014E-2</v>
      </c>
      <c r="AU19" s="107" cm="1">
        <f t="array" ref="AU19">[1]!crv_interpolation(Подача_f50_,$R$42:$R$91,AR19,2)</f>
        <v>0.40339115475100196</v>
      </c>
    </row>
    <row r="20" spans="1:47" x14ac:dyDescent="0.2">
      <c r="A20" s="74" t="s">
        <v>445</v>
      </c>
      <c r="B20" s="75">
        <v>2.253873577E-7</v>
      </c>
      <c r="C20" s="76">
        <f>Мощность4/((f_50_hz/f_nom)^4)*(f_50_hz/f_nom)^3</f>
        <v>2.253873577E-7</v>
      </c>
      <c r="AQ20" s="100">
        <f t="shared" si="1"/>
        <v>3089</v>
      </c>
      <c r="AR20" s="101">
        <v>54.4</v>
      </c>
      <c r="AS20" s="106" cm="1">
        <f t="array" ref="AS20">[1]!crv_interpolation(Подача_f50_,$Q$42:$Q$91,AR20,2)</f>
        <v>7.3943668644096299</v>
      </c>
      <c r="AT20" s="106" cm="1">
        <f t="array" ref="AT20">[1]!crv_interpolation(Подача_f50_,$S$42:$S$91,AR20,2)</f>
        <v>9.4173324019780874E-2</v>
      </c>
      <c r="AU20" s="107" cm="1">
        <f t="array" ref="AU20">[1]!crv_interpolation(Подача_f50_,$R$42:$R$91,AR20,2)</f>
        <v>0.48455887016755328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3089</v>
      </c>
      <c r="AR21" s="101">
        <v>68</v>
      </c>
      <c r="AS21" s="106" cm="1">
        <f t="array" ref="AS21">[1]!crv_interpolation(Подача_f50_,$Q$42:$Q$91,AR21,2)</f>
        <v>7.0185859446157108</v>
      </c>
      <c r="AT21" s="106" cm="1">
        <f t="array" ref="AT21">[1]!crv_interpolation(Подача_f50_,$S$42:$S$91,AR21,2)</f>
        <v>0.10068291410173696</v>
      </c>
      <c r="AU21" s="107" cm="1">
        <f t="array" ref="AU21">[1]!crv_interpolation(Подача_f50_,$R$42:$R$91,AR21,2)</f>
        <v>0.53623533945525292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3089</v>
      </c>
      <c r="AR22" s="101">
        <v>81.599999999999994</v>
      </c>
      <c r="AS22" s="106" cm="1">
        <f t="array" ref="AS22">[1]!crv_interpolation(Подача_f50_,$Q$42:$Q$91,AR22,2)</f>
        <v>6.4704311290095058</v>
      </c>
      <c r="AT22" s="106" cm="1">
        <f t="array" ref="AT22">[1]!crv_interpolation(Подача_f50_,$S$42:$S$91,AR22,2)</f>
        <v>0.10700092229890827</v>
      </c>
      <c r="AU22" s="107" cm="1">
        <f t="array" ref="AU22">[1]!crv_interpolation(Подача_f50_,$R$42:$R$91,AR22,2)</f>
        <v>0.55916506222843998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3089</v>
      </c>
      <c r="AR23" s="101">
        <v>95.2</v>
      </c>
      <c r="AS23" s="106" cm="1">
        <f t="array" ref="AS23">[1]!crv_interpolation(Подача_f50_,$Q$42:$Q$91,AR23,2)</f>
        <v>5.6782458645376321</v>
      </c>
      <c r="AT23" s="106" cm="1">
        <f t="array" ref="AT23">[1]!crv_interpolation(Подача_f50_,$S$42:$S$91,AR23,2)</f>
        <v>0.11254088039067414</v>
      </c>
      <c r="AU23" s="107" cm="1">
        <f t="array" ref="AU23">[1]!crv_interpolation(Подача_f50_,$R$42:$R$91,AR23,2)</f>
        <v>0.5466797498625211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3089</v>
      </c>
      <c r="AR24" s="101">
        <v>108.8</v>
      </c>
      <c r="AS24" s="106" cm="1">
        <f t="array" ref="AS24">[1]!crv_interpolation(Подача_f50_,$Q$42:$Q$91,AR24,2)</f>
        <v>4.5310847841679802</v>
      </c>
      <c r="AT24" s="106" cm="1">
        <f t="array" ref="AT24">[1]!crv_interpolation(Подача_f50_,$S$42:$S$91,AR24,2)</f>
        <v>0.11690158881315335</v>
      </c>
      <c r="AU24" s="107" cm="1">
        <f t="array" ref="AU24">[1]!crv_interpolation(Подача_f50_,$R$42:$R$91,AR24,2)</f>
        <v>0.47975653967699872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3089</v>
      </c>
      <c r="AR25" s="101">
        <v>122.4</v>
      </c>
      <c r="AS25" s="106" cm="1">
        <f t="array" ref="AS25">[1]!crv_interpolation(Подача_f50_,$Q$42:$Q$91,AR25,2)</f>
        <v>2.8095372797737976</v>
      </c>
      <c r="AT25" s="106" cm="1">
        <f t="array" ref="AT25">[1]!crv_interpolation(Подача_f50_,$S$42:$S$91,AR25,2)</f>
        <v>0.11986687942511785</v>
      </c>
      <c r="AU25" s="107" cm="1">
        <f t="array" ref="AU25">[1]!crv_interpolation(Подача_f50_,$R$42:$R$91,AR25,2)</f>
        <v>0.32320032242140118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3089</v>
      </c>
      <c r="AR26" s="103">
        <v>136</v>
      </c>
      <c r="AS26" s="108">
        <v>0</v>
      </c>
      <c r="AT26" s="108" cm="1">
        <f t="array" ref="AT26">[1]!crv_interpolation(Подача_f50_,$S$42:$S$91,AR26,2)</f>
        <v>0.12140566304904311</v>
      </c>
      <c r="AU26" s="109">
        <v>0</v>
      </c>
    </row>
    <row r="27" spans="1:47" x14ac:dyDescent="0.2">
      <c r="A27" s="74" t="s">
        <v>452</v>
      </c>
      <c r="B27" s="75">
        <v>-4.3923367499999998E-2</v>
      </c>
      <c r="C27" s="73">
        <f>К.П.Д.0</f>
        <v>-4.3923367499999998E-2</v>
      </c>
    </row>
    <row r="28" spans="1:47" x14ac:dyDescent="0.2">
      <c r="A28" s="74" t="s">
        <v>453</v>
      </c>
      <c r="B28" s="75">
        <v>1.05967151</v>
      </c>
      <c r="C28" s="76">
        <f>К.П.Д.1/(f_50_hz/f_nom)</f>
        <v>1.05967151</v>
      </c>
    </row>
    <row r="29" spans="1:47" x14ac:dyDescent="0.2">
      <c r="A29" s="74" t="s">
        <v>454</v>
      </c>
      <c r="B29" s="75">
        <v>7.765082201E-3</v>
      </c>
      <c r="C29" s="76">
        <f>К.П.Д.2/((f_50_hz/f_nom)^2)</f>
        <v>7.765082201E-3</v>
      </c>
    </row>
    <row r="30" spans="1:47" x14ac:dyDescent="0.2">
      <c r="A30" s="74" t="s">
        <v>455</v>
      </c>
      <c r="B30" s="75">
        <v>-3.6956006369999998E-4</v>
      </c>
      <c r="C30" s="76">
        <f>К.П.Д.3/((f_50_hz/f_nom)^3)</f>
        <v>-3.6956006369999998E-4</v>
      </c>
    </row>
    <row r="31" spans="1:47" x14ac:dyDescent="0.2">
      <c r="A31" s="74" t="s">
        <v>456</v>
      </c>
      <c r="B31" s="75">
        <v>4.1355629650000001E-6</v>
      </c>
      <c r="C31" s="76">
        <f>К.П.Д.4/((f_50_hz/f_nom)^4)</f>
        <v>4.1355629650000001E-6</v>
      </c>
    </row>
    <row r="32" spans="1:47" x14ac:dyDescent="0.2">
      <c r="A32" s="74" t="s">
        <v>457</v>
      </c>
      <c r="B32" s="75">
        <v>-1.9915943109999999E-8</v>
      </c>
      <c r="C32" s="76">
        <f>К.П.Д.5/((f_50_hz/f_nom)^5)</f>
        <v>-1.9915943109999999E-8</v>
      </c>
    </row>
    <row r="33" spans="1:22" x14ac:dyDescent="0.2">
      <c r="A33" s="74" t="s">
        <v>458</v>
      </c>
      <c r="B33" s="75">
        <v>2.4659744029999999E-11</v>
      </c>
      <c r="C33" s="76">
        <f>К.П.Д.6/((f_50_hz/f_nom)^6)</f>
        <v>2.4659744029999999E-11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7.9019829719999999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7.9019829719999999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84.42226891</v>
      </c>
      <c r="I42" s="84">
        <f>H42/1000</f>
        <v>8.4422268910000001E-2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-4.3923367499999998E-2</v>
      </c>
      <c r="K42" s="84">
        <f>J42/100</f>
        <v>-4.3923367499999999E-4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7.9019829719999999</v>
      </c>
      <c r="R42" s="87">
        <f>D42</f>
        <v>1E-3</v>
      </c>
      <c r="S42" s="47">
        <f t="shared" ref="S42:S73" si="8">I42*(f_50_hz/f_nom)^3</f>
        <v>8.4422268910000001E-2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7.9019829719999999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84.42226891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-4.3923367499999998E-2</v>
      </c>
    </row>
    <row r="43" spans="1:22" x14ac:dyDescent="0.2">
      <c r="A43" s="80">
        <v>2</v>
      </c>
      <c r="B43" s="81">
        <v>2.77551020408163</v>
      </c>
      <c r="C43" s="82">
        <v>7.9559777851084101</v>
      </c>
      <c r="D43" s="82">
        <v>2.94936427388592E-2</v>
      </c>
      <c r="E43" s="75">
        <v>8.4924855027629295E-2</v>
      </c>
      <c r="G43" s="89">
        <f t="shared" si="2"/>
        <v>7.9559777851084128</v>
      </c>
      <c r="H43" s="90">
        <f t="shared" si="3"/>
        <v>83.559303041312546</v>
      </c>
      <c r="I43" s="90">
        <f t="shared" ref="I43:I91" si="12">H43/1000</f>
        <v>8.3559303041312552E-2</v>
      </c>
      <c r="J43" s="90">
        <f t="shared" si="4"/>
        <v>2.9493642738859229</v>
      </c>
      <c r="K43" s="90">
        <f t="shared" ref="K43:K91" si="13">J43/100</f>
        <v>2.9493642738859228E-2</v>
      </c>
      <c r="L43" s="90">
        <f t="shared" si="5"/>
        <v>2.5072154482663045</v>
      </c>
      <c r="M43" s="90">
        <f t="shared" ref="M43:M91" si="14">IF(K43&gt;0,L43/K43,0)/1000</f>
        <v>8.5008673579779037E-2</v>
      </c>
      <c r="N43" s="91">
        <f t="shared" ref="N43:N91" si="15">L43/H43</f>
        <v>3.0005222123821597E-2</v>
      </c>
      <c r="P43" s="86">
        <f t="shared" si="6"/>
        <v>2.7755102040816295</v>
      </c>
      <c r="Q43" s="47">
        <f t="shared" si="7"/>
        <v>7.9559777851084101</v>
      </c>
      <c r="R43" s="87">
        <f t="shared" ref="R43:R91" si="16">D43</f>
        <v>2.94936427388592E-2</v>
      </c>
      <c r="S43" s="47">
        <f t="shared" si="8"/>
        <v>8.3559303041312552E-2</v>
      </c>
      <c r="T43" s="88">
        <f t="shared" si="9"/>
        <v>7.9559777851084128</v>
      </c>
      <c r="U43" s="88">
        <f t="shared" si="10"/>
        <v>83.559303041312546</v>
      </c>
      <c r="V43" s="88">
        <f t="shared" si="11"/>
        <v>2.9493642738859225</v>
      </c>
    </row>
    <row r="44" spans="1:22" x14ac:dyDescent="0.2">
      <c r="A44" s="80">
        <v>3</v>
      </c>
      <c r="B44" s="81">
        <v>5.5510204081632599</v>
      </c>
      <c r="C44" s="82">
        <v>7.98889317380024</v>
      </c>
      <c r="D44" s="82">
        <v>6.0182165714326497E-2</v>
      </c>
      <c r="E44" s="75">
        <v>8.3583098152000407E-2</v>
      </c>
      <c r="G44" s="89">
        <f t="shared" si="2"/>
        <v>7.9888931738002418</v>
      </c>
      <c r="H44" s="90">
        <f t="shared" si="3"/>
        <v>82.911974625615116</v>
      </c>
      <c r="I44" s="90">
        <f t="shared" si="12"/>
        <v>8.2911974625615115E-2</v>
      </c>
      <c r="J44" s="90">
        <f t="shared" si="4"/>
        <v>6.018216571432653</v>
      </c>
      <c r="K44" s="90">
        <f t="shared" si="13"/>
        <v>6.0182165714326531E-2</v>
      </c>
      <c r="L44" s="90">
        <f t="shared" si="5"/>
        <v>5.0351765479768131</v>
      </c>
      <c r="M44" s="90">
        <f t="shared" si="14"/>
        <v>8.3665592426132571E-2</v>
      </c>
      <c r="N44" s="91">
        <f t="shared" si="15"/>
        <v>6.0729183820707459E-2</v>
      </c>
      <c r="P44" s="86">
        <f t="shared" si="6"/>
        <v>5.551020408163259</v>
      </c>
      <c r="Q44" s="47">
        <f t="shared" si="7"/>
        <v>7.98889317380024</v>
      </c>
      <c r="R44" s="87">
        <f t="shared" si="16"/>
        <v>6.0182165714326497E-2</v>
      </c>
      <c r="S44" s="47">
        <f t="shared" si="8"/>
        <v>8.2911974625615115E-2</v>
      </c>
      <c r="T44" s="88">
        <f t="shared" si="9"/>
        <v>7.9888931738002418</v>
      </c>
      <c r="U44" s="88">
        <f t="shared" si="10"/>
        <v>82.91197462561513</v>
      </c>
      <c r="V44" s="88">
        <f t="shared" si="11"/>
        <v>6.0182165714326521</v>
      </c>
    </row>
    <row r="45" spans="1:22" x14ac:dyDescent="0.2">
      <c r="A45" s="80">
        <v>4</v>
      </c>
      <c r="B45" s="81">
        <v>8.3265306122448894</v>
      </c>
      <c r="C45" s="82">
        <v>8.0047278533547406</v>
      </c>
      <c r="D45" s="82">
        <v>9.1235731707993595E-2</v>
      </c>
      <c r="E45" s="75">
        <v>8.2865267028377099E-2</v>
      </c>
      <c r="G45" s="89">
        <f t="shared" si="2"/>
        <v>8.0047278533547406</v>
      </c>
      <c r="H45" s="90">
        <f t="shared" si="3"/>
        <v>82.467130480809843</v>
      </c>
      <c r="I45" s="90">
        <f t="shared" si="12"/>
        <v>8.2467130480809836E-2</v>
      </c>
      <c r="J45" s="90">
        <f t="shared" si="4"/>
        <v>9.1235731707993537</v>
      </c>
      <c r="K45" s="90">
        <f t="shared" si="13"/>
        <v>9.1235731707993539E-2</v>
      </c>
      <c r="L45" s="90">
        <f t="shared" si="5"/>
        <v>7.5677350572787336</v>
      </c>
      <c r="M45" s="90">
        <f t="shared" si="14"/>
        <v>8.2947052822460052E-2</v>
      </c>
      <c r="N45" s="91">
        <f t="shared" si="15"/>
        <v>9.1766683442923366E-2</v>
      </c>
      <c r="P45" s="86">
        <f t="shared" si="6"/>
        <v>8.3265306122448894</v>
      </c>
      <c r="Q45" s="47">
        <f t="shared" si="7"/>
        <v>8.0047278533547406</v>
      </c>
      <c r="R45" s="87">
        <f t="shared" si="16"/>
        <v>9.1235731707993595E-2</v>
      </c>
      <c r="S45" s="47">
        <f t="shared" si="8"/>
        <v>8.2467130480809836E-2</v>
      </c>
      <c r="T45" s="88">
        <f t="shared" si="9"/>
        <v>8.0047278533547406</v>
      </c>
      <c r="U45" s="88">
        <f t="shared" si="10"/>
        <v>82.467130480809843</v>
      </c>
      <c r="V45" s="88">
        <f t="shared" si="11"/>
        <v>9.1235731707993537</v>
      </c>
    </row>
    <row r="46" spans="1:22" x14ac:dyDescent="0.2">
      <c r="A46" s="80">
        <v>5</v>
      </c>
      <c r="B46" s="81">
        <v>11.1020408163265</v>
      </c>
      <c r="C46" s="82">
        <v>8.0068750674433904</v>
      </c>
      <c r="D46" s="82">
        <v>0.122314940548698</v>
      </c>
      <c r="E46" s="75">
        <v>8.2435296170602204E-2</v>
      </c>
      <c r="G46" s="89">
        <f t="shared" si="2"/>
        <v>8.0068750674433957</v>
      </c>
      <c r="H46" s="90">
        <f t="shared" si="3"/>
        <v>82.211938430028027</v>
      </c>
      <c r="I46" s="90">
        <f t="shared" si="12"/>
        <v>8.2211938430028025E-2</v>
      </c>
      <c r="J46" s="90">
        <f t="shared" si="4"/>
        <v>12.231494054869771</v>
      </c>
      <c r="K46" s="90">
        <f t="shared" si="13"/>
        <v>0.12231494054869771</v>
      </c>
      <c r="L46" s="90">
        <f t="shared" si="5"/>
        <v>10.093020068008546</v>
      </c>
      <c r="M46" s="90">
        <f t="shared" si="14"/>
        <v>8.25166575949908E-2</v>
      </c>
      <c r="N46" s="91">
        <f t="shared" si="15"/>
        <v>0.12276830179109431</v>
      </c>
      <c r="P46" s="86">
        <f t="shared" si="6"/>
        <v>11.1020408163265</v>
      </c>
      <c r="Q46" s="47">
        <f t="shared" si="7"/>
        <v>8.0068750674433904</v>
      </c>
      <c r="R46" s="87">
        <f t="shared" si="16"/>
        <v>0.122314940548698</v>
      </c>
      <c r="S46" s="47">
        <f t="shared" si="8"/>
        <v>8.2211938430028025E-2</v>
      </c>
      <c r="T46" s="88">
        <f t="shared" si="9"/>
        <v>8.0068750674433957</v>
      </c>
      <c r="U46" s="88">
        <f t="shared" si="10"/>
        <v>82.211938430028027</v>
      </c>
      <c r="V46" s="88">
        <f t="shared" si="11"/>
        <v>12.231494054869771</v>
      </c>
    </row>
    <row r="47" spans="1:22" x14ac:dyDescent="0.2">
      <c r="A47" s="80">
        <v>6</v>
      </c>
      <c r="B47" s="81">
        <v>13.877551020408101</v>
      </c>
      <c r="C47" s="82">
        <v>7.99817892986231</v>
      </c>
      <c r="D47" s="82">
        <v>0.153127861981153</v>
      </c>
      <c r="E47" s="75">
        <v>8.2219828925686703E-2</v>
      </c>
      <c r="G47" s="89">
        <f t="shared" si="2"/>
        <v>7.9981789298623127</v>
      </c>
      <c r="H47" s="90">
        <f t="shared" si="3"/>
        <v>82.133887301630395</v>
      </c>
      <c r="I47" s="90">
        <f t="shared" si="12"/>
        <v>8.213388730163039E-2</v>
      </c>
      <c r="J47" s="90">
        <f t="shared" si="4"/>
        <v>15.312786198115287</v>
      </c>
      <c r="K47" s="90">
        <f t="shared" si="13"/>
        <v>0.15312786198115286</v>
      </c>
      <c r="L47" s="90">
        <f t="shared" si="5"/>
        <v>12.602572752580608</v>
      </c>
      <c r="M47" s="90">
        <f t="shared" si="14"/>
        <v>8.2300977689688803E-2</v>
      </c>
      <c r="N47" s="91">
        <f t="shared" si="15"/>
        <v>0.15343938009774974</v>
      </c>
      <c r="P47" s="86">
        <f t="shared" si="6"/>
        <v>13.877551020408101</v>
      </c>
      <c r="Q47" s="47">
        <f t="shared" si="7"/>
        <v>7.99817892986231</v>
      </c>
      <c r="R47" s="87">
        <f t="shared" si="16"/>
        <v>0.153127861981153</v>
      </c>
      <c r="S47" s="47">
        <f t="shared" si="8"/>
        <v>8.213388730163039E-2</v>
      </c>
      <c r="T47" s="88">
        <f t="shared" si="9"/>
        <v>7.9981789298623127</v>
      </c>
      <c r="U47" s="88">
        <f t="shared" si="10"/>
        <v>82.133887301630395</v>
      </c>
      <c r="V47" s="88">
        <f t="shared" si="11"/>
        <v>15.312786198115287</v>
      </c>
    </row>
    <row r="48" spans="1:22" x14ac:dyDescent="0.2">
      <c r="A48" s="80">
        <v>7</v>
      </c>
      <c r="B48" s="81">
        <v>16.653061224489701</v>
      </c>
      <c r="C48" s="82">
        <v>7.9809880127607498</v>
      </c>
      <c r="D48" s="82">
        <v>0.18342638337630601</v>
      </c>
      <c r="E48" s="75">
        <v>8.2189393066549599E-2</v>
      </c>
      <c r="G48" s="89">
        <f t="shared" si="2"/>
        <v>7.9809880127607578</v>
      </c>
      <c r="H48" s="90">
        <f t="shared" si="3"/>
        <v>82.220786929206838</v>
      </c>
      <c r="I48" s="90">
        <f t="shared" si="12"/>
        <v>8.2220786929206841E-2</v>
      </c>
      <c r="J48" s="90">
        <f t="shared" si="4"/>
        <v>18.34263833763055</v>
      </c>
      <c r="K48" s="90">
        <f t="shared" si="13"/>
        <v>0.18342638337630551</v>
      </c>
      <c r="L48" s="90">
        <f t="shared" si="5"/>
        <v>15.090582436373044</v>
      </c>
      <c r="M48" s="90">
        <f t="shared" si="14"/>
        <v>8.2270511791175616E-2</v>
      </c>
      <c r="N48" s="91">
        <f t="shared" si="15"/>
        <v>0.18353731458890354</v>
      </c>
      <c r="P48" s="86">
        <f t="shared" si="6"/>
        <v>16.653061224489701</v>
      </c>
      <c r="Q48" s="47">
        <f t="shared" si="7"/>
        <v>7.9809880127607498</v>
      </c>
      <c r="R48" s="87">
        <f t="shared" si="16"/>
        <v>0.18342638337630601</v>
      </c>
      <c r="S48" s="47">
        <f t="shared" si="8"/>
        <v>8.2220786929206841E-2</v>
      </c>
      <c r="T48" s="88">
        <f t="shared" si="9"/>
        <v>7.9809880127607578</v>
      </c>
      <c r="U48" s="88">
        <f t="shared" si="10"/>
        <v>82.220786929206838</v>
      </c>
      <c r="V48" s="88">
        <f t="shared" si="11"/>
        <v>18.34263833763055</v>
      </c>
    </row>
    <row r="49" spans="1:22" x14ac:dyDescent="0.2">
      <c r="A49" s="80">
        <v>8</v>
      </c>
      <c r="B49" s="81">
        <v>19.428571428571399</v>
      </c>
      <c r="C49" s="82">
        <v>7.9572061813659101</v>
      </c>
      <c r="D49" s="82">
        <v>0.213002638608419</v>
      </c>
      <c r="E49" s="75">
        <v>8.2327198213165295E-2</v>
      </c>
      <c r="G49" s="89">
        <f t="shared" si="2"/>
        <v>7.957206181365919</v>
      </c>
      <c r="H49" s="90">
        <f t="shared" si="3"/>
        <v>82.460768151576588</v>
      </c>
      <c r="I49" s="90">
        <f t="shared" si="12"/>
        <v>8.2460768151576588E-2</v>
      </c>
      <c r="J49" s="90">
        <f t="shared" si="4"/>
        <v>21.300263860841877</v>
      </c>
      <c r="K49" s="90">
        <f t="shared" si="13"/>
        <v>0.21300263860841878</v>
      </c>
      <c r="L49" s="90">
        <f t="shared" si="5"/>
        <v>17.553217921513106</v>
      </c>
      <c r="M49" s="90">
        <f t="shared" si="14"/>
        <v>8.2408452947771729E-2</v>
      </c>
      <c r="N49" s="91">
        <f t="shared" si="15"/>
        <v>0.21286750432942095</v>
      </c>
      <c r="P49" s="86">
        <f t="shared" si="6"/>
        <v>19.428571428571399</v>
      </c>
      <c r="Q49" s="47">
        <f t="shared" si="7"/>
        <v>7.9572061813659101</v>
      </c>
      <c r="R49" s="87">
        <f t="shared" si="16"/>
        <v>0.213002638608419</v>
      </c>
      <c r="S49" s="47">
        <f t="shared" si="8"/>
        <v>8.2460768151576588E-2</v>
      </c>
      <c r="T49" s="88">
        <f t="shared" si="9"/>
        <v>7.957206181365919</v>
      </c>
      <c r="U49" s="88">
        <f t="shared" si="10"/>
        <v>82.460768151576588</v>
      </c>
      <c r="V49" s="88">
        <f t="shared" si="11"/>
        <v>21.300263860841877</v>
      </c>
    </row>
    <row r="50" spans="1:22" x14ac:dyDescent="0.2">
      <c r="A50" s="80">
        <v>9</v>
      </c>
      <c r="B50" s="81">
        <v>22.204081632653001</v>
      </c>
      <c r="C50" s="82">
        <v>7.9283406752038204</v>
      </c>
      <c r="D50" s="82">
        <v>0.241685518098878</v>
      </c>
      <c r="E50" s="75">
        <v>8.2621167911588606E-2</v>
      </c>
      <c r="G50" s="89">
        <f t="shared" si="2"/>
        <v>7.9283406752038275</v>
      </c>
      <c r="H50" s="90">
        <f t="shared" si="3"/>
        <v>82.842282812788198</v>
      </c>
      <c r="I50" s="90">
        <f t="shared" si="12"/>
        <v>8.2842282812788201E-2</v>
      </c>
      <c r="J50" s="90">
        <f t="shared" si="4"/>
        <v>24.168551809887777</v>
      </c>
      <c r="K50" s="90">
        <f t="shared" si="13"/>
        <v>0.24168551809887778</v>
      </c>
      <c r="L50" s="90">
        <f t="shared" si="5"/>
        <v>19.988047987962773</v>
      </c>
      <c r="M50" s="90">
        <f t="shared" si="14"/>
        <v>8.2702712786395877E-2</v>
      </c>
      <c r="N50" s="91">
        <f t="shared" si="15"/>
        <v>0.24127833407407331</v>
      </c>
      <c r="P50" s="86">
        <f t="shared" si="6"/>
        <v>22.204081632653001</v>
      </c>
      <c r="Q50" s="47">
        <f t="shared" si="7"/>
        <v>7.9283406752038204</v>
      </c>
      <c r="R50" s="87">
        <f t="shared" si="16"/>
        <v>0.241685518098878</v>
      </c>
      <c r="S50" s="47">
        <f t="shared" si="8"/>
        <v>8.2842282812788201E-2</v>
      </c>
      <c r="T50" s="88">
        <f t="shared" si="9"/>
        <v>7.9283406752038275</v>
      </c>
      <c r="U50" s="88">
        <f t="shared" si="10"/>
        <v>82.842282812788198</v>
      </c>
      <c r="V50" s="88">
        <f t="shared" si="11"/>
        <v>24.168551809887777</v>
      </c>
    </row>
    <row r="51" spans="1:22" x14ac:dyDescent="0.2">
      <c r="A51" s="80">
        <v>10</v>
      </c>
      <c r="B51" s="81">
        <v>24.979591836734599</v>
      </c>
      <c r="C51" s="82">
        <v>7.8955474358164697</v>
      </c>
      <c r="D51" s="82">
        <v>0.26933726002673197</v>
      </c>
      <c r="E51" s="75">
        <v>8.3061158935899701E-2</v>
      </c>
      <c r="G51" s="89">
        <f t="shared" si="2"/>
        <v>7.895547435816475</v>
      </c>
      <c r="H51" s="90">
        <f t="shared" si="3"/>
        <v>83.35410376211945</v>
      </c>
      <c r="I51" s="90">
        <f t="shared" si="12"/>
        <v>8.335410376211945E-2</v>
      </c>
      <c r="J51" s="90">
        <f t="shared" si="4"/>
        <v>26.933726002673197</v>
      </c>
      <c r="K51" s="90">
        <f t="shared" si="13"/>
        <v>0.26933726002673197</v>
      </c>
      <c r="L51" s="90">
        <f t="shared" si="5"/>
        <v>22.393544997807954</v>
      </c>
      <c r="M51" s="90">
        <f t="shared" si="14"/>
        <v>8.3143138070036704E-2</v>
      </c>
      <c r="N51" s="91">
        <f t="shared" si="15"/>
        <v>0.2686555788748673</v>
      </c>
      <c r="P51" s="86">
        <f t="shared" si="6"/>
        <v>24.979591836734599</v>
      </c>
      <c r="Q51" s="47">
        <f t="shared" si="7"/>
        <v>7.8955474358164697</v>
      </c>
      <c r="R51" s="87">
        <f t="shared" si="16"/>
        <v>0.26933726002673197</v>
      </c>
      <c r="S51" s="47">
        <f t="shared" si="8"/>
        <v>8.335410376211945E-2</v>
      </c>
      <c r="T51" s="88">
        <f t="shared" si="9"/>
        <v>7.895547435816475</v>
      </c>
      <c r="U51" s="88">
        <f t="shared" si="10"/>
        <v>83.35410376211945</v>
      </c>
      <c r="V51" s="88">
        <f t="shared" si="11"/>
        <v>26.933726002673197</v>
      </c>
    </row>
    <row r="52" spans="1:22" x14ac:dyDescent="0.2">
      <c r="A52" s="80">
        <v>11</v>
      </c>
      <c r="B52" s="81">
        <v>27.755102040816301</v>
      </c>
      <c r="C52" s="82">
        <v>7.8596736809750896</v>
      </c>
      <c r="D52" s="82">
        <v>0.29585012270595401</v>
      </c>
      <c r="E52" s="75">
        <v>8.3637766981875195E-2</v>
      </c>
      <c r="G52" s="89">
        <f t="shared" si="2"/>
        <v>7.8596736809750913</v>
      </c>
      <c r="H52" s="90">
        <f t="shared" si="3"/>
        <v>83.985324854077419</v>
      </c>
      <c r="I52" s="90">
        <f t="shared" si="12"/>
        <v>8.398532485407742E-2</v>
      </c>
      <c r="J52" s="90">
        <f t="shared" si="4"/>
        <v>29.585012270595445</v>
      </c>
      <c r="K52" s="90">
        <f t="shared" si="13"/>
        <v>0.29585012270595445</v>
      </c>
      <c r="L52" s="90">
        <f t="shared" si="5"/>
        <v>24.76866552865107</v>
      </c>
      <c r="M52" s="90">
        <f t="shared" si="14"/>
        <v>8.3720315212674951E-2</v>
      </c>
      <c r="N52" s="91">
        <f t="shared" si="15"/>
        <v>0.29491658895986961</v>
      </c>
      <c r="P52" s="86">
        <f t="shared" si="6"/>
        <v>27.755102040816301</v>
      </c>
      <c r="Q52" s="47">
        <f t="shared" si="7"/>
        <v>7.8596736809750896</v>
      </c>
      <c r="R52" s="87">
        <f t="shared" si="16"/>
        <v>0.29585012270595401</v>
      </c>
      <c r="S52" s="47">
        <f t="shared" si="8"/>
        <v>8.398532485407742E-2</v>
      </c>
      <c r="T52" s="88">
        <f t="shared" si="9"/>
        <v>7.8596736809750913</v>
      </c>
      <c r="U52" s="88">
        <f t="shared" si="10"/>
        <v>83.985324854077419</v>
      </c>
      <c r="V52" s="88">
        <f t="shared" si="11"/>
        <v>29.585012270595445</v>
      </c>
    </row>
    <row r="53" spans="1:22" x14ac:dyDescent="0.2">
      <c r="A53" s="80">
        <v>12</v>
      </c>
      <c r="B53" s="81">
        <v>30.530612244897899</v>
      </c>
      <c r="C53" s="82">
        <v>7.8212977253896296</v>
      </c>
      <c r="D53" s="82">
        <v>0.32114313812942802</v>
      </c>
      <c r="E53" s="75">
        <v>8.4341733698071297E-2</v>
      </c>
      <c r="G53" s="89">
        <f t="shared" si="2"/>
        <v>7.8212977253896367</v>
      </c>
      <c r="H53" s="90">
        <f t="shared" si="3"/>
        <v>84.725360948398489</v>
      </c>
      <c r="I53" s="90">
        <f t="shared" si="12"/>
        <v>8.4725360948398484E-2</v>
      </c>
      <c r="J53" s="90">
        <f t="shared" si="4"/>
        <v>32.114313812942754</v>
      </c>
      <c r="K53" s="90">
        <f t="shared" si="13"/>
        <v>0.32114313812942752</v>
      </c>
      <c r="L53" s="90">
        <f t="shared" si="5"/>
        <v>27.112501962009613</v>
      </c>
      <c r="M53" s="90">
        <f t="shared" si="14"/>
        <v>8.4424976725122183E-2</v>
      </c>
      <c r="N53" s="91">
        <f t="shared" si="15"/>
        <v>0.3200045613086539</v>
      </c>
      <c r="P53" s="86">
        <f t="shared" si="6"/>
        <v>30.530612244897899</v>
      </c>
      <c r="Q53" s="47">
        <f t="shared" si="7"/>
        <v>7.8212977253896296</v>
      </c>
      <c r="R53" s="87">
        <f t="shared" si="16"/>
        <v>0.32114313812942802</v>
      </c>
      <c r="S53" s="47">
        <f t="shared" si="8"/>
        <v>8.4725360948398484E-2</v>
      </c>
      <c r="T53" s="88">
        <f t="shared" si="9"/>
        <v>7.8212977253896367</v>
      </c>
      <c r="U53" s="88">
        <f t="shared" si="10"/>
        <v>84.725360948398489</v>
      </c>
      <c r="V53" s="88">
        <f t="shared" si="11"/>
        <v>32.114313812942754</v>
      </c>
    </row>
    <row r="54" spans="1:22" x14ac:dyDescent="0.2">
      <c r="A54" s="80">
        <v>13</v>
      </c>
      <c r="B54" s="81">
        <v>33.306122448979501</v>
      </c>
      <c r="C54" s="82">
        <v>7.78076604791445</v>
      </c>
      <c r="D54" s="82">
        <v>0.34515894667966501</v>
      </c>
      <c r="E54" s="75">
        <v>8.5163624389365797E-2</v>
      </c>
      <c r="G54" s="89">
        <f t="shared" si="2"/>
        <v>7.7807660479144571</v>
      </c>
      <c r="H54" s="90">
        <f t="shared" si="3"/>
        <v>85.563947910048341</v>
      </c>
      <c r="I54" s="90">
        <f t="shared" si="12"/>
        <v>8.5563947910048344E-2</v>
      </c>
      <c r="J54" s="90">
        <f t="shared" si="4"/>
        <v>34.515894667966457</v>
      </c>
      <c r="K54" s="90">
        <f t="shared" si="13"/>
        <v>0.34515894667966457</v>
      </c>
      <c r="L54" s="90">
        <f t="shared" si="5"/>
        <v>29.423998952623343</v>
      </c>
      <c r="M54" s="90">
        <f t="shared" si="14"/>
        <v>8.5247678600465768E-2</v>
      </c>
      <c r="N54" s="91">
        <f t="shared" si="15"/>
        <v>0.34388313853348845</v>
      </c>
      <c r="P54" s="86">
        <f t="shared" si="6"/>
        <v>33.306122448979501</v>
      </c>
      <c r="Q54" s="47">
        <f t="shared" si="7"/>
        <v>7.78076604791445</v>
      </c>
      <c r="R54" s="87">
        <f t="shared" si="16"/>
        <v>0.34515894667966501</v>
      </c>
      <c r="S54" s="47">
        <f t="shared" si="8"/>
        <v>8.5563947910048344E-2</v>
      </c>
      <c r="T54" s="88">
        <f t="shared" si="9"/>
        <v>7.7807660479144571</v>
      </c>
      <c r="U54" s="88">
        <f t="shared" si="10"/>
        <v>85.563947910048341</v>
      </c>
      <c r="V54" s="88">
        <f t="shared" si="11"/>
        <v>34.515894667966457</v>
      </c>
    </row>
    <row r="55" spans="1:22" x14ac:dyDescent="0.2">
      <c r="A55" s="80">
        <v>14</v>
      </c>
      <c r="B55" s="81">
        <v>36.081632653061199</v>
      </c>
      <c r="C55" s="82">
        <v>7.7382276052501098</v>
      </c>
      <c r="D55" s="82">
        <v>0.36786071300624801</v>
      </c>
      <c r="E55" s="75">
        <v>8.6093648167123199E-2</v>
      </c>
      <c r="G55" s="89">
        <f t="shared" si="2"/>
        <v>7.7382276052501151</v>
      </c>
      <c r="H55" s="90">
        <f t="shared" si="3"/>
        <v>86.491142609221981</v>
      </c>
      <c r="I55" s="90">
        <f t="shared" si="12"/>
        <v>8.6491142609221985E-2</v>
      </c>
      <c r="J55" s="90">
        <f t="shared" si="4"/>
        <v>36.786071300624798</v>
      </c>
      <c r="K55" s="90">
        <f t="shared" si="13"/>
        <v>0.36786071300624795</v>
      </c>
      <c r="L55" s="90">
        <f t="shared" si="5"/>
        <v>31.701728704569685</v>
      </c>
      <c r="M55" s="90">
        <f t="shared" si="14"/>
        <v>8.6178620286725877E-2</v>
      </c>
      <c r="N55" s="91">
        <f t="shared" si="15"/>
        <v>0.36653150540283808</v>
      </c>
      <c r="P55" s="86">
        <f t="shared" si="6"/>
        <v>36.081632653061199</v>
      </c>
      <c r="Q55" s="47">
        <f t="shared" si="7"/>
        <v>7.7382276052501098</v>
      </c>
      <c r="R55" s="87">
        <f t="shared" si="16"/>
        <v>0.36786071300624801</v>
      </c>
      <c r="S55" s="47">
        <f t="shared" si="8"/>
        <v>8.6491142609221985E-2</v>
      </c>
      <c r="T55" s="88">
        <f t="shared" si="9"/>
        <v>7.7382276052501151</v>
      </c>
      <c r="U55" s="88">
        <f t="shared" si="10"/>
        <v>86.491142609221981</v>
      </c>
      <c r="V55" s="88">
        <f t="shared" si="11"/>
        <v>36.786071300624798</v>
      </c>
    </row>
    <row r="56" spans="1:22" x14ac:dyDescent="0.2">
      <c r="A56" s="80">
        <v>15</v>
      </c>
      <c r="B56" s="81">
        <v>38.857142857142797</v>
      </c>
      <c r="C56" s="82">
        <v>7.6936653921414297</v>
      </c>
      <c r="D56" s="82">
        <v>0.38922912306999602</v>
      </c>
      <c r="E56" s="75">
        <v>8.7121565328188794E-2</v>
      </c>
      <c r="G56" s="89">
        <f t="shared" si="2"/>
        <v>7.6936653921414404</v>
      </c>
      <c r="H56" s="90">
        <f t="shared" si="3"/>
        <v>87.497322921343539</v>
      </c>
      <c r="I56" s="90">
        <f t="shared" si="12"/>
        <v>8.7497322921343545E-2</v>
      </c>
      <c r="J56" s="90">
        <f t="shared" si="4"/>
        <v>38.922912306999571</v>
      </c>
      <c r="K56" s="90">
        <f t="shared" si="13"/>
        <v>0.38922912306999569</v>
      </c>
      <c r="L56" s="90">
        <f t="shared" si="5"/>
        <v>33.943718980090587</v>
      </c>
      <c r="M56" s="90">
        <f t="shared" si="14"/>
        <v>8.7207551974435457E-2</v>
      </c>
      <c r="N56" s="91">
        <f t="shared" si="15"/>
        <v>0.38794008601388391</v>
      </c>
      <c r="P56" s="86">
        <f t="shared" si="6"/>
        <v>38.857142857142797</v>
      </c>
      <c r="Q56" s="47">
        <f t="shared" si="7"/>
        <v>7.6936653921414297</v>
      </c>
      <c r="R56" s="87">
        <f t="shared" si="16"/>
        <v>0.38922912306999602</v>
      </c>
      <c r="S56" s="47">
        <f t="shared" si="8"/>
        <v>8.7497322921343545E-2</v>
      </c>
      <c r="T56" s="88">
        <f t="shared" si="9"/>
        <v>7.6936653921414404</v>
      </c>
      <c r="U56" s="88">
        <f t="shared" si="10"/>
        <v>87.497322921343539</v>
      </c>
      <c r="V56" s="88">
        <f t="shared" si="11"/>
        <v>38.922912306999571</v>
      </c>
    </row>
    <row r="57" spans="1:22" x14ac:dyDescent="0.2">
      <c r="A57" s="80">
        <v>16</v>
      </c>
      <c r="B57" s="81">
        <v>41.632653061224403</v>
      </c>
      <c r="C57" s="82">
        <v>7.6469252480716996</v>
      </c>
      <c r="D57" s="82">
        <v>0.40925946235386101</v>
      </c>
      <c r="E57" s="75">
        <v>8.8236656262405497E-2</v>
      </c>
      <c r="G57" s="89">
        <f t="shared" si="2"/>
        <v>7.6469252480717111</v>
      </c>
      <c r="H57" s="90">
        <f t="shared" si="3"/>
        <v>88.57318772706661</v>
      </c>
      <c r="I57" s="90">
        <f t="shared" si="12"/>
        <v>8.8573187727066613E-2</v>
      </c>
      <c r="J57" s="90">
        <f t="shared" si="4"/>
        <v>40.925946235386093</v>
      </c>
      <c r="K57" s="90">
        <f t="shared" si="13"/>
        <v>0.4092594623538609</v>
      </c>
      <c r="L57" s="90">
        <f t="shared" si="5"/>
        <v>36.147327767032728</v>
      </c>
      <c r="M57" s="90">
        <f t="shared" si="14"/>
        <v>8.8323743473470162E-2</v>
      </c>
      <c r="N57" s="91">
        <f t="shared" si="15"/>
        <v>0.40810688532988926</v>
      </c>
      <c r="P57" s="86">
        <f t="shared" si="6"/>
        <v>41.632653061224403</v>
      </c>
      <c r="Q57" s="47">
        <f t="shared" si="7"/>
        <v>7.6469252480716996</v>
      </c>
      <c r="R57" s="87">
        <f t="shared" si="16"/>
        <v>0.40925946235386101</v>
      </c>
      <c r="S57" s="47">
        <f t="shared" si="8"/>
        <v>8.8573187727066613E-2</v>
      </c>
      <c r="T57" s="88">
        <f t="shared" si="9"/>
        <v>7.6469252480717111</v>
      </c>
      <c r="U57" s="88">
        <f t="shared" si="10"/>
        <v>88.57318772706661</v>
      </c>
      <c r="V57" s="88">
        <f t="shared" si="11"/>
        <v>40.925946235386093</v>
      </c>
    </row>
    <row r="58" spans="1:22" x14ac:dyDescent="0.2">
      <c r="A58" s="80">
        <v>17</v>
      </c>
      <c r="B58" s="81">
        <v>44.408163265306101</v>
      </c>
      <c r="C58" s="82">
        <v>7.5977419104530597</v>
      </c>
      <c r="D58" s="82">
        <v>0.42795877524054898</v>
      </c>
      <c r="E58" s="75">
        <v>8.9427739106361898E-2</v>
      </c>
      <c r="G58" s="89">
        <f t="shared" si="2"/>
        <v>7.5977419104530659</v>
      </c>
      <c r="H58" s="90">
        <f t="shared" si="3"/>
        <v>89.709756912274031</v>
      </c>
      <c r="I58" s="90">
        <f t="shared" si="12"/>
        <v>8.9709756912274036E-2</v>
      </c>
      <c r="J58" s="90">
        <f t="shared" si="4"/>
        <v>42.795877524054973</v>
      </c>
      <c r="K58" s="90">
        <f t="shared" si="13"/>
        <v>0.4279587752405497</v>
      </c>
      <c r="L58" s="90">
        <f t="shared" si="5"/>
        <v>38.30915853080139</v>
      </c>
      <c r="M58" s="90">
        <f t="shared" si="14"/>
        <v>8.9516001884219681E-2</v>
      </c>
      <c r="N58" s="91">
        <f t="shared" si="15"/>
        <v>0.42703447037832687</v>
      </c>
      <c r="P58" s="86">
        <f t="shared" si="6"/>
        <v>44.408163265306101</v>
      </c>
      <c r="Q58" s="47">
        <f t="shared" si="7"/>
        <v>7.5977419104530597</v>
      </c>
      <c r="R58" s="87">
        <f t="shared" si="16"/>
        <v>0.42795877524054898</v>
      </c>
      <c r="S58" s="47">
        <f t="shared" si="8"/>
        <v>8.9709756912274036E-2</v>
      </c>
      <c r="T58" s="88">
        <f t="shared" si="9"/>
        <v>7.5977419104530659</v>
      </c>
      <c r="U58" s="88">
        <f t="shared" si="10"/>
        <v>89.709756912274031</v>
      </c>
      <c r="V58" s="88">
        <f t="shared" si="11"/>
        <v>42.795877524054973</v>
      </c>
    </row>
    <row r="59" spans="1:22" x14ac:dyDescent="0.2">
      <c r="A59" s="80">
        <v>18</v>
      </c>
      <c r="B59" s="81">
        <v>47.183673469387699</v>
      </c>
      <c r="C59" s="82">
        <v>7.5457623143130599</v>
      </c>
      <c r="D59" s="82">
        <v>0.44534310555686801</v>
      </c>
      <c r="E59" s="75">
        <v>9.0683229206826796E-2</v>
      </c>
      <c r="G59" s="89">
        <f t="shared" si="2"/>
        <v>7.5457623143130714</v>
      </c>
      <c r="H59" s="90">
        <f t="shared" si="3"/>
        <v>90.898371368077846</v>
      </c>
      <c r="I59" s="90">
        <f t="shared" si="12"/>
        <v>9.0898371368077852E-2</v>
      </c>
      <c r="J59" s="90">
        <f t="shared" si="4"/>
        <v>44.534310555686794</v>
      </c>
      <c r="K59" s="90">
        <f t="shared" si="13"/>
        <v>0.44534310555686796</v>
      </c>
      <c r="L59" s="90">
        <f t="shared" si="5"/>
        <v>40.425009976730514</v>
      </c>
      <c r="M59" s="90">
        <f t="shared" si="14"/>
        <v>9.0772731119710695E-2</v>
      </c>
      <c r="N59" s="91">
        <f t="shared" si="15"/>
        <v>0.44472754977133921</v>
      </c>
      <c r="P59" s="86">
        <f t="shared" si="6"/>
        <v>47.183673469387692</v>
      </c>
      <c r="Q59" s="47">
        <f t="shared" si="7"/>
        <v>7.5457623143130599</v>
      </c>
      <c r="R59" s="87">
        <f t="shared" si="16"/>
        <v>0.44534310555686801</v>
      </c>
      <c r="S59" s="47">
        <f t="shared" si="8"/>
        <v>9.0898371368077852E-2</v>
      </c>
      <c r="T59" s="88">
        <f t="shared" si="9"/>
        <v>7.5457623143130688</v>
      </c>
      <c r="U59" s="88">
        <f t="shared" si="10"/>
        <v>90.898371368077832</v>
      </c>
      <c r="V59" s="88">
        <f t="shared" si="11"/>
        <v>44.534310555686794</v>
      </c>
    </row>
    <row r="60" spans="1:22" x14ac:dyDescent="0.2">
      <c r="A60" s="80">
        <v>19</v>
      </c>
      <c r="B60" s="81">
        <v>49.959183673469298</v>
      </c>
      <c r="C60" s="82">
        <v>7.4905661384774698</v>
      </c>
      <c r="D60" s="82">
        <v>0.46143481828479899</v>
      </c>
      <c r="E60" s="75">
        <v>9.1991235967554E-2</v>
      </c>
      <c r="G60" s="89">
        <f t="shared" si="2"/>
        <v>7.4905661384774742</v>
      </c>
      <c r="H60" s="90">
        <f t="shared" si="3"/>
        <v>92.130692990819497</v>
      </c>
      <c r="I60" s="90">
        <f t="shared" si="12"/>
        <v>9.2130692990819496E-2</v>
      </c>
      <c r="J60" s="90">
        <f t="shared" si="4"/>
        <v>46.143481828479878</v>
      </c>
      <c r="K60" s="90">
        <f t="shared" si="13"/>
        <v>0.46143481828479876</v>
      </c>
      <c r="L60" s="90">
        <f t="shared" si="5"/>
        <v>42.489854248771614</v>
      </c>
      <c r="M60" s="90">
        <f t="shared" si="14"/>
        <v>9.2082028847998126E-2</v>
      </c>
      <c r="N60" s="91">
        <f t="shared" si="15"/>
        <v>0.46119108485383453</v>
      </c>
      <c r="P60" s="86">
        <f t="shared" si="6"/>
        <v>49.959183673469298</v>
      </c>
      <c r="Q60" s="47">
        <f t="shared" si="7"/>
        <v>7.4905661384774698</v>
      </c>
      <c r="R60" s="87">
        <f t="shared" si="16"/>
        <v>0.46143481828479899</v>
      </c>
      <c r="S60" s="47">
        <f t="shared" si="8"/>
        <v>9.2130692990819496E-2</v>
      </c>
      <c r="T60" s="88">
        <f t="shared" si="9"/>
        <v>7.4905661384774742</v>
      </c>
      <c r="U60" s="88">
        <f t="shared" si="10"/>
        <v>92.130692990819497</v>
      </c>
      <c r="V60" s="88">
        <f t="shared" si="11"/>
        <v>46.143481828479878</v>
      </c>
    </row>
    <row r="61" spans="1:22" x14ac:dyDescent="0.2">
      <c r="A61" s="80">
        <v>20</v>
      </c>
      <c r="B61" s="81">
        <v>52.734693877551003</v>
      </c>
      <c r="C61" s="82">
        <v>7.4316835982491503</v>
      </c>
      <c r="D61" s="82">
        <v>0.476260002439301</v>
      </c>
      <c r="E61" s="75">
        <v>9.3339693434157406E-2</v>
      </c>
      <c r="G61" s="89">
        <f t="shared" si="2"/>
        <v>7.4316835982491529</v>
      </c>
      <c r="H61" s="90">
        <f t="shared" si="3"/>
        <v>93.398704682069649</v>
      </c>
      <c r="I61" s="90">
        <f t="shared" si="12"/>
        <v>9.339870468206965E-2</v>
      </c>
      <c r="J61" s="90">
        <f t="shared" si="4"/>
        <v>47.626000243930129</v>
      </c>
      <c r="K61" s="90">
        <f t="shared" si="13"/>
        <v>0.47626000243930128</v>
      </c>
      <c r="L61" s="90">
        <f t="shared" si="5"/>
        <v>44.497837490400975</v>
      </c>
      <c r="M61" s="90">
        <f t="shared" si="14"/>
        <v>9.3431817205922446E-2</v>
      </c>
      <c r="N61" s="91">
        <f t="shared" si="15"/>
        <v>0.47642885029157706</v>
      </c>
      <c r="P61" s="86">
        <f t="shared" si="6"/>
        <v>52.734693877550995</v>
      </c>
      <c r="Q61" s="47">
        <f t="shared" si="7"/>
        <v>7.4316835982491503</v>
      </c>
      <c r="R61" s="87">
        <f t="shared" si="16"/>
        <v>0.476260002439301</v>
      </c>
      <c r="S61" s="47">
        <f t="shared" si="8"/>
        <v>9.339870468206965E-2</v>
      </c>
      <c r="T61" s="88">
        <f t="shared" si="9"/>
        <v>7.4316835982491538</v>
      </c>
      <c r="U61" s="88">
        <f t="shared" si="10"/>
        <v>93.398704682069663</v>
      </c>
      <c r="V61" s="88">
        <f t="shared" si="11"/>
        <v>47.626000243930129</v>
      </c>
    </row>
    <row r="62" spans="1:22" x14ac:dyDescent="0.2">
      <c r="A62" s="80">
        <v>21</v>
      </c>
      <c r="B62" s="81">
        <v>55.510204081632601</v>
      </c>
      <c r="C62" s="82">
        <v>7.3686104845832396</v>
      </c>
      <c r="D62" s="82">
        <v>0.48984595511283502</v>
      </c>
      <c r="E62" s="75">
        <v>9.4716520785440406E-2</v>
      </c>
      <c r="G62" s="89">
        <f t="shared" si="2"/>
        <v>7.3686104845832441</v>
      </c>
      <c r="H62" s="90">
        <f t="shared" si="3"/>
        <v>94.694710348628263</v>
      </c>
      <c r="I62" s="90">
        <f t="shared" si="12"/>
        <v>9.4694710348628267E-2</v>
      </c>
      <c r="J62" s="90">
        <f t="shared" si="4"/>
        <v>48.984595511283558</v>
      </c>
      <c r="K62" s="90">
        <f t="shared" si="13"/>
        <v>0.48984595511283557</v>
      </c>
      <c r="L62" s="90">
        <f t="shared" si="5"/>
        <v>46.44229669364875</v>
      </c>
      <c r="M62" s="90">
        <f t="shared" si="14"/>
        <v>9.4810003448840982E-2</v>
      </c>
      <c r="N62" s="91">
        <f t="shared" si="15"/>
        <v>0.49044235441099809</v>
      </c>
      <c r="P62" s="86">
        <f t="shared" si="6"/>
        <v>55.510204081632601</v>
      </c>
      <c r="Q62" s="47">
        <f t="shared" si="7"/>
        <v>7.3686104845832396</v>
      </c>
      <c r="R62" s="87">
        <f t="shared" si="16"/>
        <v>0.48984595511283502</v>
      </c>
      <c r="S62" s="47">
        <f t="shared" si="8"/>
        <v>9.4694710348628267E-2</v>
      </c>
      <c r="T62" s="88">
        <f t="shared" si="9"/>
        <v>7.3686104845832441</v>
      </c>
      <c r="U62" s="88">
        <f t="shared" si="10"/>
        <v>94.694710348628263</v>
      </c>
      <c r="V62" s="88">
        <f t="shared" si="11"/>
        <v>48.984595511283558</v>
      </c>
    </row>
    <row r="63" spans="1:22" x14ac:dyDescent="0.2">
      <c r="A63" s="80">
        <v>22</v>
      </c>
      <c r="B63" s="81">
        <v>58.285714285714199</v>
      </c>
      <c r="C63" s="82">
        <v>7.3008204497584197</v>
      </c>
      <c r="D63" s="82">
        <v>0.50221874668662003</v>
      </c>
      <c r="E63" s="75">
        <v>9.6109808156011903E-2</v>
      </c>
      <c r="G63" s="89">
        <f t="shared" si="2"/>
        <v>7.3008204497584268</v>
      </c>
      <c r="H63" s="90">
        <f t="shared" si="3"/>
        <v>96.011334902524567</v>
      </c>
      <c r="I63" s="90">
        <f t="shared" si="12"/>
        <v>9.6011334902524573E-2</v>
      </c>
      <c r="J63" s="90">
        <f t="shared" si="4"/>
        <v>50.221874668661954</v>
      </c>
      <c r="K63" s="90">
        <f t="shared" si="13"/>
        <v>0.50221874668661959</v>
      </c>
      <c r="L63" s="90">
        <f t="shared" si="5"/>
        <v>48.315786762151184</v>
      </c>
      <c r="M63" s="90">
        <f t="shared" si="14"/>
        <v>9.6204665956645077E-2</v>
      </c>
      <c r="N63" s="91">
        <f t="shared" si="15"/>
        <v>0.50323002811286555</v>
      </c>
      <c r="P63" s="86">
        <f t="shared" si="6"/>
        <v>58.285714285714199</v>
      </c>
      <c r="Q63" s="47">
        <f t="shared" si="7"/>
        <v>7.3008204497584197</v>
      </c>
      <c r="R63" s="87">
        <f t="shared" si="16"/>
        <v>0.50221874668662003</v>
      </c>
      <c r="S63" s="47">
        <f t="shared" si="8"/>
        <v>9.6011334902524573E-2</v>
      </c>
      <c r="T63" s="88">
        <f t="shared" si="9"/>
        <v>7.3008204497584268</v>
      </c>
      <c r="U63" s="88">
        <f t="shared" si="10"/>
        <v>96.011334902524567</v>
      </c>
      <c r="V63" s="88">
        <f t="shared" si="11"/>
        <v>50.221874668661954</v>
      </c>
    </row>
    <row r="64" spans="1:22" x14ac:dyDescent="0.2">
      <c r="A64" s="80">
        <v>23</v>
      </c>
      <c r="B64" s="81">
        <v>61.061224489795897</v>
      </c>
      <c r="C64" s="82">
        <v>7.2277745395444297</v>
      </c>
      <c r="D64" s="82">
        <v>0.513400867208608</v>
      </c>
      <c r="E64" s="75">
        <v>9.7508022174096098E-2</v>
      </c>
      <c r="G64" s="89">
        <f t="shared" si="2"/>
        <v>7.2277745395444368</v>
      </c>
      <c r="H64" s="90">
        <f t="shared" si="3"/>
        <v>97.341524261017213</v>
      </c>
      <c r="I64" s="90">
        <f t="shared" si="12"/>
        <v>9.7341524261017207E-2</v>
      </c>
      <c r="J64" s="90">
        <f t="shared" si="4"/>
        <v>51.340086720860825</v>
      </c>
      <c r="K64" s="90">
        <f t="shared" si="13"/>
        <v>0.51340086720860822</v>
      </c>
      <c r="L64" s="90">
        <f t="shared" si="5"/>
        <v>50.110111714127243</v>
      </c>
      <c r="M64" s="90">
        <f t="shared" si="14"/>
        <v>9.760425997443084E-2</v>
      </c>
      <c r="N64" s="91">
        <f t="shared" si="15"/>
        <v>0.51478659384620973</v>
      </c>
      <c r="P64" s="86">
        <f t="shared" si="6"/>
        <v>61.061224489795897</v>
      </c>
      <c r="Q64" s="47">
        <f t="shared" si="7"/>
        <v>7.2277745395444297</v>
      </c>
      <c r="R64" s="87">
        <f t="shared" si="16"/>
        <v>0.513400867208608</v>
      </c>
      <c r="S64" s="47">
        <f t="shared" si="8"/>
        <v>9.7341524261017207E-2</v>
      </c>
      <c r="T64" s="88">
        <f t="shared" si="9"/>
        <v>7.2277745395444368</v>
      </c>
      <c r="U64" s="88">
        <f t="shared" si="10"/>
        <v>97.341524261017213</v>
      </c>
      <c r="V64" s="88">
        <f t="shared" si="11"/>
        <v>51.340086720860825</v>
      </c>
    </row>
    <row r="65" spans="1:22" x14ac:dyDescent="0.2">
      <c r="A65" s="80">
        <v>24</v>
      </c>
      <c r="B65" s="81">
        <v>63.836734693877503</v>
      </c>
      <c r="C65" s="82">
        <v>7.1489279718657404</v>
      </c>
      <c r="D65" s="82">
        <v>0.52340895393819697</v>
      </c>
      <c r="E65" s="75">
        <v>9.8900224454887206E-2</v>
      </c>
      <c r="G65" s="89">
        <f t="shared" si="2"/>
        <v>7.1489279718657421</v>
      </c>
      <c r="H65" s="90">
        <f t="shared" si="3"/>
        <v>98.678545346593879</v>
      </c>
      <c r="I65" s="90">
        <f t="shared" si="12"/>
        <v>9.8678545346593885E-2</v>
      </c>
      <c r="J65" s="90">
        <f t="shared" si="4"/>
        <v>52.340895393819714</v>
      </c>
      <c r="K65" s="90">
        <f t="shared" si="13"/>
        <v>0.5234089539381972</v>
      </c>
      <c r="L65" s="90">
        <f t="shared" si="5"/>
        <v>51.816353951181256</v>
      </c>
      <c r="M65" s="90">
        <f t="shared" si="14"/>
        <v>9.8997836321500152E-2</v>
      </c>
      <c r="N65" s="91">
        <f t="shared" si="15"/>
        <v>0.52510253134745688</v>
      </c>
      <c r="P65" s="86">
        <f t="shared" si="6"/>
        <v>63.836734693877503</v>
      </c>
      <c r="Q65" s="47">
        <f t="shared" si="7"/>
        <v>7.1489279718657404</v>
      </c>
      <c r="R65" s="87">
        <f t="shared" si="16"/>
        <v>0.52340895393819697</v>
      </c>
      <c r="S65" s="47">
        <f t="shared" si="8"/>
        <v>9.8678545346593885E-2</v>
      </c>
      <c r="T65" s="88">
        <f t="shared" si="9"/>
        <v>7.1489279718657421</v>
      </c>
      <c r="U65" s="88">
        <f t="shared" si="10"/>
        <v>98.678545346593879</v>
      </c>
      <c r="V65" s="88">
        <f t="shared" si="11"/>
        <v>52.340895393819714</v>
      </c>
    </row>
    <row r="66" spans="1:22" x14ac:dyDescent="0.2">
      <c r="A66" s="80">
        <v>25</v>
      </c>
      <c r="B66" s="81">
        <v>66.612244897959101</v>
      </c>
      <c r="C66" s="82">
        <v>7.0637341619613601</v>
      </c>
      <c r="D66" s="82">
        <v>0.53225160005765804</v>
      </c>
      <c r="E66" s="75">
        <v>0.100276295207136</v>
      </c>
      <c r="G66" s="89">
        <f t="shared" si="2"/>
        <v>7.0637341619613698</v>
      </c>
      <c r="H66" s="90">
        <f t="shared" si="3"/>
        <v>100.01598608697176</v>
      </c>
      <c r="I66" s="90">
        <f t="shared" si="12"/>
        <v>0.10001598608697176</v>
      </c>
      <c r="J66" s="90">
        <f t="shared" si="4"/>
        <v>53.225160005765858</v>
      </c>
      <c r="K66" s="90">
        <f t="shared" si="13"/>
        <v>0.53225160005765859</v>
      </c>
      <c r="L66" s="90">
        <f t="shared" si="5"/>
        <v>53.424895518834226</v>
      </c>
      <c r="M66" s="90">
        <f t="shared" si="14"/>
        <v>0.10037526521864233</v>
      </c>
      <c r="N66" s="91">
        <f t="shared" si="15"/>
        <v>0.53416356333653581</v>
      </c>
      <c r="P66" s="86">
        <f t="shared" si="6"/>
        <v>66.612244897959101</v>
      </c>
      <c r="Q66" s="47">
        <f t="shared" si="7"/>
        <v>7.0637341619613601</v>
      </c>
      <c r="R66" s="87">
        <f t="shared" si="16"/>
        <v>0.53225160005765804</v>
      </c>
      <c r="S66" s="47">
        <f t="shared" si="8"/>
        <v>0.10001598608697176</v>
      </c>
      <c r="T66" s="88">
        <f t="shared" si="9"/>
        <v>7.0637341619613698</v>
      </c>
      <c r="U66" s="88">
        <f t="shared" si="10"/>
        <v>100.01598608697176</v>
      </c>
      <c r="V66" s="88">
        <f t="shared" si="11"/>
        <v>53.225160005765858</v>
      </c>
    </row>
    <row r="67" spans="1:22" x14ac:dyDescent="0.2">
      <c r="A67" s="80">
        <v>26</v>
      </c>
      <c r="B67" s="81">
        <v>69.387755102040799</v>
      </c>
      <c r="C67" s="82">
        <v>6.9716459940409701</v>
      </c>
      <c r="D67" s="82">
        <v>0.53992724455029995</v>
      </c>
      <c r="E67" s="75">
        <v>0.101627153230721</v>
      </c>
      <c r="G67" s="89">
        <f t="shared" si="2"/>
        <v>6.9716459940409754</v>
      </c>
      <c r="H67" s="90">
        <f t="shared" si="3"/>
        <v>101.34775541509732</v>
      </c>
      <c r="I67" s="90">
        <f t="shared" si="12"/>
        <v>0.10134775541509733</v>
      </c>
      <c r="J67" s="90">
        <f t="shared" si="4"/>
        <v>53.992724455030007</v>
      </c>
      <c r="K67" s="90">
        <f t="shared" si="13"/>
        <v>0.53992724455030006</v>
      </c>
      <c r="L67" s="90">
        <f t="shared" si="5"/>
        <v>54.925425284685012</v>
      </c>
      <c r="M67" s="90">
        <f t="shared" si="14"/>
        <v>0.1017274565028328</v>
      </c>
      <c r="N67" s="91">
        <f t="shared" si="15"/>
        <v>0.54195009114630099</v>
      </c>
      <c r="P67" s="86">
        <f t="shared" si="6"/>
        <v>69.387755102040799</v>
      </c>
      <c r="Q67" s="47">
        <f t="shared" si="7"/>
        <v>6.9716459940409701</v>
      </c>
      <c r="R67" s="87">
        <f t="shared" si="16"/>
        <v>0.53992724455029995</v>
      </c>
      <c r="S67" s="47">
        <f t="shared" si="8"/>
        <v>0.10134775541509733</v>
      </c>
      <c r="T67" s="88">
        <f t="shared" si="9"/>
        <v>6.9716459940409754</v>
      </c>
      <c r="U67" s="88">
        <f t="shared" si="10"/>
        <v>101.34775541509732</v>
      </c>
      <c r="V67" s="88">
        <f t="shared" si="11"/>
        <v>53.992724455030007</v>
      </c>
    </row>
    <row r="68" spans="1:22" x14ac:dyDescent="0.2">
      <c r="A68" s="80">
        <v>27</v>
      </c>
      <c r="B68" s="81">
        <v>72.163265306122398</v>
      </c>
      <c r="C68" s="82">
        <v>6.8721143394370499</v>
      </c>
      <c r="D68" s="82">
        <v>0.54642214324534799</v>
      </c>
      <c r="E68" s="75">
        <v>0.102944963022568</v>
      </c>
      <c r="G68" s="89">
        <f t="shared" si="2"/>
        <v>6.8721143394370596</v>
      </c>
      <c r="H68" s="90">
        <f t="shared" si="3"/>
        <v>102.66808326914612</v>
      </c>
      <c r="I68" s="90">
        <f t="shared" si="12"/>
        <v>0.10266808326914613</v>
      </c>
      <c r="J68" s="90">
        <f t="shared" si="4"/>
        <v>54.642214324534862</v>
      </c>
      <c r="K68" s="90">
        <f t="shared" si="13"/>
        <v>0.54642214324534866</v>
      </c>
      <c r="L68" s="90">
        <f t="shared" si="5"/>
        <v>56.306925960101694</v>
      </c>
      <c r="M68" s="90">
        <f t="shared" si="14"/>
        <v>0.10304656693756893</v>
      </c>
      <c r="N68" s="91">
        <f t="shared" si="15"/>
        <v>0.5484365166581725</v>
      </c>
      <c r="P68" s="86">
        <f t="shared" si="6"/>
        <v>72.163265306122398</v>
      </c>
      <c r="Q68" s="47">
        <f t="shared" si="7"/>
        <v>6.8721143394370499</v>
      </c>
      <c r="R68" s="87">
        <f t="shared" si="16"/>
        <v>0.54642214324534799</v>
      </c>
      <c r="S68" s="47">
        <f t="shared" si="8"/>
        <v>0.10266808326914613</v>
      </c>
      <c r="T68" s="88">
        <f t="shared" si="9"/>
        <v>6.8721143394370596</v>
      </c>
      <c r="U68" s="88">
        <f t="shared" si="10"/>
        <v>102.66808326914612</v>
      </c>
      <c r="V68" s="88">
        <f t="shared" si="11"/>
        <v>54.642214324534862</v>
      </c>
    </row>
    <row r="69" spans="1:22" x14ac:dyDescent="0.2">
      <c r="A69" s="80">
        <v>28</v>
      </c>
      <c r="B69" s="81">
        <v>74.938775510203996</v>
      </c>
      <c r="C69" s="82">
        <v>6.7645838212533498</v>
      </c>
      <c r="D69" s="82">
        <v>0.55170842102956497</v>
      </c>
      <c r="E69" s="75">
        <v>0.10422331954991799</v>
      </c>
      <c r="G69" s="89">
        <f t="shared" si="2"/>
        <v>6.7645838212533569</v>
      </c>
      <c r="H69" s="90">
        <f t="shared" si="3"/>
        <v>103.97152059252322</v>
      </c>
      <c r="I69" s="90">
        <f t="shared" si="12"/>
        <v>0.10397152059252322</v>
      </c>
      <c r="J69" s="90">
        <f t="shared" si="4"/>
        <v>55.170842102956478</v>
      </c>
      <c r="K69" s="90">
        <f t="shared" si="13"/>
        <v>0.55170842102956474</v>
      </c>
      <c r="L69" s="90">
        <f t="shared" si="5"/>
        <v>57.557634891347952</v>
      </c>
      <c r="M69" s="90">
        <f t="shared" si="14"/>
        <v>0.10432618516849423</v>
      </c>
      <c r="N69" s="91">
        <f t="shared" si="15"/>
        <v>0.55359039247798614</v>
      </c>
      <c r="P69" s="86">
        <f t="shared" si="6"/>
        <v>74.938775510203996</v>
      </c>
      <c r="Q69" s="47">
        <f t="shared" si="7"/>
        <v>6.7645838212533498</v>
      </c>
      <c r="R69" s="87">
        <f t="shared" si="16"/>
        <v>0.55170842102956497</v>
      </c>
      <c r="S69" s="47">
        <f t="shared" si="8"/>
        <v>0.10397152059252322</v>
      </c>
      <c r="T69" s="88">
        <f t="shared" si="9"/>
        <v>6.7645838212533569</v>
      </c>
      <c r="U69" s="88">
        <f t="shared" si="10"/>
        <v>103.97152059252322</v>
      </c>
      <c r="V69" s="88">
        <f t="shared" si="11"/>
        <v>55.170842102956478</v>
      </c>
    </row>
    <row r="70" spans="1:22" x14ac:dyDescent="0.2">
      <c r="A70" s="80">
        <v>29</v>
      </c>
      <c r="B70" s="81">
        <v>77.714285714285694</v>
      </c>
      <c r="C70" s="82">
        <v>6.6484858255094297</v>
      </c>
      <c r="D70" s="82">
        <v>0.55574220522557904</v>
      </c>
      <c r="E70" s="75">
        <v>0.10545740152904701</v>
      </c>
      <c r="G70" s="89">
        <f t="shared" si="2"/>
        <v>6.6484858255094395</v>
      </c>
      <c r="H70" s="90">
        <f t="shared" si="3"/>
        <v>105.25293933386291</v>
      </c>
      <c r="I70" s="90">
        <f t="shared" si="12"/>
        <v>0.10525293933386291</v>
      </c>
      <c r="J70" s="90">
        <f t="shared" si="4"/>
        <v>55.574220522557958</v>
      </c>
      <c r="K70" s="90">
        <f t="shared" si="13"/>
        <v>0.5557422052255796</v>
      </c>
      <c r="L70" s="90">
        <f t="shared" si="5"/>
        <v>58.664972546042719</v>
      </c>
      <c r="M70" s="90">
        <f t="shared" si="14"/>
        <v>0.10556148515340885</v>
      </c>
      <c r="N70" s="91">
        <f t="shared" si="15"/>
        <v>0.55737134675124933</v>
      </c>
      <c r="P70" s="86">
        <f t="shared" si="6"/>
        <v>77.714285714285694</v>
      </c>
      <c r="Q70" s="47">
        <f t="shared" si="7"/>
        <v>6.6484858255094297</v>
      </c>
      <c r="R70" s="87">
        <f t="shared" si="16"/>
        <v>0.55574220522557904</v>
      </c>
      <c r="S70" s="47">
        <f t="shared" si="8"/>
        <v>0.10525293933386291</v>
      </c>
      <c r="T70" s="88">
        <f t="shared" si="9"/>
        <v>6.6484858255094395</v>
      </c>
      <c r="U70" s="88">
        <f t="shared" si="10"/>
        <v>105.25293933386291</v>
      </c>
      <c r="V70" s="88">
        <f t="shared" si="11"/>
        <v>55.574220522557958</v>
      </c>
    </row>
    <row r="71" spans="1:22" x14ac:dyDescent="0.2">
      <c r="A71" s="80">
        <v>30</v>
      </c>
      <c r="B71" s="81">
        <v>80.489795918367307</v>
      </c>
      <c r="C71" s="82">
        <v>6.5232287587814897</v>
      </c>
      <c r="D71" s="82">
        <v>0.55846184013696198</v>
      </c>
      <c r="E71" s="75">
        <v>0.1066440847412</v>
      </c>
      <c r="G71" s="89">
        <f t="shared" si="2"/>
        <v>6.5232287587814923</v>
      </c>
      <c r="H71" s="90">
        <f t="shared" si="3"/>
        <v>106.50753244702867</v>
      </c>
      <c r="I71" s="90">
        <f t="shared" si="12"/>
        <v>0.10650753244702867</v>
      </c>
      <c r="J71" s="90">
        <f t="shared" si="4"/>
        <v>55.846184013696217</v>
      </c>
      <c r="K71" s="90">
        <f t="shared" si="13"/>
        <v>0.55846184013696221</v>
      </c>
      <c r="L71" s="90">
        <f t="shared" si="5"/>
        <v>59.615432620857277</v>
      </c>
      <c r="M71" s="90">
        <f t="shared" si="14"/>
        <v>0.10674933959003655</v>
      </c>
      <c r="N71" s="91">
        <f t="shared" si="15"/>
        <v>0.55972973226571465</v>
      </c>
      <c r="P71" s="86">
        <f t="shared" si="6"/>
        <v>80.489795918367307</v>
      </c>
      <c r="Q71" s="47">
        <f t="shared" si="7"/>
        <v>6.5232287587814897</v>
      </c>
      <c r="R71" s="87">
        <f t="shared" si="16"/>
        <v>0.55846184013696198</v>
      </c>
      <c r="S71" s="47">
        <f t="shared" si="8"/>
        <v>0.10650753244702867</v>
      </c>
      <c r="T71" s="88">
        <f t="shared" si="9"/>
        <v>6.5232287587814923</v>
      </c>
      <c r="U71" s="88">
        <f t="shared" si="10"/>
        <v>106.50753244702867</v>
      </c>
      <c r="V71" s="88">
        <f t="shared" si="11"/>
        <v>55.846184013696217</v>
      </c>
    </row>
    <row r="72" spans="1:22" x14ac:dyDescent="0.2">
      <c r="A72" s="80">
        <v>31</v>
      </c>
      <c r="B72" s="81">
        <v>83.265306122448905</v>
      </c>
      <c r="C72" s="82">
        <v>6.3881855523392597</v>
      </c>
      <c r="D72" s="82">
        <v>0.55978618276000702</v>
      </c>
      <c r="E72" s="75">
        <v>0.107782007932318</v>
      </c>
      <c r="G72" s="89">
        <f t="shared" si="2"/>
        <v>6.3881855523392641</v>
      </c>
      <c r="H72" s="90">
        <f t="shared" si="3"/>
        <v>107.7308138911134</v>
      </c>
      <c r="I72" s="90">
        <f t="shared" si="12"/>
        <v>0.1077308138911134</v>
      </c>
      <c r="J72" s="90">
        <f t="shared" si="4"/>
        <v>55.978618276000802</v>
      </c>
      <c r="K72" s="90">
        <f t="shared" si="13"/>
        <v>0.55978618276000802</v>
      </c>
      <c r="L72" s="90">
        <f t="shared" si="5"/>
        <v>60.394427696350206</v>
      </c>
      <c r="M72" s="90">
        <f t="shared" si="14"/>
        <v>0.10788838588079719</v>
      </c>
      <c r="N72" s="91">
        <f t="shared" si="15"/>
        <v>0.56060495149876588</v>
      </c>
      <c r="P72" s="86">
        <f t="shared" si="6"/>
        <v>83.265306122448905</v>
      </c>
      <c r="Q72" s="47">
        <f t="shared" si="7"/>
        <v>6.3881855523392597</v>
      </c>
      <c r="R72" s="87">
        <f t="shared" si="16"/>
        <v>0.55978618276000702</v>
      </c>
      <c r="S72" s="47">
        <f t="shared" si="8"/>
        <v>0.1077308138911134</v>
      </c>
      <c r="T72" s="88">
        <f t="shared" si="9"/>
        <v>6.3881855523392641</v>
      </c>
      <c r="U72" s="88">
        <f t="shared" si="10"/>
        <v>107.7308138911134</v>
      </c>
      <c r="V72" s="88">
        <f t="shared" si="11"/>
        <v>55.978618276000802</v>
      </c>
    </row>
    <row r="73" spans="1:22" x14ac:dyDescent="0.2">
      <c r="A73" s="80">
        <v>32</v>
      </c>
      <c r="B73" s="81">
        <v>86.040816326530603</v>
      </c>
      <c r="C73" s="82">
        <v>6.2426784127791901</v>
      </c>
      <c r="D73" s="82">
        <v>0.55961297966225898</v>
      </c>
      <c r="E73" s="75">
        <v>0.10887158500581801</v>
      </c>
      <c r="G73" s="89">
        <f t="shared" si="2"/>
        <v>6.2426784127791795</v>
      </c>
      <c r="H73" s="90">
        <f t="shared" si="3"/>
        <v>108.91861863043923</v>
      </c>
      <c r="I73" s="90">
        <f t="shared" si="12"/>
        <v>0.10891861863043922</v>
      </c>
      <c r="J73" s="90">
        <f t="shared" si="4"/>
        <v>55.96129796622597</v>
      </c>
      <c r="K73" s="90">
        <f t="shared" si="13"/>
        <v>0.55961297966225976</v>
      </c>
      <c r="L73" s="90">
        <f t="shared" si="5"/>
        <v>60.986084364842689</v>
      </c>
      <c r="M73" s="90">
        <f t="shared" si="14"/>
        <v>0.10897903833761914</v>
      </c>
      <c r="N73" s="91">
        <f t="shared" si="15"/>
        <v>0.55992341008077251</v>
      </c>
      <c r="P73" s="86">
        <f t="shared" si="6"/>
        <v>86.040816326530603</v>
      </c>
      <c r="Q73" s="47">
        <f t="shared" si="7"/>
        <v>6.2426784127791901</v>
      </c>
      <c r="R73" s="87">
        <f t="shared" si="16"/>
        <v>0.55961297966225898</v>
      </c>
      <c r="S73" s="47">
        <f t="shared" si="8"/>
        <v>0.10891861863043922</v>
      </c>
      <c r="T73" s="88">
        <f t="shared" si="9"/>
        <v>6.2426784127791795</v>
      </c>
      <c r="U73" s="88">
        <f t="shared" si="10"/>
        <v>108.91861863043923</v>
      </c>
      <c r="V73" s="88">
        <f t="shared" si="11"/>
        <v>55.96129796622597</v>
      </c>
    </row>
    <row r="74" spans="1:22" x14ac:dyDescent="0.2">
      <c r="A74" s="80">
        <v>33</v>
      </c>
      <c r="B74" s="81">
        <v>88.816326530612201</v>
      </c>
      <c r="C74" s="82">
        <v>6.0859608191537102</v>
      </c>
      <c r="D74" s="82">
        <v>0.55781732502775005</v>
      </c>
      <c r="E74" s="75">
        <v>0.10991495826016399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6.0859608191537262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110.06710263455753</v>
      </c>
      <c r="I74" s="90">
        <f t="shared" si="12"/>
        <v>0.11006710263455753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55.781732502775014</v>
      </c>
      <c r="K74" s="90">
        <f t="shared" si="13"/>
        <v>0.55781732502775017</v>
      </c>
      <c r="L74" s="90">
        <f t="shared" ref="L74:L91" si="20">Подача_пласт_м3_сут*Напор_м*9.81*1000/86400</f>
        <v>61.372981757234399</v>
      </c>
      <c r="M74" s="90">
        <f t="shared" si="14"/>
        <v>0.11002344137335862</v>
      </c>
      <c r="N74" s="91">
        <f t="shared" si="15"/>
        <v>0.55759605084730612</v>
      </c>
      <c r="P74" s="86">
        <f t="shared" ref="P74:P91" si="21">Подача_пласт_м3_сут*f_50_hz/f_nom</f>
        <v>88.816326530612201</v>
      </c>
      <c r="Q74" s="47">
        <f t="shared" ref="Q74:Q91" si="22">Напор_м*(f_50_hz/f_nom)^2</f>
        <v>6.0859608191537102</v>
      </c>
      <c r="R74" s="87">
        <f t="shared" si="16"/>
        <v>0.55781732502775005</v>
      </c>
      <c r="S74" s="47">
        <f t="shared" ref="S74:S91" si="23">I74*(f_50_hz/f_nom)^3</f>
        <v>0.11006710263455753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6.0859608191537262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110.06710263455753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55.781732502775014</v>
      </c>
    </row>
    <row r="75" spans="1:22" x14ac:dyDescent="0.2">
      <c r="A75" s="80">
        <v>34</v>
      </c>
      <c r="B75" s="81">
        <v>91.5918367346938</v>
      </c>
      <c r="C75" s="82">
        <v>5.9171967665968399</v>
      </c>
      <c r="D75" s="82">
        <v>0.55425019986897395</v>
      </c>
      <c r="E75" s="75">
        <v>0.11091588795707499</v>
      </c>
      <c r="G75" s="89">
        <f t="shared" si="17"/>
        <v>5.9171967665968506</v>
      </c>
      <c r="H75" s="90">
        <f t="shared" si="18"/>
        <v>111.17274287824904</v>
      </c>
      <c r="I75" s="90">
        <f t="shared" si="12"/>
        <v>0.11117274287824903</v>
      </c>
      <c r="J75" s="90">
        <f t="shared" si="19"/>
        <v>55.425019986897553</v>
      </c>
      <c r="K75" s="90">
        <f t="shared" si="13"/>
        <v>0.5542501998689755</v>
      </c>
      <c r="L75" s="90">
        <f t="shared" si="20"/>
        <v>61.535827394664949</v>
      </c>
      <c r="M75" s="90">
        <f t="shared" si="14"/>
        <v>0.11102535896101073</v>
      </c>
      <c r="N75" s="91">
        <f t="shared" si="15"/>
        <v>0.55351541935109028</v>
      </c>
      <c r="P75" s="86">
        <f t="shared" si="21"/>
        <v>91.5918367346938</v>
      </c>
      <c r="Q75" s="47">
        <f t="shared" si="22"/>
        <v>5.9171967665968399</v>
      </c>
      <c r="R75" s="87">
        <f t="shared" si="16"/>
        <v>0.55425019986897395</v>
      </c>
      <c r="S75" s="47">
        <f t="shared" si="23"/>
        <v>0.11117274287824903</v>
      </c>
      <c r="T75" s="88">
        <f t="shared" si="24"/>
        <v>5.9171967665968506</v>
      </c>
      <c r="U75" s="88">
        <f t="shared" si="25"/>
        <v>111.17274287824904</v>
      </c>
      <c r="V75" s="88">
        <f t="shared" si="26"/>
        <v>55.425019986897553</v>
      </c>
    </row>
    <row r="76" spans="1:22" x14ac:dyDescent="0.2">
      <c r="A76" s="80">
        <v>35</v>
      </c>
      <c r="B76" s="81">
        <v>94.367346938775498</v>
      </c>
      <c r="C76" s="82">
        <v>5.7354372564457599</v>
      </c>
      <c r="D76" s="82">
        <v>0.54873709240558699</v>
      </c>
      <c r="E76" s="75">
        <v>0.11187957296706599</v>
      </c>
      <c r="G76" s="89">
        <f t="shared" si="17"/>
        <v>5.7354372564457741</v>
      </c>
      <c r="H76" s="90">
        <f t="shared" si="18"/>
        <v>112.23233734152376</v>
      </c>
      <c r="I76" s="90">
        <f t="shared" si="12"/>
        <v>0.11223233734152376</v>
      </c>
      <c r="J76" s="90">
        <f t="shared" si="19"/>
        <v>54.873709240558675</v>
      </c>
      <c r="K76" s="90">
        <f t="shared" si="13"/>
        <v>0.54873709240558677</v>
      </c>
      <c r="L76" s="90">
        <f t="shared" si="20"/>
        <v>61.453064290917645</v>
      </c>
      <c r="M76" s="90">
        <f t="shared" si="14"/>
        <v>0.11198999510223738</v>
      </c>
      <c r="N76" s="91">
        <f t="shared" si="15"/>
        <v>0.54755220951975325</v>
      </c>
      <c r="P76" s="86">
        <f t="shared" si="21"/>
        <v>94.367346938775498</v>
      </c>
      <c r="Q76" s="47">
        <f t="shared" si="22"/>
        <v>5.7354372564457599</v>
      </c>
      <c r="R76" s="87">
        <f t="shared" si="16"/>
        <v>0.54873709240558699</v>
      </c>
      <c r="S76" s="47">
        <f t="shared" si="23"/>
        <v>0.11223233734152376</v>
      </c>
      <c r="T76" s="88">
        <f t="shared" si="24"/>
        <v>5.7354372564457741</v>
      </c>
      <c r="U76" s="88">
        <f t="shared" si="25"/>
        <v>112.23233734152376</v>
      </c>
      <c r="V76" s="88">
        <f t="shared" si="26"/>
        <v>54.873709240558675</v>
      </c>
    </row>
    <row r="77" spans="1:22" x14ac:dyDescent="0.2">
      <c r="A77" s="80">
        <v>36</v>
      </c>
      <c r="B77" s="81">
        <v>97.142857142857096</v>
      </c>
      <c r="C77" s="82">
        <v>5.5395940328587603</v>
      </c>
      <c r="D77" s="82">
        <v>0.54107669960982196</v>
      </c>
      <c r="E77" s="75">
        <v>0.11281239476381499</v>
      </c>
      <c r="G77" s="89">
        <f t="shared" si="17"/>
        <v>5.5395940328587603</v>
      </c>
      <c r="H77" s="90">
        <f t="shared" si="18"/>
        <v>113.24300500962096</v>
      </c>
      <c r="I77" s="90">
        <f t="shared" si="12"/>
        <v>0.11324300500962096</v>
      </c>
      <c r="J77" s="90">
        <f t="shared" si="19"/>
        <v>54.107669960982349</v>
      </c>
      <c r="K77" s="90">
        <f t="shared" si="13"/>
        <v>0.54107669960982352</v>
      </c>
      <c r="L77" s="90">
        <f t="shared" si="20"/>
        <v>61.100403231471901</v>
      </c>
      <c r="M77" s="90">
        <f t="shared" si="14"/>
        <v>0.1129237375690583</v>
      </c>
      <c r="N77" s="91">
        <f t="shared" si="15"/>
        <v>0.53955123520680948</v>
      </c>
      <c r="P77" s="86">
        <f t="shared" si="21"/>
        <v>97.142857142857096</v>
      </c>
      <c r="Q77" s="47">
        <f t="shared" si="22"/>
        <v>5.5395940328587603</v>
      </c>
      <c r="R77" s="87">
        <f t="shared" si="16"/>
        <v>0.54107669960982196</v>
      </c>
      <c r="S77" s="47">
        <f t="shared" si="23"/>
        <v>0.11324300500962096</v>
      </c>
      <c r="T77" s="88">
        <f t="shared" si="24"/>
        <v>5.5395940328587603</v>
      </c>
      <c r="U77" s="88">
        <f t="shared" si="25"/>
        <v>113.24300500962096</v>
      </c>
      <c r="V77" s="88">
        <f t="shared" si="26"/>
        <v>54.107669960982349</v>
      </c>
    </row>
    <row r="78" spans="1:22" x14ac:dyDescent="0.2">
      <c r="A78" s="80">
        <v>37</v>
      </c>
      <c r="B78" s="81">
        <v>99.918367346938695</v>
      </c>
      <c r="C78" s="82">
        <v>5.32841056592921</v>
      </c>
      <c r="D78" s="82">
        <v>0.53103970991865201</v>
      </c>
      <c r="E78" s="75">
        <v>0.11372157120611</v>
      </c>
      <c r="G78" s="89">
        <f t="shared" si="17"/>
        <v>5.3284105659292269</v>
      </c>
      <c r="H78" s="90">
        <f t="shared" si="18"/>
        <v>114.20218587300917</v>
      </c>
      <c r="I78" s="90">
        <f t="shared" si="12"/>
        <v>0.11420218587300918</v>
      </c>
      <c r="J78" s="90">
        <f t="shared" si="19"/>
        <v>53.103970991865296</v>
      </c>
      <c r="K78" s="90">
        <f t="shared" si="13"/>
        <v>0.53103970991865301</v>
      </c>
      <c r="L78" s="90">
        <f t="shared" si="20"/>
        <v>60.450274155102974</v>
      </c>
      <c r="M78" s="90">
        <f t="shared" si="14"/>
        <v>0.11383381134409518</v>
      </c>
      <c r="N78" s="91">
        <f t="shared" si="15"/>
        <v>0.52932676982490179</v>
      </c>
      <c r="P78" s="86">
        <f t="shared" si="21"/>
        <v>99.918367346938709</v>
      </c>
      <c r="Q78" s="47">
        <f t="shared" si="22"/>
        <v>5.32841056592921</v>
      </c>
      <c r="R78" s="87">
        <f t="shared" si="16"/>
        <v>0.53103970991865201</v>
      </c>
      <c r="S78" s="47">
        <f t="shared" si="23"/>
        <v>0.11420218587300918</v>
      </c>
      <c r="T78" s="88">
        <f t="shared" si="24"/>
        <v>5.3284105659292376</v>
      </c>
      <c r="U78" s="88">
        <f t="shared" si="25"/>
        <v>114.20218587300917</v>
      </c>
      <c r="V78" s="88">
        <f t="shared" si="26"/>
        <v>53.103970991865197</v>
      </c>
    </row>
    <row r="79" spans="1:22" x14ac:dyDescent="0.2">
      <c r="A79" s="80">
        <v>38</v>
      </c>
      <c r="B79" s="81">
        <v>102.69387755101999</v>
      </c>
      <c r="C79" s="82">
        <v>5.1004302812959299</v>
      </c>
      <c r="D79" s="82">
        <v>0.51836766711265503</v>
      </c>
      <c r="E79" s="75">
        <v>0.114614694818775</v>
      </c>
      <c r="G79" s="89">
        <f t="shared" si="17"/>
        <v>5.1004302812959725</v>
      </c>
      <c r="H79" s="90">
        <f t="shared" si="18"/>
        <v>115.10764092738617</v>
      </c>
      <c r="I79" s="90">
        <f t="shared" si="12"/>
        <v>0.11510764092738617</v>
      </c>
      <c r="J79" s="90">
        <f t="shared" si="19"/>
        <v>51.836766711265746</v>
      </c>
      <c r="K79" s="90">
        <f t="shared" si="13"/>
        <v>0.51836766711265747</v>
      </c>
      <c r="L79" s="90">
        <f t="shared" si="20"/>
        <v>59.471190563933469</v>
      </c>
      <c r="M79" s="90">
        <f t="shared" si="14"/>
        <v>0.11472781644579025</v>
      </c>
      <c r="N79" s="91">
        <f t="shared" si="15"/>
        <v>0.51665719221411133</v>
      </c>
      <c r="P79" s="86">
        <f t="shared" si="21"/>
        <v>102.69387755101999</v>
      </c>
      <c r="Q79" s="47">
        <f t="shared" si="22"/>
        <v>5.1004302812959299</v>
      </c>
      <c r="R79" s="87">
        <f t="shared" si="16"/>
        <v>0.51836766711265503</v>
      </c>
      <c r="S79" s="47">
        <f t="shared" si="23"/>
        <v>0.11510764092738617</v>
      </c>
      <c r="T79" s="88">
        <f t="shared" si="24"/>
        <v>5.1004302812959725</v>
      </c>
      <c r="U79" s="88">
        <f t="shared" si="25"/>
        <v>115.10764092738617</v>
      </c>
      <c r="V79" s="88">
        <f t="shared" si="26"/>
        <v>51.836766711265746</v>
      </c>
    </row>
    <row r="80" spans="1:22" x14ac:dyDescent="0.2">
      <c r="A80" s="80">
        <v>39</v>
      </c>
      <c r="B80" s="81">
        <v>105.46938775510201</v>
      </c>
      <c r="C80" s="82">
        <v>4.8539620362494498</v>
      </c>
      <c r="D80" s="82">
        <v>0.50277191536162602</v>
      </c>
      <c r="E80" s="75">
        <v>0.115499107788214</v>
      </c>
      <c r="G80" s="89">
        <f t="shared" si="17"/>
        <v>4.853962036249472</v>
      </c>
      <c r="H80" s="90">
        <f t="shared" si="18"/>
        <v>115.95745217367951</v>
      </c>
      <c r="I80" s="90">
        <f t="shared" si="12"/>
        <v>0.11595745217367952</v>
      </c>
      <c r="J80" s="90">
        <f t="shared" si="19"/>
        <v>50.277191536162555</v>
      </c>
      <c r="K80" s="90">
        <f t="shared" si="13"/>
        <v>0.50277191536162558</v>
      </c>
      <c r="L80" s="90">
        <f t="shared" si="20"/>
        <v>58.12702088783481</v>
      </c>
      <c r="M80" s="90">
        <f t="shared" si="14"/>
        <v>0.11561310230708921</v>
      </c>
      <c r="N80" s="91">
        <f t="shared" si="15"/>
        <v>0.50127887253656578</v>
      </c>
      <c r="P80" s="86">
        <f t="shared" si="21"/>
        <v>105.46938775510199</v>
      </c>
      <c r="Q80" s="47">
        <f t="shared" si="22"/>
        <v>4.8539620362494498</v>
      </c>
      <c r="R80" s="87">
        <f t="shared" si="16"/>
        <v>0.50277191536162602</v>
      </c>
      <c r="S80" s="47">
        <f t="shared" si="23"/>
        <v>0.11595745217367952</v>
      </c>
      <c r="T80" s="88">
        <f t="shared" si="24"/>
        <v>4.8539620362494631</v>
      </c>
      <c r="U80" s="88">
        <f t="shared" si="25"/>
        <v>115.95745217367953</v>
      </c>
      <c r="V80" s="88">
        <f t="shared" si="26"/>
        <v>50.277191536162647</v>
      </c>
    </row>
    <row r="81" spans="1:22" x14ac:dyDescent="0.2">
      <c r="A81" s="80">
        <v>40</v>
      </c>
      <c r="B81" s="81">
        <v>108.24489795918301</v>
      </c>
      <c r="C81" s="82">
        <v>4.5870428423347702</v>
      </c>
      <c r="D81" s="82">
        <v>0.48393262543689702</v>
      </c>
      <c r="E81" s="75">
        <v>0.11638102263462199</v>
      </c>
      <c r="G81" s="89">
        <f t="shared" si="17"/>
        <v>4.5870428423348351</v>
      </c>
      <c r="H81" s="90">
        <f t="shared" si="18"/>
        <v>116.75002261804498</v>
      </c>
      <c r="I81" s="90">
        <f t="shared" si="12"/>
        <v>0.11675002261804499</v>
      </c>
      <c r="J81" s="90">
        <f t="shared" si="19"/>
        <v>48.393262543690348</v>
      </c>
      <c r="K81" s="90">
        <f t="shared" si="13"/>
        <v>0.48393262543690346</v>
      </c>
      <c r="L81" s="90">
        <f t="shared" si="20"/>
        <v>56.376160729082443</v>
      </c>
      <c r="M81" s="90">
        <f t="shared" si="14"/>
        <v>0.11649588757977412</v>
      </c>
      <c r="N81" s="91">
        <f t="shared" si="15"/>
        <v>0.48287922747150624</v>
      </c>
      <c r="P81" s="86">
        <f t="shared" si="21"/>
        <v>108.24489795918299</v>
      </c>
      <c r="Q81" s="47">
        <f t="shared" si="22"/>
        <v>4.5870428423347702</v>
      </c>
      <c r="R81" s="87">
        <f t="shared" si="16"/>
        <v>0.48393262543689702</v>
      </c>
      <c r="S81" s="47">
        <f t="shared" si="23"/>
        <v>0.11675002261804499</v>
      </c>
      <c r="T81" s="88">
        <f t="shared" si="24"/>
        <v>4.5870428423348368</v>
      </c>
      <c r="U81" s="88">
        <f t="shared" si="25"/>
        <v>116.75002261804499</v>
      </c>
      <c r="V81" s="88">
        <f t="shared" si="26"/>
        <v>48.39326254369044</v>
      </c>
    </row>
    <row r="82" spans="1:22" x14ac:dyDescent="0.2">
      <c r="A82" s="80">
        <v>41</v>
      </c>
      <c r="B82" s="81">
        <v>111.020408163265</v>
      </c>
      <c r="C82" s="82">
        <v>4.2973978344499697</v>
      </c>
      <c r="D82" s="82">
        <v>0.46149790209040997</v>
      </c>
      <c r="E82" s="75">
        <v>0.117264211725609</v>
      </c>
      <c r="G82" s="89">
        <f t="shared" si="17"/>
        <v>4.2973978344500363</v>
      </c>
      <c r="H82" s="90">
        <f t="shared" si="18"/>
        <v>117.48407627186893</v>
      </c>
      <c r="I82" s="90">
        <f t="shared" si="12"/>
        <v>0.11748407627186892</v>
      </c>
      <c r="J82" s="90">
        <f t="shared" si="19"/>
        <v>46.149790209041086</v>
      </c>
      <c r="K82" s="90">
        <f t="shared" si="13"/>
        <v>0.46149790209041086</v>
      </c>
      <c r="L82" s="90">
        <f t="shared" si="20"/>
        <v>54.170599913168523</v>
      </c>
      <c r="M82" s="90">
        <f t="shared" si="14"/>
        <v>0.11737994835468635</v>
      </c>
      <c r="N82" s="91">
        <f t="shared" si="15"/>
        <v>0.46108886950613448</v>
      </c>
      <c r="P82" s="86">
        <f t="shared" si="21"/>
        <v>111.020408163265</v>
      </c>
      <c r="Q82" s="47">
        <f t="shared" si="22"/>
        <v>4.2973978344499697</v>
      </c>
      <c r="R82" s="87">
        <f t="shared" si="16"/>
        <v>0.46149790209040997</v>
      </c>
      <c r="S82" s="47">
        <f t="shared" si="23"/>
        <v>0.11748407627186892</v>
      </c>
      <c r="T82" s="88">
        <f t="shared" si="24"/>
        <v>4.2973978344500363</v>
      </c>
      <c r="U82" s="88">
        <f t="shared" si="25"/>
        <v>117.48407627186893</v>
      </c>
      <c r="V82" s="88">
        <f t="shared" si="26"/>
        <v>46.149790209041086</v>
      </c>
    </row>
    <row r="83" spans="1:22" x14ac:dyDescent="0.2">
      <c r="A83" s="80">
        <v>42</v>
      </c>
      <c r="B83" s="81">
        <v>113.795918367346</v>
      </c>
      <c r="C83" s="82">
        <v>3.9823974864413998</v>
      </c>
      <c r="D83" s="82">
        <v>0.43508297260047701</v>
      </c>
      <c r="E83" s="75">
        <v>0.118147909706629</v>
      </c>
      <c r="G83" s="89">
        <f t="shared" si="17"/>
        <v>3.9823974864415277</v>
      </c>
      <c r="H83" s="90">
        <f t="shared" si="18"/>
        <v>118.15865815176585</v>
      </c>
      <c r="I83" s="90">
        <f t="shared" si="12"/>
        <v>0.11815865815176585</v>
      </c>
      <c r="J83" s="90">
        <f t="shared" si="19"/>
        <v>43.508297260048508</v>
      </c>
      <c r="K83" s="90">
        <f t="shared" si="13"/>
        <v>0.43508297260048506</v>
      </c>
      <c r="L83" s="90">
        <f t="shared" si="20"/>
        <v>51.45487827166837</v>
      </c>
      <c r="M83" s="90">
        <f t="shared" si="14"/>
        <v>0.11826451852188849</v>
      </c>
      <c r="N83" s="91">
        <f t="shared" si="15"/>
        <v>0.43547277090417258</v>
      </c>
      <c r="P83" s="86">
        <f t="shared" si="21"/>
        <v>113.795918367346</v>
      </c>
      <c r="Q83" s="47">
        <f t="shared" si="22"/>
        <v>3.9823974864413998</v>
      </c>
      <c r="R83" s="87">
        <f t="shared" si="16"/>
        <v>0.43508297260047701</v>
      </c>
      <c r="S83" s="47">
        <f t="shared" si="23"/>
        <v>0.11815865815176585</v>
      </c>
      <c r="T83" s="88">
        <f t="shared" si="24"/>
        <v>3.9823974864415277</v>
      </c>
      <c r="U83" s="88">
        <f t="shared" si="25"/>
        <v>118.15865815176585</v>
      </c>
      <c r="V83" s="88">
        <f t="shared" si="26"/>
        <v>43.508297260048508</v>
      </c>
    </row>
    <row r="84" spans="1:22" x14ac:dyDescent="0.2">
      <c r="A84" s="80">
        <v>43</v>
      </c>
      <c r="B84" s="81">
        <v>116.571428571428</v>
      </c>
      <c r="C84" s="82">
        <v>3.6390120731945901</v>
      </c>
      <c r="D84" s="82">
        <v>0.40426945648430501</v>
      </c>
      <c r="E84" s="75">
        <v>0.119023173025169</v>
      </c>
      <c r="G84" s="89">
        <f t="shared" si="17"/>
        <v>3.6390120731946674</v>
      </c>
      <c r="H84" s="90">
        <f t="shared" si="18"/>
        <v>118.77313427958047</v>
      </c>
      <c r="I84" s="90">
        <f t="shared" si="12"/>
        <v>0.11877313427958047</v>
      </c>
      <c r="J84" s="90">
        <f t="shared" si="19"/>
        <v>40.426945648431087</v>
      </c>
      <c r="K84" s="90">
        <f t="shared" si="13"/>
        <v>0.40426945648431084</v>
      </c>
      <c r="L84" s="90">
        <f t="shared" si="20"/>
        <v>48.164924083068158</v>
      </c>
      <c r="M84" s="90">
        <f t="shared" si="14"/>
        <v>0.11914064570182877</v>
      </c>
      <c r="N84" s="91">
        <f t="shared" si="15"/>
        <v>0.40552035925643404</v>
      </c>
      <c r="P84" s="86">
        <f t="shared" si="21"/>
        <v>116.571428571428</v>
      </c>
      <c r="Q84" s="47">
        <f t="shared" si="22"/>
        <v>3.6390120731945901</v>
      </c>
      <c r="R84" s="87">
        <f t="shared" si="16"/>
        <v>0.40426945648430501</v>
      </c>
      <c r="S84" s="47">
        <f t="shared" si="23"/>
        <v>0.11877313427958047</v>
      </c>
      <c r="T84" s="88">
        <f t="shared" si="24"/>
        <v>3.6390120731946674</v>
      </c>
      <c r="U84" s="88">
        <f t="shared" si="25"/>
        <v>118.77313427958047</v>
      </c>
      <c r="V84" s="88">
        <f t="shared" si="26"/>
        <v>40.426945648431087</v>
      </c>
    </row>
    <row r="85" spans="1:22" x14ac:dyDescent="0.2">
      <c r="A85" s="80">
        <v>44</v>
      </c>
      <c r="B85" s="81">
        <v>119.34693877551</v>
      </c>
      <c r="C85" s="82">
        <v>3.26376337922177</v>
      </c>
      <c r="D85" s="82">
        <v>0.36860471637723002</v>
      </c>
      <c r="E85" s="75">
        <v>0.11986596899075901</v>
      </c>
      <c r="G85" s="89">
        <f t="shared" si="17"/>
        <v>3.2637633792217891</v>
      </c>
      <c r="H85" s="90">
        <f t="shared" si="18"/>
        <v>119.32719168238617</v>
      </c>
      <c r="I85" s="90">
        <f t="shared" si="12"/>
        <v>0.11932719168238617</v>
      </c>
      <c r="J85" s="90">
        <f t="shared" si="19"/>
        <v>36.860471637723307</v>
      </c>
      <c r="K85" s="90">
        <f t="shared" si="13"/>
        <v>0.36860471637723308</v>
      </c>
      <c r="L85" s="90">
        <f t="shared" si="20"/>
        <v>44.226769097450841</v>
      </c>
      <c r="M85" s="90">
        <f t="shared" si="14"/>
        <v>0.11998427348441415</v>
      </c>
      <c r="N85" s="91">
        <f t="shared" si="15"/>
        <v>0.37063445870049028</v>
      </c>
      <c r="P85" s="86">
        <f t="shared" si="21"/>
        <v>119.34693877550998</v>
      </c>
      <c r="Q85" s="47">
        <f t="shared" si="22"/>
        <v>3.26376337922177</v>
      </c>
      <c r="R85" s="87">
        <f t="shared" si="16"/>
        <v>0.36860471637723002</v>
      </c>
      <c r="S85" s="47">
        <f t="shared" si="23"/>
        <v>0.11932719168238617</v>
      </c>
      <c r="T85" s="88">
        <f t="shared" si="24"/>
        <v>3.2637633792217855</v>
      </c>
      <c r="U85" s="88">
        <f t="shared" si="25"/>
        <v>119.32719168238617</v>
      </c>
      <c r="V85" s="88">
        <f t="shared" si="26"/>
        <v>36.860471637723364</v>
      </c>
    </row>
    <row r="86" spans="1:22" x14ac:dyDescent="0.2">
      <c r="A86" s="80">
        <v>45</v>
      </c>
      <c r="B86" s="81">
        <v>122.122448979591</v>
      </c>
      <c r="C86" s="82">
        <v>2.85267365374524</v>
      </c>
      <c r="D86" s="82">
        <v>0.327601290078676</v>
      </c>
      <c r="E86" s="75">
        <v>0.120622640708347</v>
      </c>
      <c r="G86" s="89">
        <f t="shared" si="17"/>
        <v>2.8526736537453736</v>
      </c>
      <c r="H86" s="90">
        <f t="shared" si="18"/>
        <v>119.82083839248563</v>
      </c>
      <c r="I86" s="90">
        <f t="shared" si="12"/>
        <v>0.11982083839248563</v>
      </c>
      <c r="J86" s="90">
        <f t="shared" si="19"/>
        <v>32.760129007868912</v>
      </c>
      <c r="K86" s="90">
        <f t="shared" si="13"/>
        <v>0.3276012900786891</v>
      </c>
      <c r="L86" s="90">
        <f t="shared" si="20"/>
        <v>39.555134070944781</v>
      </c>
      <c r="M86" s="90">
        <f t="shared" si="14"/>
        <v>0.12074169201666979</v>
      </c>
      <c r="N86" s="91">
        <f t="shared" si="15"/>
        <v>0.33011898933120315</v>
      </c>
      <c r="P86" s="86">
        <f t="shared" si="21"/>
        <v>122.12244897959098</v>
      </c>
      <c r="Q86" s="47">
        <f t="shared" si="22"/>
        <v>2.85267365374524</v>
      </c>
      <c r="R86" s="87">
        <f t="shared" si="16"/>
        <v>0.327601290078676</v>
      </c>
      <c r="S86" s="47">
        <f t="shared" si="23"/>
        <v>0.11982083839248563</v>
      </c>
      <c r="T86" s="88">
        <f t="shared" si="24"/>
        <v>2.8526736537453949</v>
      </c>
      <c r="U86" s="88">
        <f t="shared" si="25"/>
        <v>119.82083839248561</v>
      </c>
      <c r="V86" s="88">
        <f t="shared" si="26"/>
        <v>32.760129007868869</v>
      </c>
    </row>
    <row r="87" spans="1:22" x14ac:dyDescent="0.2">
      <c r="A87" s="80">
        <v>46</v>
      </c>
      <c r="B87" s="81">
        <v>124.897959183673</v>
      </c>
      <c r="C87" s="82">
        <v>2.4012118122772801</v>
      </c>
      <c r="D87" s="82">
        <v>0.28073640376484099</v>
      </c>
      <c r="E87" s="75">
        <v>0.121175248835566</v>
      </c>
      <c r="G87" s="89">
        <f t="shared" si="17"/>
        <v>2.4012118122773813</v>
      </c>
      <c r="H87" s="90">
        <f t="shared" si="18"/>
        <v>120.25440344741132</v>
      </c>
      <c r="I87" s="90">
        <f t="shared" si="12"/>
        <v>0.12025440344741133</v>
      </c>
      <c r="J87" s="90">
        <f t="shared" si="19"/>
        <v>28.073640376485017</v>
      </c>
      <c r="K87" s="90">
        <f t="shared" si="13"/>
        <v>0.28073640376485015</v>
      </c>
      <c r="L87" s="90">
        <f t="shared" si="20"/>
        <v>34.051878735840177</v>
      </c>
      <c r="M87" s="90">
        <f t="shared" si="14"/>
        <v>0.12129484555327795</v>
      </c>
      <c r="N87" s="91">
        <f t="shared" si="15"/>
        <v>0.28316533748164546</v>
      </c>
      <c r="P87" s="86">
        <f t="shared" si="21"/>
        <v>124.897959183673</v>
      </c>
      <c r="Q87" s="47">
        <f t="shared" si="22"/>
        <v>2.4012118122772801</v>
      </c>
      <c r="R87" s="87">
        <f t="shared" si="16"/>
        <v>0.28073640376484099</v>
      </c>
      <c r="S87" s="47">
        <f t="shared" si="23"/>
        <v>0.12025440344741133</v>
      </c>
      <c r="T87" s="88">
        <f t="shared" si="24"/>
        <v>2.4012118122773813</v>
      </c>
      <c r="U87" s="88">
        <f t="shared" si="25"/>
        <v>120.25440344741132</v>
      </c>
      <c r="V87" s="88">
        <f t="shared" si="26"/>
        <v>28.073640376485017</v>
      </c>
    </row>
    <row r="88" spans="1:22" x14ac:dyDescent="0.2">
      <c r="A88" s="80">
        <v>47</v>
      </c>
      <c r="B88" s="81">
        <v>127.67346938775501</v>
      </c>
      <c r="C88" s="82">
        <v>1.90423688469581</v>
      </c>
      <c r="D88" s="82">
        <v>0.227451566368115</v>
      </c>
      <c r="E88" s="75">
        <v>0.12124380026400899</v>
      </c>
      <c r="G88" s="89">
        <f t="shared" si="17"/>
        <v>1.904236884695834</v>
      </c>
      <c r="H88" s="90">
        <f t="shared" si="18"/>
        <v>120.6285368899246</v>
      </c>
      <c r="I88" s="90">
        <f t="shared" si="12"/>
        <v>0.1206285368899246</v>
      </c>
      <c r="J88" s="90">
        <f t="shared" si="19"/>
        <v>22.745156636811814</v>
      </c>
      <c r="K88" s="90">
        <f t="shared" si="13"/>
        <v>0.22745156636811814</v>
      </c>
      <c r="L88" s="90">
        <f t="shared" si="20"/>
        <v>27.604310132262132</v>
      </c>
      <c r="M88" s="90">
        <f t="shared" si="14"/>
        <v>0.12136346464014251</v>
      </c>
      <c r="N88" s="91">
        <f t="shared" si="15"/>
        <v>0.22883731199899646</v>
      </c>
      <c r="P88" s="86">
        <f t="shared" si="21"/>
        <v>127.67346938775501</v>
      </c>
      <c r="Q88" s="47">
        <f t="shared" si="22"/>
        <v>1.90423688469581</v>
      </c>
      <c r="R88" s="87">
        <f t="shared" si="16"/>
        <v>0.227451566368115</v>
      </c>
      <c r="S88" s="47">
        <f t="shared" si="23"/>
        <v>0.1206285368899246</v>
      </c>
      <c r="T88" s="88">
        <f t="shared" si="24"/>
        <v>1.904236884695834</v>
      </c>
      <c r="U88" s="88">
        <f t="shared" si="25"/>
        <v>120.6285368899246</v>
      </c>
      <c r="V88" s="88">
        <f t="shared" si="26"/>
        <v>22.745156636811814</v>
      </c>
    </row>
    <row r="89" spans="1:22" x14ac:dyDescent="0.2">
      <c r="A89" s="80">
        <v>48</v>
      </c>
      <c r="B89" s="81">
        <v>130.44897959183601</v>
      </c>
      <c r="C89" s="82">
        <v>1.3559387098165501</v>
      </c>
      <c r="D89" s="82">
        <v>0.16715224512322499</v>
      </c>
      <c r="E89" s="75">
        <v>0.12003153793181499</v>
      </c>
      <c r="G89" s="89">
        <f t="shared" si="17"/>
        <v>1.3559387098167193</v>
      </c>
      <c r="H89" s="90">
        <f t="shared" si="18"/>
        <v>120.94420976801594</v>
      </c>
      <c r="I89" s="90">
        <f t="shared" si="12"/>
        <v>0.12094420976801594</v>
      </c>
      <c r="J89" s="90">
        <f t="shared" si="19"/>
        <v>16.715224512324099</v>
      </c>
      <c r="K89" s="90">
        <f t="shared" si="13"/>
        <v>0.16715224512324098</v>
      </c>
      <c r="L89" s="90">
        <f t="shared" si="20"/>
        <v>20.083343227318455</v>
      </c>
      <c r="M89" s="90">
        <f t="shared" si="14"/>
        <v>0.12015000583755875</v>
      </c>
      <c r="N89" s="91">
        <f t="shared" si="15"/>
        <v>0.16605460704435934</v>
      </c>
      <c r="P89" s="86">
        <f t="shared" si="21"/>
        <v>130.44897959183601</v>
      </c>
      <c r="Q89" s="47">
        <f t="shared" si="22"/>
        <v>1.3559387098165501</v>
      </c>
      <c r="R89" s="87">
        <f t="shared" si="16"/>
        <v>0.16715224512322499</v>
      </c>
      <c r="S89" s="47">
        <f t="shared" si="23"/>
        <v>0.12094420976801594</v>
      </c>
      <c r="T89" s="88">
        <f t="shared" si="24"/>
        <v>1.3559387098167193</v>
      </c>
      <c r="U89" s="88">
        <f t="shared" si="25"/>
        <v>120.94420976801594</v>
      </c>
      <c r="V89" s="88">
        <f t="shared" si="26"/>
        <v>16.715224512324099</v>
      </c>
    </row>
    <row r="90" spans="1:22" x14ac:dyDescent="0.2">
      <c r="A90" s="80">
        <v>49</v>
      </c>
      <c r="B90" s="81">
        <v>133.224489795918</v>
      </c>
      <c r="C90" s="82">
        <v>0.74977587646133503</v>
      </c>
      <c r="D90" s="82">
        <v>9.9207622280095498E-2</v>
      </c>
      <c r="E90" s="75">
        <v>0.114208210625054</v>
      </c>
      <c r="G90" s="89">
        <f t="shared" si="17"/>
        <v>0.74977587646144173</v>
      </c>
      <c r="H90" s="90">
        <f t="shared" si="18"/>
        <v>121.20271413490576</v>
      </c>
      <c r="I90" s="90">
        <f t="shared" si="12"/>
        <v>0.12120271413490576</v>
      </c>
      <c r="J90" s="90">
        <f t="shared" si="19"/>
        <v>9.9207622280103749</v>
      </c>
      <c r="K90" s="90">
        <f t="shared" si="13"/>
        <v>9.9207622280103755E-2</v>
      </c>
      <c r="L90" s="90">
        <f t="shared" si="20"/>
        <v>11.341507747615102</v>
      </c>
      <c r="M90" s="90">
        <f t="shared" si="14"/>
        <v>0.11432093106307276</v>
      </c>
      <c r="N90" s="91">
        <f t="shared" si="15"/>
        <v>9.3574701099443505E-2</v>
      </c>
      <c r="P90" s="86">
        <f t="shared" si="21"/>
        <v>133.224489795918</v>
      </c>
      <c r="Q90" s="47">
        <f t="shared" si="22"/>
        <v>0.74977587646133503</v>
      </c>
      <c r="R90" s="87">
        <f t="shared" si="16"/>
        <v>9.9207622280095498E-2</v>
      </c>
      <c r="S90" s="47">
        <f t="shared" si="23"/>
        <v>0.12120271413490576</v>
      </c>
      <c r="T90" s="88">
        <f t="shared" si="24"/>
        <v>0.74977587646144173</v>
      </c>
      <c r="U90" s="88">
        <f t="shared" si="25"/>
        <v>121.20271413490576</v>
      </c>
      <c r="V90" s="88">
        <f t="shared" si="26"/>
        <v>9.9207622280103749</v>
      </c>
    </row>
    <row r="91" spans="1:22" x14ac:dyDescent="0.2">
      <c r="A91" s="92">
        <v>50</v>
      </c>
      <c r="B91" s="93">
        <v>136</v>
      </c>
      <c r="C91" s="94">
        <v>7.8410911022395099E-2</v>
      </c>
      <c r="D91" s="94">
        <v>2.2950432983443798E-2</v>
      </c>
      <c r="E91" s="78">
        <v>5.2704944952069302E-2</v>
      </c>
      <c r="G91" s="95">
        <f t="shared" si="17"/>
        <v>7.8410911022395169E-2</v>
      </c>
      <c r="H91" s="96">
        <f t="shared" si="18"/>
        <v>121.40566304904311</v>
      </c>
      <c r="I91" s="96">
        <f t="shared" si="12"/>
        <v>0.12140566304904311</v>
      </c>
      <c r="J91" s="96">
        <f t="shared" si="19"/>
        <v>2.2950432983443818</v>
      </c>
      <c r="K91" s="96">
        <f t="shared" si="13"/>
        <v>2.2950432983443819E-2</v>
      </c>
      <c r="L91" s="96">
        <f t="shared" si="20"/>
        <v>1.2107951510374846</v>
      </c>
      <c r="M91" s="96">
        <f t="shared" si="14"/>
        <v>5.2756963317900724E-2</v>
      </c>
      <c r="N91" s="97">
        <f t="shared" si="15"/>
        <v>9.9731356892995265E-3</v>
      </c>
      <c r="P91" s="86">
        <f t="shared" si="21"/>
        <v>136</v>
      </c>
      <c r="Q91" s="47">
        <f t="shared" si="22"/>
        <v>7.8410911022395099E-2</v>
      </c>
      <c r="R91" s="87">
        <f t="shared" si="16"/>
        <v>2.2950432983443798E-2</v>
      </c>
      <c r="S91" s="47">
        <f t="shared" si="23"/>
        <v>0.12140566304904311</v>
      </c>
      <c r="T91" s="88">
        <f t="shared" si="24"/>
        <v>7.8410911022395169E-2</v>
      </c>
      <c r="U91" s="88">
        <f t="shared" si="25"/>
        <v>121.40566304904311</v>
      </c>
      <c r="V91" s="88">
        <f t="shared" si="26"/>
        <v>2.2950432983443818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2858-6C13-4D32-9B30-7D92E2AAC2AE}">
  <sheetPr codeName="Лист10"/>
  <dimension ref="A1:AU91"/>
  <sheetViews>
    <sheetView zoomScale="70" zoomScaleNormal="70" workbookViewId="0">
      <selection activeCell="AN29" sqref="AN29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NHV5300</v>
      </c>
      <c r="C1" s="64"/>
      <c r="D1" s="64"/>
      <c r="E1" s="65">
        <v>88</v>
      </c>
      <c r="G1" s="64" t="s">
        <v>424</v>
      </c>
      <c r="H1" s="66">
        <f>VLOOKUP(num,'tnav 254'!A1:Q263,7,1)</f>
        <v>700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[1]!encode_linspace(0,B91,10)</f>
        <v>[0,105,210,315,420,525,630,735,840,945,1050]</v>
      </c>
    </row>
    <row r="2" spans="1:47" x14ac:dyDescent="0.2">
      <c r="A2" s="67" t="s">
        <v>144</v>
      </c>
      <c r="B2" s="68" t="str">
        <f>"ЭЦН"&amp;L1&amp;"-"&amp;H1&amp;"@"&amp;f_nom&amp;"Гц"</f>
        <v>ЭЦН5А-700@50Гц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[1]!encode_linspace(0,P91,10)</f>
        <v>[0,105,210,315,420,525,630,735,840,945,1050]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5.1002025040010102</v>
      </c>
      <c r="C5" s="73">
        <f>Напор0*(f_50_hz/f_nom)^2</f>
        <v>5.1002025040010102</v>
      </c>
      <c r="R5" s="47">
        <f>S1+num</f>
        <v>2088</v>
      </c>
      <c r="S5" s="47" t="s">
        <v>478</v>
      </c>
      <c r="T5" s="47" t="s">
        <v>479</v>
      </c>
      <c r="U5" s="47" t="str">
        <f>B2</f>
        <v>ЭЦН5А-700@50Гц</v>
      </c>
      <c r="V5" s="47">
        <v>1000</v>
      </c>
      <c r="W5" s="47">
        <f>q_nom</f>
        <v>700</v>
      </c>
      <c r="X5" s="47">
        <f>VLOOKUP(num,'tnav 254'!A1:Q263,10,1)</f>
        <v>500</v>
      </c>
      <c r="Y5" s="47">
        <f>VLOOKUP(num,'tnav 254'!A1:Q263,11,1)</f>
        <v>900</v>
      </c>
      <c r="Z5" s="47">
        <f>VLOOKUP(num,'tnav 254'!A1:Q263,9,1)</f>
        <v>1050</v>
      </c>
      <c r="AA5" s="47">
        <f>VLOOKUP(num,'tnav 254'!A1:Q263,15,1)</f>
        <v>2910</v>
      </c>
      <c r="AB5" s="47">
        <f>f_nom</f>
        <v>50</v>
      </c>
      <c r="AC5" s="87">
        <f>MAX(КПД)</f>
        <v>0.61942919137039898</v>
      </c>
      <c r="AE5" s="47" t="str">
        <f>L1</f>
        <v>5А</v>
      </c>
      <c r="AF5" s="47">
        <f>VLOOKUP(num,'tnav 254'!A1:Q263,12,1)*1000</f>
        <v>103</v>
      </c>
      <c r="AQ5" s="98">
        <f>$R$5</f>
        <v>2088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5.1002025040010102</v>
      </c>
      <c r="AT5" s="104" cm="1">
        <f t="array" ref="AT5">[1]!crv_interpolation(Подача_пласт_м3_сут,$I$42:$I$91,AR5,2)</f>
        <v>0.35414945809999998</v>
      </c>
      <c r="AU5" s="105">
        <v>0</v>
      </c>
    </row>
    <row r="6" spans="1:47" x14ac:dyDescent="0.2">
      <c r="A6" s="74" t="s">
        <v>431</v>
      </c>
      <c r="B6" s="75">
        <v>9.6884128080770692E-3</v>
      </c>
      <c r="C6" s="76">
        <f>Напор1/(f_50_hz/f_nom)*(f_50_hz/f_nom)^2</f>
        <v>9.6884128080770692E-3</v>
      </c>
      <c r="R6" s="47">
        <f>T1+num</f>
        <v>3088</v>
      </c>
      <c r="S6" s="47" t="s">
        <v>480</v>
      </c>
      <c r="T6" s="47" t="s">
        <v>481</v>
      </c>
      <c r="U6" s="47" t="str">
        <f>"ЭЦН"&amp;L1&amp;"-"&amp;H1&amp;"@"&amp;f_50_hz&amp;"Гц"</f>
        <v>ЭЦН5А-700@50Гц</v>
      </c>
      <c r="V6" s="47">
        <v>1000</v>
      </c>
      <c r="W6" s="47">
        <f>W5*f_50_hz/f_nom</f>
        <v>700</v>
      </c>
      <c r="X6" s="47">
        <f>X5*f_50_hz/f_nom</f>
        <v>500</v>
      </c>
      <c r="Y6" s="47">
        <f>Y5*f_50_hz/f_nom</f>
        <v>900</v>
      </c>
      <c r="Z6" s="47">
        <f>Z5*f_50_hz/f_nom</f>
        <v>1050</v>
      </c>
      <c r="AA6" s="47">
        <f>AA5*f_50_hz/f_nom</f>
        <v>2910</v>
      </c>
      <c r="AB6" s="47">
        <f>f_50_hz</f>
        <v>50</v>
      </c>
      <c r="AC6" s="87">
        <f>AC5</f>
        <v>0.61942919137039898</v>
      </c>
      <c r="AE6" s="47" t="str">
        <f>AE5</f>
        <v>5А</v>
      </c>
      <c r="AF6" s="47">
        <f>AF5</f>
        <v>103</v>
      </c>
      <c r="AQ6" s="100">
        <f t="shared" ref="AQ6:AQ15" si="0">$R$5</f>
        <v>2088</v>
      </c>
      <c r="AR6" s="101">
        <v>105</v>
      </c>
      <c r="AS6" s="106" cm="1">
        <f t="array" ref="AS6">[1]!crv_interpolation(Подача_пласт_м3_сут,Напор_м,AR6,2)</f>
        <v>5.1625756250225843</v>
      </c>
      <c r="AT6" s="106" cm="1">
        <f t="array" ref="AT6">[1]!crv_interpolation(Подача_пласт_м3_сут,$I$42:$I$91,AR6,2)</f>
        <v>0.38625184383878869</v>
      </c>
      <c r="AU6" s="107" cm="1">
        <f t="array" ref="AU6">[1]!crv_interpolation(Подача_пласт_м3_сут,КПД,AR6,2)</f>
        <v>0.16181741406277436</v>
      </c>
    </row>
    <row r="7" spans="1:47" x14ac:dyDescent="0.2">
      <c r="A7" s="74" t="s">
        <v>432</v>
      </c>
      <c r="B7" s="75">
        <v>-2.2981306130140901E-4</v>
      </c>
      <c r="C7" s="76">
        <f>Напор2/((f_50_hz/f_nom)^2)*(f_50_hz/f_nom)^2</f>
        <v>-2.2981306130140901E-4</v>
      </c>
      <c r="AQ7" s="100">
        <f t="shared" si="0"/>
        <v>2088</v>
      </c>
      <c r="AR7" s="101">
        <v>210</v>
      </c>
      <c r="AS7" s="106" cm="1">
        <f t="array" ref="AS7">[1]!crv_interpolation(Подача_пласт_м3_сут,Напор_м,AR7,2)</f>
        <v>5.3312786472101203</v>
      </c>
      <c r="AT7" s="106" cm="1">
        <f t="array" ref="AT7">[1]!crv_interpolation(Подача_пласт_м3_сут,$I$42:$I$91,AR7,2)</f>
        <v>0.44868212465798468</v>
      </c>
      <c r="AU7" s="107" cm="1">
        <f t="array" ref="AU7">[1]!crv_interpolation(Подача_пласт_м3_сут,КПД,AR7,2)</f>
        <v>0.28299563363727226</v>
      </c>
    </row>
    <row r="8" spans="1:47" x14ac:dyDescent="0.2">
      <c r="A8" s="74" t="s">
        <v>433</v>
      </c>
      <c r="B8" s="75">
        <v>2.1836992190091799E-6</v>
      </c>
      <c r="C8" s="76">
        <f>Напор3/((f_50_hz/f_nom)^3)*(f_50_hz/f_nom)^2</f>
        <v>2.1836992190091799E-6</v>
      </c>
      <c r="AQ8" s="100">
        <f t="shared" si="0"/>
        <v>2088</v>
      </c>
      <c r="AR8" s="101">
        <v>315</v>
      </c>
      <c r="AS8" s="106" cm="1">
        <f t="array" ref="AS8">[1]!crv_interpolation(Подача_пласт_м3_сут,Напор_м,AR8,2)</f>
        <v>5.3626810183006945</v>
      </c>
      <c r="AT8" s="106" cm="1">
        <f t="array" ref="AT8">[1]!crv_interpolation(Подача_пласт_м3_сут,$I$42:$I$91,AR8,2)</f>
        <v>0.49207965530879827</v>
      </c>
      <c r="AU8" s="107" cm="1">
        <f t="array" ref="AU8">[1]!crv_interpolation(Подача_пласт_м3_сут,КПД,AR8,2)</f>
        <v>0.38618440104550478</v>
      </c>
    </row>
    <row r="9" spans="1:47" x14ac:dyDescent="0.2">
      <c r="A9" s="74" t="s">
        <v>434</v>
      </c>
      <c r="B9" s="75">
        <v>-1.01553045600342E-8</v>
      </c>
      <c r="C9" s="76">
        <f>Напор4/((f_50_hz/f_nom)^4)*(f_50_hz/f_nom)^2</f>
        <v>-1.01553045600342E-8</v>
      </c>
      <c r="AQ9" s="100">
        <f t="shared" si="0"/>
        <v>2088</v>
      </c>
      <c r="AR9" s="101">
        <v>420</v>
      </c>
      <c r="AS9" s="106" cm="1">
        <f t="array" ref="AS9">[1]!crv_interpolation(Подача_пласт_м3_сут,Напор_м,AR9,2)</f>
        <v>5.0755997461648965</v>
      </c>
      <c r="AT9" s="106" cm="1">
        <f t="array" ref="AT9">[1]!crv_interpolation(Подача_пласт_м3_сут,$I$42:$I$91,AR9,2)</f>
        <v>0.51381515836781233</v>
      </c>
      <c r="AU9" s="107" cm="1">
        <f t="array" ref="AU9">[1]!crv_interpolation(Подача_пласт_м3_сут,КПД,AR9,2)</f>
        <v>0.47492461223667676</v>
      </c>
    </row>
    <row r="10" spans="1:47" x14ac:dyDescent="0.2">
      <c r="A10" s="74" t="s">
        <v>435</v>
      </c>
      <c r="B10" s="75">
        <v>2.6103520270082799E-11</v>
      </c>
      <c r="C10" s="76">
        <f>Напор5/((f_50_hz/f_nom)^5)*(f_50_hz/f_nom)^2</f>
        <v>2.6103520270082799E-11</v>
      </c>
      <c r="AQ10" s="100">
        <f t="shared" si="0"/>
        <v>2088</v>
      </c>
      <c r="AR10" s="101">
        <v>525</v>
      </c>
      <c r="AS10" s="106" cm="1">
        <f t="array" ref="AS10">[1]!crv_interpolation(Подача_пласт_м3_сут,Напор_м,AR10,2)</f>
        <v>4.8020908622471081</v>
      </c>
      <c r="AT10" s="106" cm="1">
        <f t="array" ref="AT10">[1]!crv_interpolation(Подача_пласт_м3_сут,$I$42:$I$91,AR10,2)</f>
        <v>0.52728103286478079</v>
      </c>
      <c r="AU10" s="107" cm="1">
        <f t="array" ref="AU10">[1]!crv_interpolation(Подача_пласт_м3_сут,КПД,AR10,2)</f>
        <v>0.54656030540000922</v>
      </c>
    </row>
    <row r="11" spans="1:47" x14ac:dyDescent="0.2">
      <c r="A11" s="74" t="s">
        <v>436</v>
      </c>
      <c r="B11" s="75">
        <v>-3.9182748720131198E-14</v>
      </c>
      <c r="C11" s="76">
        <f>Напор6/((f_50_hz/f_nom)^6)*(f_50_hz/f_nom)^2</f>
        <v>-3.9182748720131198E-14</v>
      </c>
      <c r="AQ11" s="100">
        <f t="shared" si="0"/>
        <v>2088</v>
      </c>
      <c r="AR11" s="101">
        <v>630</v>
      </c>
      <c r="AS11" s="106" cm="1">
        <f t="array" ref="AS11">[1]!crv_interpolation(Подача_пласт_м3_сут,Напор_м,AR11,2)</f>
        <v>4.5669035194385881</v>
      </c>
      <c r="AT11" s="106" cm="1">
        <f t="array" ref="AT11">[1]!crv_interpolation(Подача_пласт_м3_сут,$I$42:$I$91,AR11,2)</f>
        <v>0.54177216760549785</v>
      </c>
      <c r="AU11" s="107" cm="1">
        <f t="array" ref="AU11">[1]!crv_interpolation(Подача_пласт_м3_сут,КПД,AR11,2)</f>
        <v>0.59761276935040808</v>
      </c>
    </row>
    <row r="12" spans="1:47" x14ac:dyDescent="0.2">
      <c r="A12" s="74" t="s">
        <v>437</v>
      </c>
      <c r="B12" s="75">
        <v>3.4238083310129301E-17</v>
      </c>
      <c r="C12" s="76">
        <f>Напор7/((f_50_hz/f_nom)^7)*(f_50_hz/f_nom)^2</f>
        <v>3.4238083310129301E-17</v>
      </c>
      <c r="AQ12" s="100">
        <f t="shared" si="0"/>
        <v>2088</v>
      </c>
      <c r="AR12" s="101">
        <v>735</v>
      </c>
      <c r="AS12" s="106" cm="1">
        <f t="array" ref="AS12">[1]!crv_interpolation(Подача_пласт_м3_сут,Напор_м,AR12,2)</f>
        <v>4.0947967546806137</v>
      </c>
      <c r="AT12" s="106" cm="1">
        <f t="array" ref="AT12">[1]!crv_interpolation(Подача_пласт_м3_сут,$I$42:$I$91,AR12,2)</f>
        <v>0.55299808743828793</v>
      </c>
      <c r="AU12" s="107" cm="1">
        <f t="array" ref="AU12">[1]!crv_interpolation(Подача_пласт_м3_сут,КПД,AR12,2)</f>
        <v>0.61959051705776469</v>
      </c>
    </row>
    <row r="13" spans="1:47" x14ac:dyDescent="0.2">
      <c r="A13" s="74" t="s">
        <v>438</v>
      </c>
      <c r="B13" s="75">
        <v>-1.6151602860070899E-20</v>
      </c>
      <c r="C13" s="76">
        <f>Напор8/((f_50_hz/f_nom)^8)*(f_50_hz/f_nom)^2</f>
        <v>-1.6151602860070899E-20</v>
      </c>
      <c r="AQ13" s="100">
        <f t="shared" si="0"/>
        <v>2088</v>
      </c>
      <c r="AR13" s="101">
        <v>840</v>
      </c>
      <c r="AS13" s="106" cm="1">
        <f t="array" ref="AS13">[1]!crv_interpolation(Подача_пласт_м3_сут,Напор_м,AR13,2)</f>
        <v>3.2802563783152499</v>
      </c>
      <c r="AT13" s="106" cm="1">
        <f t="array" ref="AT13">[1]!crv_interpolation(Подача_пласт_м3_сут,$I$42:$I$91,AR13,2)</f>
        <v>0.54415323555149764</v>
      </c>
      <c r="AU13" s="107" cm="1">
        <f t="array" ref="AU13">[1]!crv_interpolation(Подача_пласт_м3_сут,КПД,AR13,2)</f>
        <v>0.58523540526907769</v>
      </c>
    </row>
    <row r="14" spans="1:47" x14ac:dyDescent="0.2">
      <c r="A14" s="74" t="s">
        <v>439</v>
      </c>
      <c r="B14" s="75">
        <v>3.1804969340164101E-24</v>
      </c>
      <c r="C14" s="76">
        <f>Напор9/((f_50_hz/f_nom)^9)*(f_50_hz/f_nom)^2</f>
        <v>3.1804969340164101E-24</v>
      </c>
      <c r="AQ14" s="100">
        <f t="shared" si="0"/>
        <v>2088</v>
      </c>
      <c r="AR14" s="101">
        <v>945</v>
      </c>
      <c r="AS14" s="106" cm="1">
        <f t="array" ref="AS14">[1]!crv_interpolation(Подача_пласт_м3_сут,Напор_м,AR14,2)</f>
        <v>2.0816120016054072</v>
      </c>
      <c r="AT14" s="106" cm="1">
        <f t="array" ref="AT14">[1]!crv_interpolation(Подача_пласт_м3_сут,$I$42:$I$91,AR14,2)</f>
        <v>0.49766456545052029</v>
      </c>
      <c r="AU14" s="107" cm="1">
        <f t="array" ref="AU14">[1]!crv_interpolation(Подача_пласт_м3_сут,КПД,AR14,2)</f>
        <v>0.42520415064158962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2088</v>
      </c>
      <c r="AR15" s="103">
        <v>1050</v>
      </c>
      <c r="AS15" s="108">
        <v>0</v>
      </c>
      <c r="AT15" s="108" cm="1">
        <f t="array" ref="AT15">[1]!crv_interpolation(Подача_пласт_м3_сут,$I$42:$I$91,AR15,2)</f>
        <v>0.41749651392562376</v>
      </c>
      <c r="AU15" s="109">
        <v>0</v>
      </c>
    </row>
    <row r="16" spans="1:47" x14ac:dyDescent="0.2">
      <c r="A16" s="71" t="s">
        <v>441</v>
      </c>
      <c r="B16" s="72">
        <v>354.1494581</v>
      </c>
      <c r="C16" s="73">
        <f>Мощность0*(f_50_hz/f_nom)^3</f>
        <v>354.1494581</v>
      </c>
      <c r="AQ16" s="98">
        <f>$R$6</f>
        <v>3088</v>
      </c>
      <c r="AR16" s="99">
        <f t="array" ref="AR16:AR26">[1]!decode_json($AR$2)</f>
        <v>0</v>
      </c>
      <c r="AS16" s="104" cm="1">
        <f t="array" ref="AS16">[1]!crv_interpolation(Подача_f50_,$Q$42:$Q$91,AR16,2)</f>
        <v>5.1002025040010102</v>
      </c>
      <c r="AT16" s="104" cm="1">
        <f t="array" ref="AT16">[1]!crv_interpolation(Подача_f50_,$S$42:$S$91,AR16,2)</f>
        <v>0.35414945809999998</v>
      </c>
      <c r="AU16" s="105">
        <v>0</v>
      </c>
    </row>
    <row r="17" spans="1:47" x14ac:dyDescent="0.2">
      <c r="A17" s="74" t="s">
        <v>442</v>
      </c>
      <c r="B17" s="75">
        <v>-0.18155834230000001</v>
      </c>
      <c r="C17" s="76">
        <f>Мощность1/(f_50_hz/f_nom)*(f_50_hz/f_nom)^3</f>
        <v>-0.18155834230000001</v>
      </c>
      <c r="AQ17" s="100">
        <f t="shared" ref="AQ17:AQ26" si="1">$R$6</f>
        <v>3088</v>
      </c>
      <c r="AR17" s="101">
        <v>105</v>
      </c>
      <c r="AS17" s="106" cm="1">
        <f t="array" ref="AS17">[1]!crv_interpolation(Подача_f50_,$Q$42:$Q$91,AR17,2)</f>
        <v>5.1625756250225843</v>
      </c>
      <c r="AT17" s="106" cm="1">
        <f t="array" ref="AT17">[1]!crv_interpolation(Подача_f50_,$S$42:$S$91,AR17,2)</f>
        <v>0.38625184383878869</v>
      </c>
      <c r="AU17" s="107" cm="1">
        <f t="array" ref="AU17">[1]!crv_interpolation(Подача_f50_,$R$42:$R$91,AR17,2)</f>
        <v>0.16181741406277436</v>
      </c>
    </row>
    <row r="18" spans="1:47" x14ac:dyDescent="0.2">
      <c r="A18" s="74" t="s">
        <v>443</v>
      </c>
      <c r="B18" s="75">
        <v>7.0795983759999997E-3</v>
      </c>
      <c r="C18" s="76">
        <f>Мощность2/((f_50_hz/f_nom)^2)*(f_50_hz/f_nom)^3</f>
        <v>7.0795983759999997E-3</v>
      </c>
      <c r="AQ18" s="100">
        <f t="shared" si="1"/>
        <v>3088</v>
      </c>
      <c r="AR18" s="101">
        <v>210</v>
      </c>
      <c r="AS18" s="106" cm="1">
        <f t="array" ref="AS18">[1]!crv_interpolation(Подача_f50_,$Q$42:$Q$91,AR18,2)</f>
        <v>5.3312786472101203</v>
      </c>
      <c r="AT18" s="106" cm="1">
        <f t="array" ref="AT18">[1]!crv_interpolation(Подача_f50_,$S$42:$S$91,AR18,2)</f>
        <v>0.44868212465798468</v>
      </c>
      <c r="AU18" s="107" cm="1">
        <f t="array" ref="AU18">[1]!crv_interpolation(Подача_f50_,$R$42:$R$91,AR18,2)</f>
        <v>0.28299563363727226</v>
      </c>
    </row>
    <row r="19" spans="1:47" x14ac:dyDescent="0.2">
      <c r="A19" s="74" t="s">
        <v>444</v>
      </c>
      <c r="B19" s="75">
        <v>-2.7786718080000001E-5</v>
      </c>
      <c r="C19" s="76">
        <f>Мощность3/((f_50_hz/f_nom)^3)*(f_50_hz/f_nom)^3</f>
        <v>-2.7786718080000001E-5</v>
      </c>
      <c r="AQ19" s="100">
        <f t="shared" si="1"/>
        <v>3088</v>
      </c>
      <c r="AR19" s="101">
        <v>315</v>
      </c>
      <c r="AS19" s="106" cm="1">
        <f t="array" ref="AS19">[1]!crv_interpolation(Подача_f50_,$Q$42:$Q$91,AR19,2)</f>
        <v>5.3626810183006945</v>
      </c>
      <c r="AT19" s="106" cm="1">
        <f t="array" ref="AT19">[1]!crv_interpolation(Подача_f50_,$S$42:$S$91,AR19,2)</f>
        <v>0.49207965530879827</v>
      </c>
      <c r="AU19" s="107" cm="1">
        <f t="array" ref="AU19">[1]!crv_interpolation(Подача_f50_,$R$42:$R$91,AR19,2)</f>
        <v>0.38618440104550478</v>
      </c>
    </row>
    <row r="20" spans="1:47" x14ac:dyDescent="0.2">
      <c r="A20" s="74" t="s">
        <v>445</v>
      </c>
      <c r="B20" s="75">
        <v>4.7355765160000003E-8</v>
      </c>
      <c r="C20" s="76">
        <f>Мощность4/((f_50_hz/f_nom)^4)*(f_50_hz/f_nom)^3</f>
        <v>4.7355765160000003E-8</v>
      </c>
      <c r="AQ20" s="100">
        <f t="shared" si="1"/>
        <v>3088</v>
      </c>
      <c r="AR20" s="101">
        <v>420</v>
      </c>
      <c r="AS20" s="106" cm="1">
        <f t="array" ref="AS20">[1]!crv_interpolation(Подача_f50_,$Q$42:$Q$91,AR20,2)</f>
        <v>5.0755997461648965</v>
      </c>
      <c r="AT20" s="106" cm="1">
        <f t="array" ref="AT20">[1]!crv_interpolation(Подача_f50_,$S$42:$S$91,AR20,2)</f>
        <v>0.51381515836781222</v>
      </c>
      <c r="AU20" s="107" cm="1">
        <f t="array" ref="AU20">[1]!crv_interpolation(Подача_f50_,$R$42:$R$91,AR20,2)</f>
        <v>0.47492461223667676</v>
      </c>
    </row>
    <row r="21" spans="1:47" x14ac:dyDescent="0.2">
      <c r="A21" s="74" t="s">
        <v>446</v>
      </c>
      <c r="B21" s="75">
        <v>-3.7350267320000001E-11</v>
      </c>
      <c r="C21" s="76">
        <f>Мощность5/((f_50_hz/f_nom)^5)*(f_50_hz/f_nom)^3</f>
        <v>-3.7350267320000001E-11</v>
      </c>
      <c r="AQ21" s="100">
        <f t="shared" si="1"/>
        <v>3088</v>
      </c>
      <c r="AR21" s="101">
        <v>525</v>
      </c>
      <c r="AS21" s="106" cm="1">
        <f t="array" ref="AS21">[1]!crv_interpolation(Подача_f50_,$Q$42:$Q$91,AR21,2)</f>
        <v>4.8020908622471081</v>
      </c>
      <c r="AT21" s="106" cm="1">
        <f t="array" ref="AT21">[1]!crv_interpolation(Подача_f50_,$S$42:$S$91,AR21,2)</f>
        <v>0.52728103286478079</v>
      </c>
      <c r="AU21" s="107" cm="1">
        <f t="array" ref="AU21">[1]!crv_interpolation(Подача_f50_,$R$42:$R$91,AR21,2)</f>
        <v>0.54656030540000922</v>
      </c>
    </row>
    <row r="22" spans="1:47" x14ac:dyDescent="0.2">
      <c r="A22" s="74" t="s">
        <v>447</v>
      </c>
      <c r="B22" s="75">
        <v>1.098694316E-14</v>
      </c>
      <c r="C22" s="76">
        <f>Мощность6/((f_50_hz/f_nom)^6)*(f_50_hz/f_nom)^3</f>
        <v>1.098694316E-14</v>
      </c>
      <c r="AQ22" s="100">
        <f t="shared" si="1"/>
        <v>3088</v>
      </c>
      <c r="AR22" s="101">
        <v>630</v>
      </c>
      <c r="AS22" s="106" cm="1">
        <f t="array" ref="AS22">[1]!crv_interpolation(Подача_f50_,$Q$42:$Q$91,AR22,2)</f>
        <v>4.5669035194385881</v>
      </c>
      <c r="AT22" s="106" cm="1">
        <f t="array" ref="AT22">[1]!crv_interpolation(Подача_f50_,$S$42:$S$91,AR22,2)</f>
        <v>0.54177216760549785</v>
      </c>
      <c r="AU22" s="107" cm="1">
        <f t="array" ref="AU22">[1]!crv_interpolation(Подача_f50_,$R$42:$R$91,AR22,2)</f>
        <v>0.59761276935040808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3088</v>
      </c>
      <c r="AR23" s="101">
        <v>735</v>
      </c>
      <c r="AS23" s="106" cm="1">
        <f t="array" ref="AS23">[1]!crv_interpolation(Подача_f50_,$Q$42:$Q$91,AR23,2)</f>
        <v>4.0947967546806137</v>
      </c>
      <c r="AT23" s="106" cm="1">
        <f t="array" ref="AT23">[1]!crv_interpolation(Подача_f50_,$S$42:$S$91,AR23,2)</f>
        <v>0.55299808743828793</v>
      </c>
      <c r="AU23" s="107" cm="1">
        <f t="array" ref="AU23">[1]!crv_interpolation(Подача_f50_,$R$42:$R$91,AR23,2)</f>
        <v>0.61959051705776469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3088</v>
      </c>
      <c r="AR24" s="101">
        <v>840</v>
      </c>
      <c r="AS24" s="106" cm="1">
        <f t="array" ref="AS24">[1]!crv_interpolation(Подача_f50_,$Q$42:$Q$91,AR24,2)</f>
        <v>3.2802563783152485</v>
      </c>
      <c r="AT24" s="106" cm="1">
        <f t="array" ref="AT24">[1]!crv_interpolation(Подача_f50_,$S$42:$S$91,AR24,2)</f>
        <v>0.54415323555149753</v>
      </c>
      <c r="AU24" s="107" cm="1">
        <f t="array" ref="AU24">[1]!crv_interpolation(Подача_f50_,$R$42:$R$91,AR24,2)</f>
        <v>0.58523540526907758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3088</v>
      </c>
      <c r="AR25" s="101">
        <v>945</v>
      </c>
      <c r="AS25" s="106" cm="1">
        <f t="array" ref="AS25">[1]!crv_interpolation(Подача_f50_,$Q$42:$Q$91,AR25,2)</f>
        <v>2.0816120016054076</v>
      </c>
      <c r="AT25" s="106" cm="1">
        <f t="array" ref="AT25">[1]!crv_interpolation(Подача_f50_,$S$42:$S$91,AR25,2)</f>
        <v>0.49766456545052029</v>
      </c>
      <c r="AU25" s="107" cm="1">
        <f t="array" ref="AU25">[1]!crv_interpolation(Подача_f50_,$R$42:$R$91,AR25,2)</f>
        <v>0.42520415064158962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3088</v>
      </c>
      <c r="AR26" s="103">
        <v>1050</v>
      </c>
      <c r="AS26" s="108">
        <v>0</v>
      </c>
      <c r="AT26" s="108" cm="1">
        <f t="array" ref="AT26">[1]!crv_interpolation(Подача_f50_,$S$42:$S$91,AR26,2)</f>
        <v>0.41749651392562376</v>
      </c>
      <c r="AU26" s="109">
        <v>0</v>
      </c>
    </row>
    <row r="27" spans="1:47" x14ac:dyDescent="0.2">
      <c r="A27" s="74" t="s">
        <v>452</v>
      </c>
      <c r="B27" s="75">
        <v>-0.202587978</v>
      </c>
      <c r="C27" s="73">
        <f>К.П.Д.0</f>
        <v>-0.202587978</v>
      </c>
    </row>
    <row r="28" spans="1:47" x14ac:dyDescent="0.2">
      <c r="A28" s="74" t="s">
        <v>453</v>
      </c>
      <c r="B28" s="75">
        <v>0.19356071990000001</v>
      </c>
      <c r="C28" s="76">
        <f>К.П.Д.1/(f_50_hz/f_nom)</f>
        <v>0.19356071990000001</v>
      </c>
    </row>
    <row r="29" spans="1:47" x14ac:dyDescent="0.2">
      <c r="A29" s="74" t="s">
        <v>454</v>
      </c>
      <c r="B29" s="75">
        <v>-4.824532189E-4</v>
      </c>
      <c r="C29" s="76">
        <f>К.П.Д.2/((f_50_hz/f_nom)^2)</f>
        <v>-4.824532189E-4</v>
      </c>
    </row>
    <row r="30" spans="1:47" x14ac:dyDescent="0.2">
      <c r="A30" s="74" t="s">
        <v>455</v>
      </c>
      <c r="B30" s="75">
        <v>1.445125373E-6</v>
      </c>
      <c r="C30" s="76">
        <f>К.П.Д.3/((f_50_hz/f_nom)^3)</f>
        <v>1.445125373E-6</v>
      </c>
    </row>
    <row r="31" spans="1:47" x14ac:dyDescent="0.2">
      <c r="A31" s="74" t="s">
        <v>456</v>
      </c>
      <c r="B31" s="75">
        <v>-2.6753788590000001E-9</v>
      </c>
      <c r="C31" s="76">
        <f>К.П.Д.4/((f_50_hz/f_nom)^4)</f>
        <v>-2.6753788590000001E-9</v>
      </c>
    </row>
    <row r="32" spans="1:47" x14ac:dyDescent="0.2">
      <c r="A32" s="74" t="s">
        <v>457</v>
      </c>
      <c r="B32" s="75">
        <v>2.5345716149999998E-12</v>
      </c>
      <c r="C32" s="76">
        <f>К.П.Д.5/((f_50_hz/f_nom)^5)</f>
        <v>2.5345716149999998E-12</v>
      </c>
    </row>
    <row r="33" spans="1:22" x14ac:dyDescent="0.2">
      <c r="A33" s="74" t="s">
        <v>458</v>
      </c>
      <c r="B33" s="75">
        <v>-9.9053640739999904E-16</v>
      </c>
      <c r="C33" s="76">
        <f>К.П.Д.6/((f_50_hz/f_nom)^6)</f>
        <v>-9.9053640739999904E-16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5.1002025040010102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5.1002025040010102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354.1494581</v>
      </c>
      <c r="I42" s="84">
        <f>H42/1000</f>
        <v>0.35414945809999998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-0.202587978</v>
      </c>
      <c r="K42" s="84">
        <f>J42/100</f>
        <v>-2.0258797799999999E-3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5.1002025040010102</v>
      </c>
      <c r="R42" s="87">
        <f>D42</f>
        <v>1E-3</v>
      </c>
      <c r="S42" s="47">
        <f t="shared" ref="S42:S73" si="8">I42*(f_50_hz/f_nom)^3</f>
        <v>0.35414945809999998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5.1002025040010102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354.1494581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-0.202587978</v>
      </c>
    </row>
    <row r="43" spans="1:22" x14ac:dyDescent="0.2">
      <c r="A43" s="80">
        <v>2</v>
      </c>
      <c r="B43" s="81">
        <v>21.428571428571399</v>
      </c>
      <c r="C43" s="82">
        <v>5.2217447559511303</v>
      </c>
      <c r="D43" s="82">
        <v>3.73727387402902E-2</v>
      </c>
      <c r="E43" s="75">
        <v>0.33961023687645597</v>
      </c>
      <c r="G43" s="89">
        <f t="shared" si="2"/>
        <v>5.2217447559511374</v>
      </c>
      <c r="H43" s="90">
        <f t="shared" si="3"/>
        <v>353.2461638517774</v>
      </c>
      <c r="I43" s="90">
        <f t="shared" ref="I43:I91" si="12">H43/1000</f>
        <v>0.35324616385177737</v>
      </c>
      <c r="J43" s="90">
        <f t="shared" si="4"/>
        <v>3.737273874029023</v>
      </c>
      <c r="K43" s="90">
        <f t="shared" ref="K43:K91" si="13">J43/100</f>
        <v>3.7372738740290228E-2</v>
      </c>
      <c r="L43" s="90">
        <f t="shared" si="5"/>
        <v>12.704691482113221</v>
      </c>
      <c r="M43" s="90">
        <f t="shared" ref="M43:M91" si="14">IF(K43&gt;0,L43/K43,0)/1000</f>
        <v>0.33994542306359643</v>
      </c>
      <c r="N43" s="91">
        <f t="shared" ref="N43:N91" si="15">L43/H43</f>
        <v>3.5965546925073269E-2</v>
      </c>
      <c r="P43" s="86">
        <f t="shared" si="6"/>
        <v>21.428571428571399</v>
      </c>
      <c r="Q43" s="47">
        <f t="shared" si="7"/>
        <v>5.2217447559511303</v>
      </c>
      <c r="R43" s="87">
        <f t="shared" ref="R43:R91" si="16">D43</f>
        <v>3.73727387402902E-2</v>
      </c>
      <c r="S43" s="47">
        <f t="shared" si="8"/>
        <v>0.35324616385177737</v>
      </c>
      <c r="T43" s="88">
        <f t="shared" si="9"/>
        <v>5.2217447559511374</v>
      </c>
      <c r="U43" s="88">
        <f t="shared" si="10"/>
        <v>353.2461638517774</v>
      </c>
      <c r="V43" s="88">
        <f t="shared" si="11"/>
        <v>3.737273874029023</v>
      </c>
    </row>
    <row r="44" spans="1:22" x14ac:dyDescent="0.2">
      <c r="A44" s="80">
        <v>3</v>
      </c>
      <c r="B44" s="81">
        <v>42.857142857142797</v>
      </c>
      <c r="C44" s="82">
        <v>5.2344896190442203</v>
      </c>
      <c r="D44" s="82">
        <v>7.3118237799242897E-2</v>
      </c>
      <c r="E44" s="75">
        <v>0.34801557509466102</v>
      </c>
      <c r="G44" s="89">
        <f t="shared" si="2"/>
        <v>5.2344896190442238</v>
      </c>
      <c r="H44" s="90">
        <f t="shared" si="3"/>
        <v>357.3388645874889</v>
      </c>
      <c r="I44" s="90">
        <f t="shared" si="12"/>
        <v>0.35733886458748892</v>
      </c>
      <c r="J44" s="90">
        <f t="shared" si="4"/>
        <v>7.3118237799242829</v>
      </c>
      <c r="K44" s="90">
        <f t="shared" si="13"/>
        <v>7.3118237799242827E-2</v>
      </c>
      <c r="L44" s="90">
        <f t="shared" si="5"/>
        <v>25.471400378384786</v>
      </c>
      <c r="M44" s="90">
        <f t="shared" si="14"/>
        <v>0.3483590571249866</v>
      </c>
      <c r="N44" s="91">
        <f t="shared" si="15"/>
        <v>7.1280800670223507E-2</v>
      </c>
      <c r="P44" s="86">
        <f t="shared" si="6"/>
        <v>42.857142857142797</v>
      </c>
      <c r="Q44" s="47">
        <f t="shared" si="7"/>
        <v>5.2344896190442203</v>
      </c>
      <c r="R44" s="87">
        <f t="shared" si="16"/>
        <v>7.3118237799242897E-2</v>
      </c>
      <c r="S44" s="47">
        <f t="shared" si="8"/>
        <v>0.35733886458748892</v>
      </c>
      <c r="T44" s="88">
        <f t="shared" si="9"/>
        <v>5.2344896190442238</v>
      </c>
      <c r="U44" s="88">
        <f t="shared" si="10"/>
        <v>357.3388645874889</v>
      </c>
      <c r="V44" s="88">
        <f t="shared" si="11"/>
        <v>7.3118237799242829</v>
      </c>
    </row>
    <row r="45" spans="1:22" x14ac:dyDescent="0.2">
      <c r="A45" s="80">
        <v>4</v>
      </c>
      <c r="B45" s="81">
        <v>64.285714285714207</v>
      </c>
      <c r="C45" s="82">
        <v>5.2060401735915898</v>
      </c>
      <c r="D45" s="82">
        <v>0.10587737181976301</v>
      </c>
      <c r="E45" s="75">
        <v>0.35854665554883702</v>
      </c>
      <c r="G45" s="89">
        <f t="shared" si="2"/>
        <v>5.206040173591596</v>
      </c>
      <c r="H45" s="90">
        <f t="shared" si="3"/>
        <v>365.12180985330741</v>
      </c>
      <c r="I45" s="90">
        <f t="shared" si="12"/>
        <v>0.36512180985330739</v>
      </c>
      <c r="J45" s="90">
        <f t="shared" si="4"/>
        <v>10.587737181976303</v>
      </c>
      <c r="K45" s="90">
        <f t="shared" si="13"/>
        <v>0.10587737181976303</v>
      </c>
      <c r="L45" s="90">
        <f t="shared" si="5"/>
        <v>37.999445017063564</v>
      </c>
      <c r="M45" s="90">
        <f t="shared" si="14"/>
        <v>0.35890053147286943</v>
      </c>
      <c r="N45" s="91">
        <f t="shared" si="15"/>
        <v>0.10407333660054531</v>
      </c>
      <c r="P45" s="86">
        <f t="shared" si="6"/>
        <v>64.285714285714207</v>
      </c>
      <c r="Q45" s="47">
        <f t="shared" si="7"/>
        <v>5.2060401735915898</v>
      </c>
      <c r="R45" s="87">
        <f t="shared" si="16"/>
        <v>0.10587737181976301</v>
      </c>
      <c r="S45" s="47">
        <f t="shared" si="8"/>
        <v>0.36512180985330739</v>
      </c>
      <c r="T45" s="88">
        <f t="shared" si="9"/>
        <v>5.206040173591596</v>
      </c>
      <c r="U45" s="88">
        <f t="shared" si="10"/>
        <v>365.12180985330741</v>
      </c>
      <c r="V45" s="88">
        <f t="shared" si="11"/>
        <v>10.587737181976303</v>
      </c>
    </row>
    <row r="46" spans="1:22" x14ac:dyDescent="0.2">
      <c r="A46" s="80">
        <v>5</v>
      </c>
      <c r="B46" s="81">
        <v>85.714285714285694</v>
      </c>
      <c r="C46" s="82">
        <v>5.1755654251585197</v>
      </c>
      <c r="D46" s="82">
        <v>0.13620749862616199</v>
      </c>
      <c r="E46" s="75">
        <v>0.36943397698643199</v>
      </c>
      <c r="G46" s="89">
        <f t="shared" si="2"/>
        <v>5.1755654251585286</v>
      </c>
      <c r="H46" s="90">
        <f t="shared" si="3"/>
        <v>375.49004584941713</v>
      </c>
      <c r="I46" s="90">
        <f t="shared" si="12"/>
        <v>0.37549004584941714</v>
      </c>
      <c r="J46" s="90">
        <f t="shared" si="4"/>
        <v>13.620749862616233</v>
      </c>
      <c r="K46" s="90">
        <f t="shared" si="13"/>
        <v>0.13620749862616233</v>
      </c>
      <c r="L46" s="90">
        <f t="shared" si="5"/>
        <v>50.369342084132015</v>
      </c>
      <c r="M46" s="90">
        <f t="shared" si="14"/>
        <v>0.36979859840445833</v>
      </c>
      <c r="N46" s="91">
        <f t="shared" si="15"/>
        <v>0.13414294903660814</v>
      </c>
      <c r="P46" s="86">
        <f t="shared" si="6"/>
        <v>85.714285714285694</v>
      </c>
      <c r="Q46" s="47">
        <f t="shared" si="7"/>
        <v>5.1755654251585197</v>
      </c>
      <c r="R46" s="87">
        <f t="shared" si="16"/>
        <v>0.13620749862616199</v>
      </c>
      <c r="S46" s="47">
        <f t="shared" si="8"/>
        <v>0.37549004584941714</v>
      </c>
      <c r="T46" s="88">
        <f t="shared" si="9"/>
        <v>5.1755654251585286</v>
      </c>
      <c r="U46" s="88">
        <f t="shared" si="10"/>
        <v>375.49004584941713</v>
      </c>
      <c r="V46" s="88">
        <f t="shared" si="11"/>
        <v>13.620749862616233</v>
      </c>
    </row>
    <row r="47" spans="1:22" x14ac:dyDescent="0.2">
      <c r="A47" s="80">
        <v>6</v>
      </c>
      <c r="B47" s="81">
        <v>107.142857142857</v>
      </c>
      <c r="C47" s="82">
        <v>5.1622301255401402</v>
      </c>
      <c r="D47" s="82">
        <v>0.164568595261981</v>
      </c>
      <c r="E47" s="75">
        <v>0.38122419982466499</v>
      </c>
      <c r="G47" s="89">
        <f t="shared" si="2"/>
        <v>5.1622301255401437</v>
      </c>
      <c r="H47" s="90">
        <f t="shared" si="3"/>
        <v>387.52107941774216</v>
      </c>
      <c r="I47" s="90">
        <f t="shared" si="12"/>
        <v>0.38752107941774216</v>
      </c>
      <c r="J47" s="90">
        <f t="shared" si="4"/>
        <v>16.456859526198169</v>
      </c>
      <c r="K47" s="90">
        <f t="shared" si="13"/>
        <v>0.1645685952619817</v>
      </c>
      <c r="L47" s="90">
        <f t="shared" si="5"/>
        <v>62.799451304003853</v>
      </c>
      <c r="M47" s="90">
        <f t="shared" si="14"/>
        <v>0.38160045787613073</v>
      </c>
      <c r="N47" s="91">
        <f t="shared" si="15"/>
        <v>0.16205428462978383</v>
      </c>
      <c r="P47" s="86">
        <f t="shared" si="6"/>
        <v>107.142857142857</v>
      </c>
      <c r="Q47" s="47">
        <f t="shared" si="7"/>
        <v>5.1622301255401402</v>
      </c>
      <c r="R47" s="87">
        <f t="shared" si="16"/>
        <v>0.164568595261981</v>
      </c>
      <c r="S47" s="47">
        <f t="shared" si="8"/>
        <v>0.38752107941774216</v>
      </c>
      <c r="T47" s="88">
        <f t="shared" si="9"/>
        <v>5.1622301255401437</v>
      </c>
      <c r="U47" s="88">
        <f t="shared" si="10"/>
        <v>387.52107941774216</v>
      </c>
      <c r="V47" s="88">
        <f t="shared" si="11"/>
        <v>16.456859526198169</v>
      </c>
    </row>
    <row r="48" spans="1:22" x14ac:dyDescent="0.2">
      <c r="A48" s="80">
        <v>7</v>
      </c>
      <c r="B48" s="81">
        <v>128.57142857142799</v>
      </c>
      <c r="C48" s="82">
        <v>5.1718354577082897</v>
      </c>
      <c r="D48" s="82">
        <v>0.19133458331008901</v>
      </c>
      <c r="E48" s="75">
        <v>0.39420536731434302</v>
      </c>
      <c r="G48" s="89">
        <f t="shared" si="2"/>
        <v>5.1718354577083003</v>
      </c>
      <c r="H48" s="90">
        <f t="shared" si="3"/>
        <v>400.45730792371273</v>
      </c>
      <c r="I48" s="90">
        <f t="shared" si="12"/>
        <v>0.40045730792371276</v>
      </c>
      <c r="J48" s="90">
        <f t="shared" si="4"/>
        <v>19.133458331008857</v>
      </c>
      <c r="K48" s="90">
        <f t="shared" si="13"/>
        <v>0.19133458331008857</v>
      </c>
      <c r="L48" s="90">
        <f t="shared" si="5"/>
        <v>75.499562262080502</v>
      </c>
      <c r="M48" s="90">
        <f t="shared" si="14"/>
        <v>0.39459443742964795</v>
      </c>
      <c r="N48" s="91">
        <f t="shared" si="15"/>
        <v>0.18853336115534991</v>
      </c>
      <c r="P48" s="86">
        <f t="shared" si="6"/>
        <v>128.57142857142799</v>
      </c>
      <c r="Q48" s="47">
        <f t="shared" si="7"/>
        <v>5.1718354577082897</v>
      </c>
      <c r="R48" s="87">
        <f t="shared" si="16"/>
        <v>0.19133458331008901</v>
      </c>
      <c r="S48" s="47">
        <f t="shared" si="8"/>
        <v>0.40045730792371276</v>
      </c>
      <c r="T48" s="88">
        <f t="shared" si="9"/>
        <v>5.1718354577083003</v>
      </c>
      <c r="U48" s="88">
        <f t="shared" si="10"/>
        <v>400.45730792371273</v>
      </c>
      <c r="V48" s="88">
        <f t="shared" si="11"/>
        <v>19.133458331008857</v>
      </c>
    </row>
    <row r="49" spans="1:22" x14ac:dyDescent="0.2">
      <c r="A49" s="80">
        <v>8</v>
      </c>
      <c r="B49" s="81">
        <v>150</v>
      </c>
      <c r="C49" s="82">
        <v>5.2019343149261097</v>
      </c>
      <c r="D49" s="82">
        <v>0.21680396371504701</v>
      </c>
      <c r="E49" s="75">
        <v>0.40824017779410399</v>
      </c>
      <c r="G49" s="89">
        <f t="shared" si="2"/>
        <v>5.2019343149261177</v>
      </c>
      <c r="H49" s="90">
        <f t="shared" si="3"/>
        <v>413.68921503206934</v>
      </c>
      <c r="I49" s="90">
        <f t="shared" si="12"/>
        <v>0.41368921503206935</v>
      </c>
      <c r="J49" s="90">
        <f t="shared" si="4"/>
        <v>21.680396371504777</v>
      </c>
      <c r="K49" s="90">
        <f t="shared" si="13"/>
        <v>0.21680396371504776</v>
      </c>
      <c r="L49" s="90">
        <f t="shared" si="5"/>
        <v>88.59544380108531</v>
      </c>
      <c r="M49" s="90">
        <f t="shared" si="14"/>
        <v>0.4086430998905955</v>
      </c>
      <c r="N49" s="91">
        <f t="shared" si="15"/>
        <v>0.21415942350398803</v>
      </c>
      <c r="P49" s="86">
        <f t="shared" si="6"/>
        <v>150</v>
      </c>
      <c r="Q49" s="47">
        <f t="shared" si="7"/>
        <v>5.2019343149261097</v>
      </c>
      <c r="R49" s="87">
        <f t="shared" si="16"/>
        <v>0.21680396371504701</v>
      </c>
      <c r="S49" s="47">
        <f t="shared" si="8"/>
        <v>0.41368921503206935</v>
      </c>
      <c r="T49" s="88">
        <f t="shared" si="9"/>
        <v>5.2019343149261177</v>
      </c>
      <c r="U49" s="88">
        <f t="shared" si="10"/>
        <v>413.68921503206934</v>
      </c>
      <c r="V49" s="88">
        <f t="shared" si="11"/>
        <v>21.680396371504777</v>
      </c>
    </row>
    <row r="50" spans="1:22" x14ac:dyDescent="0.2">
      <c r="A50" s="80">
        <v>9</v>
      </c>
      <c r="B50" s="81">
        <v>171.42857142857099</v>
      </c>
      <c r="C50" s="82">
        <v>5.2456603500221402</v>
      </c>
      <c r="D50" s="82">
        <v>0.24120976110775699</v>
      </c>
      <c r="E50" s="75">
        <v>0.422878235752636</v>
      </c>
      <c r="G50" s="89">
        <f t="shared" si="2"/>
        <v>5.2456603500221402</v>
      </c>
      <c r="H50" s="90">
        <f t="shared" si="3"/>
        <v>426.73933237670059</v>
      </c>
      <c r="I50" s="90">
        <f t="shared" si="12"/>
        <v>0.42673933237670059</v>
      </c>
      <c r="J50" s="90">
        <f t="shared" si="4"/>
        <v>24.120976110775743</v>
      </c>
      <c r="K50" s="90">
        <f t="shared" si="13"/>
        <v>0.24120976110775744</v>
      </c>
      <c r="L50" s="90">
        <f t="shared" si="5"/>
        <v>102.10303181293069</v>
      </c>
      <c r="M50" s="90">
        <f t="shared" si="14"/>
        <v>0.42329560521938187</v>
      </c>
      <c r="N50" s="91">
        <f t="shared" si="15"/>
        <v>0.23926323182883946</v>
      </c>
      <c r="P50" s="86">
        <f t="shared" si="6"/>
        <v>171.42857142857099</v>
      </c>
      <c r="Q50" s="47">
        <f t="shared" si="7"/>
        <v>5.2456603500221402</v>
      </c>
      <c r="R50" s="87">
        <f t="shared" si="16"/>
        <v>0.24120976110775699</v>
      </c>
      <c r="S50" s="47">
        <f t="shared" si="8"/>
        <v>0.42673933237670059</v>
      </c>
      <c r="T50" s="88">
        <f t="shared" si="9"/>
        <v>5.2456603500221402</v>
      </c>
      <c r="U50" s="88">
        <f t="shared" si="10"/>
        <v>426.73933237670059</v>
      </c>
      <c r="V50" s="88">
        <f t="shared" si="11"/>
        <v>24.120976110775743</v>
      </c>
    </row>
    <row r="51" spans="1:22" x14ac:dyDescent="0.2">
      <c r="A51" s="80">
        <v>10</v>
      </c>
      <c r="B51" s="81">
        <v>192.85714285714201</v>
      </c>
      <c r="C51" s="82">
        <v>5.2944865161162902</v>
      </c>
      <c r="D51" s="82">
        <v>0.26472877763237201</v>
      </c>
      <c r="E51" s="75">
        <v>0.43750725590345702</v>
      </c>
      <c r="G51" s="89">
        <f t="shared" si="2"/>
        <v>5.2944865161162928</v>
      </c>
      <c r="H51" s="90">
        <f t="shared" si="3"/>
        <v>439.24696712452464</v>
      </c>
      <c r="I51" s="90">
        <f t="shared" si="12"/>
        <v>0.43924696712452466</v>
      </c>
      <c r="J51" s="90">
        <f t="shared" si="4"/>
        <v>26.472877763237161</v>
      </c>
      <c r="K51" s="90">
        <f t="shared" si="13"/>
        <v>0.26472877763237163</v>
      </c>
      <c r="L51" s="90">
        <f t="shared" si="5"/>
        <v>115.93507304263524</v>
      </c>
      <c r="M51" s="90">
        <f t="shared" si="14"/>
        <v>0.43793906382038322</v>
      </c>
      <c r="N51" s="91">
        <f t="shared" si="15"/>
        <v>0.26394052029906934</v>
      </c>
      <c r="P51" s="86">
        <f t="shared" si="6"/>
        <v>192.85714285714204</v>
      </c>
      <c r="Q51" s="47">
        <f t="shared" si="7"/>
        <v>5.2944865161162902</v>
      </c>
      <c r="R51" s="87">
        <f t="shared" si="16"/>
        <v>0.26472877763237201</v>
      </c>
      <c r="S51" s="47">
        <f t="shared" si="8"/>
        <v>0.43924696712452466</v>
      </c>
      <c r="T51" s="88">
        <f t="shared" si="9"/>
        <v>5.2944865161162911</v>
      </c>
      <c r="U51" s="88">
        <f t="shared" si="10"/>
        <v>439.24696712452459</v>
      </c>
      <c r="V51" s="88">
        <f t="shared" si="11"/>
        <v>26.472877763237165</v>
      </c>
    </row>
    <row r="52" spans="1:22" x14ac:dyDescent="0.2">
      <c r="A52" s="80">
        <v>11</v>
      </c>
      <c r="B52" s="81">
        <v>214.28571428571399</v>
      </c>
      <c r="C52" s="82">
        <v>5.3401064648939798</v>
      </c>
      <c r="D52" s="82">
        <v>0.28749015627548402</v>
      </c>
      <c r="E52" s="75">
        <v>0.45148881418974801</v>
      </c>
      <c r="G52" s="89">
        <f t="shared" si="2"/>
        <v>5.340106464893986</v>
      </c>
      <c r="H52" s="90">
        <f t="shared" si="3"/>
        <v>450.9536954334024</v>
      </c>
      <c r="I52" s="90">
        <f t="shared" si="12"/>
        <v>0.45095369543340241</v>
      </c>
      <c r="J52" s="90">
        <f t="shared" si="4"/>
        <v>28.749015627548392</v>
      </c>
      <c r="K52" s="90">
        <f t="shared" si="13"/>
        <v>0.28749015627548391</v>
      </c>
      <c r="L52" s="90">
        <f t="shared" si="5"/>
        <v>129.92669747175066</v>
      </c>
      <c r="M52" s="90">
        <f t="shared" si="14"/>
        <v>0.45193442152937574</v>
      </c>
      <c r="N52" s="91">
        <f t="shared" si="15"/>
        <v>0.28811538476667931</v>
      </c>
      <c r="P52" s="86">
        <f t="shared" si="6"/>
        <v>214.28571428571399</v>
      </c>
      <c r="Q52" s="47">
        <f t="shared" si="7"/>
        <v>5.3401064648939798</v>
      </c>
      <c r="R52" s="87">
        <f t="shared" si="16"/>
        <v>0.28749015627548402</v>
      </c>
      <c r="S52" s="47">
        <f t="shared" si="8"/>
        <v>0.45095369543340241</v>
      </c>
      <c r="T52" s="88">
        <f t="shared" si="9"/>
        <v>5.340106464893986</v>
      </c>
      <c r="U52" s="88">
        <f t="shared" si="10"/>
        <v>450.9536954334024</v>
      </c>
      <c r="V52" s="88">
        <f t="shared" si="11"/>
        <v>28.749015627548392</v>
      </c>
    </row>
    <row r="53" spans="1:22" x14ac:dyDescent="0.2">
      <c r="A53" s="80">
        <v>12</v>
      </c>
      <c r="B53" s="81">
        <v>235.71428571428501</v>
      </c>
      <c r="C53" s="82">
        <v>5.3756109128337997</v>
      </c>
      <c r="D53" s="82">
        <v>0.30958325369758499</v>
      </c>
      <c r="E53" s="75">
        <v>0.46426197017498</v>
      </c>
      <c r="G53" s="89">
        <f t="shared" si="2"/>
        <v>5.375610912833805</v>
      </c>
      <c r="H53" s="90">
        <f t="shared" si="3"/>
        <v>461.68962180408892</v>
      </c>
      <c r="I53" s="90">
        <f t="shared" si="12"/>
        <v>0.4616896218040889</v>
      </c>
      <c r="J53" s="90">
        <f t="shared" si="4"/>
        <v>30.958325369758477</v>
      </c>
      <c r="K53" s="90">
        <f t="shared" si="13"/>
        <v>0.30958325369758477</v>
      </c>
      <c r="L53" s="90">
        <f t="shared" si="5"/>
        <v>143.86958670731488</v>
      </c>
      <c r="M53" s="90">
        <f t="shared" si="14"/>
        <v>0.46472018427667711</v>
      </c>
      <c r="N53" s="91">
        <f t="shared" si="15"/>
        <v>0.31161537949484985</v>
      </c>
      <c r="P53" s="86">
        <f t="shared" si="6"/>
        <v>235.71428571428498</v>
      </c>
      <c r="Q53" s="47">
        <f t="shared" si="7"/>
        <v>5.3756109128337997</v>
      </c>
      <c r="R53" s="87">
        <f t="shared" si="16"/>
        <v>0.30958325369758499</v>
      </c>
      <c r="S53" s="47">
        <f t="shared" si="8"/>
        <v>0.4616896218040889</v>
      </c>
      <c r="T53" s="88">
        <f t="shared" si="9"/>
        <v>5.3756109128338014</v>
      </c>
      <c r="U53" s="88">
        <f t="shared" si="10"/>
        <v>461.68962180408892</v>
      </c>
      <c r="V53" s="88">
        <f t="shared" si="11"/>
        <v>30.958325369758473</v>
      </c>
    </row>
    <row r="54" spans="1:22" x14ac:dyDescent="0.2">
      <c r="A54" s="80">
        <v>13</v>
      </c>
      <c r="B54" s="81">
        <v>257.142857142857</v>
      </c>
      <c r="C54" s="82">
        <v>5.3961109296072802</v>
      </c>
      <c r="D54" s="82">
        <v>0.33106482256680098</v>
      </c>
      <c r="E54" s="75">
        <v>0.475410901685419</v>
      </c>
      <c r="G54" s="89">
        <f t="shared" si="2"/>
        <v>5.3961109296072785</v>
      </c>
      <c r="H54" s="90">
        <f t="shared" si="3"/>
        <v>471.36040432622644</v>
      </c>
      <c r="I54" s="90">
        <f t="shared" si="12"/>
        <v>0.47136040432622645</v>
      </c>
      <c r="J54" s="90">
        <f t="shared" si="4"/>
        <v>33.106482256680167</v>
      </c>
      <c r="K54" s="90">
        <f t="shared" si="13"/>
        <v>0.33106482256680164</v>
      </c>
      <c r="L54" s="90">
        <f t="shared" si="5"/>
        <v>157.54716731978391</v>
      </c>
      <c r="M54" s="90">
        <f t="shared" si="14"/>
        <v>0.47588011948323006</v>
      </c>
      <c r="N54" s="91">
        <f t="shared" si="15"/>
        <v>0.33423929094126076</v>
      </c>
      <c r="P54" s="86">
        <f t="shared" si="6"/>
        <v>257.142857142857</v>
      </c>
      <c r="Q54" s="47">
        <f t="shared" si="7"/>
        <v>5.3961109296072802</v>
      </c>
      <c r="R54" s="87">
        <f t="shared" si="16"/>
        <v>0.33106482256680098</v>
      </c>
      <c r="S54" s="47">
        <f t="shared" si="8"/>
        <v>0.47136040432622645</v>
      </c>
      <c r="T54" s="88">
        <f t="shared" si="9"/>
        <v>5.3961109296072785</v>
      </c>
      <c r="U54" s="88">
        <f t="shared" si="10"/>
        <v>471.36040432622644</v>
      </c>
      <c r="V54" s="88">
        <f t="shared" si="11"/>
        <v>33.106482256680167</v>
      </c>
    </row>
    <row r="55" spans="1:22" x14ac:dyDescent="0.2">
      <c r="A55" s="80">
        <v>14</v>
      </c>
      <c r="B55" s="81">
        <v>278.57142857142799</v>
      </c>
      <c r="C55" s="82">
        <v>5.3989410461870797</v>
      </c>
      <c r="D55" s="82">
        <v>0.35196550339489702</v>
      </c>
      <c r="E55" s="75">
        <v>0.48469874593143197</v>
      </c>
      <c r="G55" s="89">
        <f t="shared" si="2"/>
        <v>5.3989410461870886</v>
      </c>
      <c r="H55" s="90">
        <f t="shared" si="3"/>
        <v>479.93504581836669</v>
      </c>
      <c r="I55" s="90">
        <f t="shared" si="12"/>
        <v>0.47993504581836671</v>
      </c>
      <c r="J55" s="90">
        <f t="shared" si="4"/>
        <v>35.196550339489697</v>
      </c>
      <c r="K55" s="90">
        <f t="shared" si="13"/>
        <v>0.35196550339489696</v>
      </c>
      <c r="L55" s="90">
        <f t="shared" si="5"/>
        <v>170.76561300105081</v>
      </c>
      <c r="M55" s="90">
        <f t="shared" si="14"/>
        <v>0.4851771305821862</v>
      </c>
      <c r="N55" s="91">
        <f t="shared" si="15"/>
        <v>0.3558098423712065</v>
      </c>
      <c r="P55" s="86">
        <f t="shared" si="6"/>
        <v>278.57142857142799</v>
      </c>
      <c r="Q55" s="47">
        <f t="shared" si="7"/>
        <v>5.3989410461870797</v>
      </c>
      <c r="R55" s="87">
        <f t="shared" si="16"/>
        <v>0.35196550339489702</v>
      </c>
      <c r="S55" s="47">
        <f t="shared" si="8"/>
        <v>0.47993504581836671</v>
      </c>
      <c r="T55" s="88">
        <f t="shared" si="9"/>
        <v>5.3989410461870886</v>
      </c>
      <c r="U55" s="88">
        <f t="shared" si="10"/>
        <v>479.93504581836669</v>
      </c>
      <c r="V55" s="88">
        <f t="shared" si="11"/>
        <v>35.196550339489697</v>
      </c>
    </row>
    <row r="56" spans="1:22" x14ac:dyDescent="0.2">
      <c r="A56" s="80">
        <v>15</v>
      </c>
      <c r="B56" s="81">
        <v>300</v>
      </c>
      <c r="C56" s="82">
        <v>5.3835571230219799</v>
      </c>
      <c r="D56" s="82">
        <v>0.37229562587555398</v>
      </c>
      <c r="E56" s="75">
        <v>0.49207294321924899</v>
      </c>
      <c r="G56" s="89">
        <f t="shared" si="2"/>
        <v>5.3835571230219905</v>
      </c>
      <c r="H56" s="90">
        <f t="shared" si="3"/>
        <v>487.43445086204002</v>
      </c>
      <c r="I56" s="90">
        <f t="shared" si="12"/>
        <v>0.48743445086204001</v>
      </c>
      <c r="J56" s="90">
        <f t="shared" si="4"/>
        <v>37.229562587555407</v>
      </c>
      <c r="K56" s="90">
        <f t="shared" si="13"/>
        <v>0.37229562587555409</v>
      </c>
      <c r="L56" s="90">
        <f t="shared" si="5"/>
        <v>183.3774145029362</v>
      </c>
      <c r="M56" s="90">
        <f t="shared" si="14"/>
        <v>0.49255860600476975</v>
      </c>
      <c r="N56" s="91">
        <f t="shared" si="15"/>
        <v>0.37620938400769305</v>
      </c>
      <c r="P56" s="86">
        <f t="shared" si="6"/>
        <v>300</v>
      </c>
      <c r="Q56" s="47">
        <f t="shared" si="7"/>
        <v>5.3835571230219799</v>
      </c>
      <c r="R56" s="87">
        <f t="shared" si="16"/>
        <v>0.37229562587555398</v>
      </c>
      <c r="S56" s="47">
        <f t="shared" si="8"/>
        <v>0.48743445086204001</v>
      </c>
      <c r="T56" s="88">
        <f t="shared" si="9"/>
        <v>5.3835571230219905</v>
      </c>
      <c r="U56" s="88">
        <f t="shared" si="10"/>
        <v>487.43445086204002</v>
      </c>
      <c r="V56" s="88">
        <f t="shared" si="11"/>
        <v>37.229562587555407</v>
      </c>
    </row>
    <row r="57" spans="1:22" x14ac:dyDescent="0.2">
      <c r="A57" s="80">
        <v>16</v>
      </c>
      <c r="B57" s="81">
        <v>321.42857142857099</v>
      </c>
      <c r="C57" s="82">
        <v>5.35122706096376</v>
      </c>
      <c r="D57" s="82">
        <v>0.39205031972492099</v>
      </c>
      <c r="E57" s="75">
        <v>0.49764871177711401</v>
      </c>
      <c r="G57" s="89">
        <f t="shared" si="2"/>
        <v>5.3512270609637786</v>
      </c>
      <c r="H57" s="90">
        <f t="shared" si="3"/>
        <v>493.92074872985285</v>
      </c>
      <c r="I57" s="90">
        <f t="shared" si="12"/>
        <v>0.49392074872985287</v>
      </c>
      <c r="J57" s="90">
        <f t="shared" si="4"/>
        <v>39.205031972492115</v>
      </c>
      <c r="K57" s="90">
        <f t="shared" si="13"/>
        <v>0.39205031972492116</v>
      </c>
      <c r="L57" s="90">
        <f t="shared" si="5"/>
        <v>195.29589831865482</v>
      </c>
      <c r="M57" s="90">
        <f t="shared" si="14"/>
        <v>0.49813987769652268</v>
      </c>
      <c r="N57" s="91">
        <f t="shared" si="15"/>
        <v>0.39539925953884314</v>
      </c>
      <c r="P57" s="86">
        <f t="shared" si="6"/>
        <v>321.42857142857099</v>
      </c>
      <c r="Q57" s="47">
        <f t="shared" si="7"/>
        <v>5.35122706096376</v>
      </c>
      <c r="R57" s="87">
        <f t="shared" si="16"/>
        <v>0.39205031972492099</v>
      </c>
      <c r="S57" s="47">
        <f t="shared" si="8"/>
        <v>0.49392074872985287</v>
      </c>
      <c r="T57" s="88">
        <f t="shared" si="9"/>
        <v>5.3512270609637786</v>
      </c>
      <c r="U57" s="88">
        <f t="shared" si="10"/>
        <v>493.92074872985285</v>
      </c>
      <c r="V57" s="88">
        <f t="shared" si="11"/>
        <v>39.205031972492115</v>
      </c>
    </row>
    <row r="58" spans="1:22" x14ac:dyDescent="0.2">
      <c r="A58" s="80">
        <v>17</v>
      </c>
      <c r="B58" s="81">
        <v>342.85714285714198</v>
      </c>
      <c r="C58" s="82">
        <v>5.3045966794619597</v>
      </c>
      <c r="D58" s="82">
        <v>0.41121393502444198</v>
      </c>
      <c r="E58" s="75">
        <v>0.50167745740034198</v>
      </c>
      <c r="G58" s="89">
        <f t="shared" si="2"/>
        <v>5.3045966794619455</v>
      </c>
      <c r="H58" s="90">
        <f t="shared" si="3"/>
        <v>499.48738220762885</v>
      </c>
      <c r="I58" s="90">
        <f t="shared" si="12"/>
        <v>0.49948738220762884</v>
      </c>
      <c r="J58" s="90">
        <f t="shared" si="4"/>
        <v>41.121393502444178</v>
      </c>
      <c r="K58" s="90">
        <f t="shared" si="13"/>
        <v>0.41121393502444176</v>
      </c>
      <c r="L58" s="90">
        <f t="shared" si="5"/>
        <v>206.5003707361972</v>
      </c>
      <c r="M58" s="90">
        <f t="shared" si="14"/>
        <v>0.50217259958353122</v>
      </c>
      <c r="N58" s="91">
        <f t="shared" si="15"/>
        <v>0.41342459908298207</v>
      </c>
      <c r="P58" s="86">
        <f t="shared" si="6"/>
        <v>342.85714285714198</v>
      </c>
      <c r="Q58" s="47">
        <f t="shared" si="7"/>
        <v>5.3045966794619597</v>
      </c>
      <c r="R58" s="87">
        <f t="shared" si="16"/>
        <v>0.41121393502444198</v>
      </c>
      <c r="S58" s="47">
        <f t="shared" si="8"/>
        <v>0.49948738220762884</v>
      </c>
      <c r="T58" s="88">
        <f t="shared" si="9"/>
        <v>5.3045966794619455</v>
      </c>
      <c r="U58" s="88">
        <f t="shared" si="10"/>
        <v>499.48738220762885</v>
      </c>
      <c r="V58" s="88">
        <f t="shared" si="11"/>
        <v>41.121393502444178</v>
      </c>
    </row>
    <row r="59" spans="1:22" x14ac:dyDescent="0.2">
      <c r="A59" s="80">
        <v>18</v>
      </c>
      <c r="B59" s="81">
        <v>364.28571428571399</v>
      </c>
      <c r="C59" s="82">
        <v>5.24719842787791</v>
      </c>
      <c r="D59" s="82">
        <v>0.42976377206594901</v>
      </c>
      <c r="E59" s="75">
        <v>0.50450638225759303</v>
      </c>
      <c r="G59" s="89">
        <f t="shared" si="2"/>
        <v>5.2471984278779509</v>
      </c>
      <c r="H59" s="90">
        <f t="shared" si="3"/>
        <v>504.24996231058446</v>
      </c>
      <c r="I59" s="90">
        <f t="shared" si="12"/>
        <v>0.5042499623105845</v>
      </c>
      <c r="J59" s="90">
        <f t="shared" si="4"/>
        <v>42.976377206594904</v>
      </c>
      <c r="K59" s="90">
        <f t="shared" si="13"/>
        <v>0.42976377206594907</v>
      </c>
      <c r="L59" s="90">
        <f t="shared" si="5"/>
        <v>217.03255997450353</v>
      </c>
      <c r="M59" s="90">
        <f t="shared" si="14"/>
        <v>0.50500431651367528</v>
      </c>
      <c r="N59" s="91">
        <f t="shared" si="15"/>
        <v>0.43040669548097238</v>
      </c>
      <c r="P59" s="86">
        <f t="shared" si="6"/>
        <v>364.28571428571399</v>
      </c>
      <c r="Q59" s="47">
        <f t="shared" si="7"/>
        <v>5.24719842787791</v>
      </c>
      <c r="R59" s="87">
        <f t="shared" si="16"/>
        <v>0.42976377206594901</v>
      </c>
      <c r="S59" s="47">
        <f t="shared" si="8"/>
        <v>0.5042499623105845</v>
      </c>
      <c r="T59" s="88">
        <f t="shared" si="9"/>
        <v>5.2471984278779509</v>
      </c>
      <c r="U59" s="88">
        <f t="shared" si="10"/>
        <v>504.24996231058446</v>
      </c>
      <c r="V59" s="88">
        <f t="shared" si="11"/>
        <v>42.976377206594904</v>
      </c>
    </row>
    <row r="60" spans="1:22" x14ac:dyDescent="0.2">
      <c r="A60" s="80">
        <v>19</v>
      </c>
      <c r="B60" s="81">
        <v>385.71428571428498</v>
      </c>
      <c r="C60" s="82">
        <v>5.1829570366098299</v>
      </c>
      <c r="D60" s="82">
        <v>0.44767312069903298</v>
      </c>
      <c r="E60" s="75">
        <v>0.50653464308138296</v>
      </c>
      <c r="G60" s="89">
        <f t="shared" si="2"/>
        <v>5.1829570366098299</v>
      </c>
      <c r="H60" s="90">
        <f t="shared" si="3"/>
        <v>508.33788889354105</v>
      </c>
      <c r="I60" s="90">
        <f t="shared" si="12"/>
        <v>0.50833788889354103</v>
      </c>
      <c r="J60" s="90">
        <f t="shared" si="4"/>
        <v>44.767312069903269</v>
      </c>
      <c r="K60" s="90">
        <f t="shared" si="13"/>
        <v>0.4476731206990327</v>
      </c>
      <c r="L60" s="90">
        <f t="shared" si="5"/>
        <v>226.98575236224255</v>
      </c>
      <c r="M60" s="90">
        <f t="shared" si="14"/>
        <v>0.50703457917645089</v>
      </c>
      <c r="N60" s="91">
        <f t="shared" si="15"/>
        <v>0.44652534725732235</v>
      </c>
      <c r="P60" s="86">
        <f t="shared" si="6"/>
        <v>385.71428571428498</v>
      </c>
      <c r="Q60" s="47">
        <f t="shared" si="7"/>
        <v>5.1829570366098299</v>
      </c>
      <c r="R60" s="87">
        <f t="shared" si="16"/>
        <v>0.44767312069903298</v>
      </c>
      <c r="S60" s="47">
        <f t="shared" si="8"/>
        <v>0.50833788889354103</v>
      </c>
      <c r="T60" s="88">
        <f t="shared" si="9"/>
        <v>5.1829570366098299</v>
      </c>
      <c r="U60" s="88">
        <f t="shared" si="10"/>
        <v>508.33788889354105</v>
      </c>
      <c r="V60" s="88">
        <f t="shared" si="11"/>
        <v>44.767312069903269</v>
      </c>
    </row>
    <row r="61" spans="1:22" x14ac:dyDescent="0.2">
      <c r="A61" s="80">
        <v>20</v>
      </c>
      <c r="B61" s="81">
        <v>407.142857142857</v>
      </c>
      <c r="C61" s="82">
        <v>5.11573375506359</v>
      </c>
      <c r="D61" s="82">
        <v>0.46491360918068603</v>
      </c>
      <c r="E61" s="75">
        <v>0.50817036405041205</v>
      </c>
      <c r="G61" s="89">
        <f t="shared" si="2"/>
        <v>5.115733755063693</v>
      </c>
      <c r="H61" s="90">
        <f t="shared" si="3"/>
        <v>511.88673715517768</v>
      </c>
      <c r="I61" s="90">
        <f t="shared" si="12"/>
        <v>0.51188673715517763</v>
      </c>
      <c r="J61" s="90">
        <f t="shared" si="4"/>
        <v>46.491360918068665</v>
      </c>
      <c r="K61" s="90">
        <f t="shared" si="13"/>
        <v>0.46491360918068664</v>
      </c>
      <c r="L61" s="90">
        <f t="shared" si="5"/>
        <v>236.48849568608688</v>
      </c>
      <c r="M61" s="90">
        <f t="shared" si="14"/>
        <v>0.50867191455816607</v>
      </c>
      <c r="N61" s="91">
        <f t="shared" si="15"/>
        <v>0.46199379378410377</v>
      </c>
      <c r="P61" s="86">
        <f t="shared" si="6"/>
        <v>407.14285714285705</v>
      </c>
      <c r="Q61" s="47">
        <f t="shared" si="7"/>
        <v>5.11573375506359</v>
      </c>
      <c r="R61" s="87">
        <f t="shared" si="16"/>
        <v>0.46491360918068603</v>
      </c>
      <c r="S61" s="47">
        <f t="shared" si="8"/>
        <v>0.51188673715517763</v>
      </c>
      <c r="T61" s="88">
        <f t="shared" si="9"/>
        <v>5.1157337550637196</v>
      </c>
      <c r="U61" s="88">
        <f t="shared" si="10"/>
        <v>511.8867371551778</v>
      </c>
      <c r="V61" s="88">
        <f t="shared" si="11"/>
        <v>46.491360918068672</v>
      </c>
    </row>
    <row r="62" spans="1:22" x14ac:dyDescent="0.2">
      <c r="A62" s="80">
        <v>21</v>
      </c>
      <c r="B62" s="81">
        <v>428.57142857142799</v>
      </c>
      <c r="C62" s="82">
        <v>5.0489394633557296</v>
      </c>
      <c r="D62" s="82">
        <v>0.48145686252721798</v>
      </c>
      <c r="E62" s="75">
        <v>0.50979178897399502</v>
      </c>
      <c r="G62" s="89">
        <f t="shared" si="2"/>
        <v>5.0489394633557385</v>
      </c>
      <c r="H62" s="90">
        <f t="shared" si="3"/>
        <v>515.03141003631652</v>
      </c>
      <c r="I62" s="90">
        <f t="shared" si="12"/>
        <v>0.51503141003631647</v>
      </c>
      <c r="J62" s="90">
        <f t="shared" si="4"/>
        <v>48.145686252721859</v>
      </c>
      <c r="K62" s="90">
        <f t="shared" si="13"/>
        <v>0.48145686252721859</v>
      </c>
      <c r="L62" s="90">
        <f t="shared" si="5"/>
        <v>245.6850006722205</v>
      </c>
      <c r="M62" s="90">
        <f t="shared" si="14"/>
        <v>0.51029493978462293</v>
      </c>
      <c r="N62" s="91">
        <f t="shared" si="15"/>
        <v>0.47702915955144648</v>
      </c>
      <c r="P62" s="86">
        <f t="shared" si="6"/>
        <v>428.57142857142799</v>
      </c>
      <c r="Q62" s="47">
        <f t="shared" si="7"/>
        <v>5.0489394633557296</v>
      </c>
      <c r="R62" s="87">
        <f t="shared" si="16"/>
        <v>0.48145686252721798</v>
      </c>
      <c r="S62" s="47">
        <f t="shared" si="8"/>
        <v>0.51503141003631647</v>
      </c>
      <c r="T62" s="88">
        <f t="shared" si="9"/>
        <v>5.0489394633557385</v>
      </c>
      <c r="U62" s="88">
        <f t="shared" si="10"/>
        <v>515.03141003631652</v>
      </c>
      <c r="V62" s="88">
        <f t="shared" si="11"/>
        <v>48.145686252721859</v>
      </c>
    </row>
    <row r="63" spans="1:22" x14ac:dyDescent="0.2">
      <c r="A63" s="80">
        <v>22</v>
      </c>
      <c r="B63" s="81">
        <v>449.99999999999898</v>
      </c>
      <c r="C63" s="82">
        <v>4.9852366839828601</v>
      </c>
      <c r="D63" s="82">
        <v>0.497275470368443</v>
      </c>
      <c r="E63" s="75">
        <v>0.511714941818877</v>
      </c>
      <c r="G63" s="89">
        <f t="shared" si="2"/>
        <v>4.9852366839829747</v>
      </c>
      <c r="H63" s="90">
        <f t="shared" si="3"/>
        <v>517.90005651224919</v>
      </c>
      <c r="I63" s="90">
        <f t="shared" si="12"/>
        <v>0.51790005651224924</v>
      </c>
      <c r="J63" s="90">
        <f t="shared" si="4"/>
        <v>49.727547036844264</v>
      </c>
      <c r="K63" s="90">
        <f t="shared" si="13"/>
        <v>0.49727547036844266</v>
      </c>
      <c r="L63" s="90">
        <f t="shared" si="5"/>
        <v>254.7144368222487</v>
      </c>
      <c r="M63" s="90">
        <f t="shared" si="14"/>
        <v>0.51221999072973579</v>
      </c>
      <c r="N63" s="91">
        <f t="shared" si="15"/>
        <v>0.49182160461151503</v>
      </c>
      <c r="P63" s="86">
        <f t="shared" si="6"/>
        <v>449.99999999999898</v>
      </c>
      <c r="Q63" s="47">
        <f t="shared" si="7"/>
        <v>4.9852366839828601</v>
      </c>
      <c r="R63" s="87">
        <f t="shared" si="16"/>
        <v>0.497275470368443</v>
      </c>
      <c r="S63" s="47">
        <f t="shared" si="8"/>
        <v>0.51790005651224924</v>
      </c>
      <c r="T63" s="88">
        <f t="shared" si="9"/>
        <v>4.9852366839829747</v>
      </c>
      <c r="U63" s="88">
        <f t="shared" si="10"/>
        <v>517.90005651224919</v>
      </c>
      <c r="V63" s="88">
        <f t="shared" si="11"/>
        <v>49.727547036844264</v>
      </c>
    </row>
    <row r="64" spans="1:22" x14ac:dyDescent="0.2">
      <c r="A64" s="80">
        <v>23</v>
      </c>
      <c r="B64" s="81">
        <v>471.42857142857099</v>
      </c>
      <c r="C64" s="82">
        <v>4.9263413585571003</v>
      </c>
      <c r="D64" s="82">
        <v>0.51234326430413701</v>
      </c>
      <c r="E64" s="75">
        <v>0.514169380310876</v>
      </c>
      <c r="G64" s="89">
        <f t="shared" si="2"/>
        <v>4.9263413585573117</v>
      </c>
      <c r="H64" s="90">
        <f t="shared" si="3"/>
        <v>520.60875577909985</v>
      </c>
      <c r="I64" s="90">
        <f t="shared" si="12"/>
        <v>0.52060875577909982</v>
      </c>
      <c r="J64" s="90">
        <f t="shared" si="4"/>
        <v>51.234326430413773</v>
      </c>
      <c r="K64" s="90">
        <f t="shared" si="13"/>
        <v>0.51234326430413768</v>
      </c>
      <c r="L64" s="90">
        <f t="shared" si="5"/>
        <v>263.69121825490885</v>
      </c>
      <c r="M64" s="90">
        <f t="shared" si="14"/>
        <v>0.51467685168663846</v>
      </c>
      <c r="N64" s="91">
        <f t="shared" si="15"/>
        <v>0.50650553861755643</v>
      </c>
      <c r="P64" s="86">
        <f t="shared" si="6"/>
        <v>471.42857142857099</v>
      </c>
      <c r="Q64" s="47">
        <f t="shared" si="7"/>
        <v>4.9263413585571003</v>
      </c>
      <c r="R64" s="87">
        <f t="shared" si="16"/>
        <v>0.51234326430413701</v>
      </c>
      <c r="S64" s="47">
        <f t="shared" si="8"/>
        <v>0.52060875577909982</v>
      </c>
      <c r="T64" s="88">
        <f t="shared" si="9"/>
        <v>4.9263413585573117</v>
      </c>
      <c r="U64" s="88">
        <f t="shared" si="10"/>
        <v>520.60875577909985</v>
      </c>
      <c r="V64" s="88">
        <f t="shared" si="11"/>
        <v>51.234326430413773</v>
      </c>
    </row>
    <row r="65" spans="1:22" x14ac:dyDescent="0.2">
      <c r="A65" s="80">
        <v>24</v>
      </c>
      <c r="B65" s="81">
        <v>492.85714285714198</v>
      </c>
      <c r="C65" s="82">
        <v>4.8729271930612796</v>
      </c>
      <c r="D65" s="82">
        <v>0.52663490476277997</v>
      </c>
      <c r="E65" s="75">
        <v>0.51728296509170602</v>
      </c>
      <c r="G65" s="89">
        <f t="shared" si="2"/>
        <v>4.8729271930612752</v>
      </c>
      <c r="H65" s="90">
        <f t="shared" si="3"/>
        <v>523.25696733422387</v>
      </c>
      <c r="I65" s="90">
        <f t="shared" si="12"/>
        <v>0.52325696733422389</v>
      </c>
      <c r="J65" s="90">
        <f t="shared" si="4"/>
        <v>52.663490476277971</v>
      </c>
      <c r="K65" s="90">
        <f t="shared" si="13"/>
        <v>0.52663490476277974</v>
      </c>
      <c r="L65" s="90">
        <f t="shared" si="5"/>
        <v>272.68813555813853</v>
      </c>
      <c r="M65" s="90">
        <f t="shared" si="14"/>
        <v>0.51779350949206393</v>
      </c>
      <c r="N65" s="91">
        <f t="shared" si="15"/>
        <v>0.52113617702478177</v>
      </c>
      <c r="P65" s="86">
        <f t="shared" si="6"/>
        <v>492.85714285714198</v>
      </c>
      <c r="Q65" s="47">
        <f t="shared" si="7"/>
        <v>4.8729271930612796</v>
      </c>
      <c r="R65" s="87">
        <f t="shared" si="16"/>
        <v>0.52663490476277997</v>
      </c>
      <c r="S65" s="47">
        <f t="shared" si="8"/>
        <v>0.52325696733422389</v>
      </c>
      <c r="T65" s="88">
        <f t="shared" si="9"/>
        <v>4.8729271930612752</v>
      </c>
      <c r="U65" s="88">
        <f t="shared" si="10"/>
        <v>523.25696733422387</v>
      </c>
      <c r="V65" s="88">
        <f t="shared" si="11"/>
        <v>52.663490476277971</v>
      </c>
    </row>
    <row r="66" spans="1:22" x14ac:dyDescent="0.2">
      <c r="A66" s="80">
        <v>25</v>
      </c>
      <c r="B66" s="81">
        <v>514.28571428571399</v>
      </c>
      <c r="C66" s="82">
        <v>4.8246284129481101</v>
      </c>
      <c r="D66" s="82">
        <v>0.54012477736254905</v>
      </c>
      <c r="E66" s="75">
        <v>0.52107599905896396</v>
      </c>
      <c r="G66" s="89">
        <f t="shared" si="2"/>
        <v>4.8246284129481776</v>
      </c>
      <c r="H66" s="90">
        <f t="shared" si="3"/>
        <v>525.92374695064575</v>
      </c>
      <c r="I66" s="90">
        <f t="shared" si="12"/>
        <v>0.5259237469506457</v>
      </c>
      <c r="J66" s="90">
        <f t="shared" si="4"/>
        <v>54.012477736255008</v>
      </c>
      <c r="K66" s="90">
        <f t="shared" si="13"/>
        <v>0.54012477736255005</v>
      </c>
      <c r="L66" s="90">
        <f t="shared" si="5"/>
        <v>281.72383768464846</v>
      </c>
      <c r="M66" s="90">
        <f t="shared" si="14"/>
        <v>0.52159028708202704</v>
      </c>
      <c r="N66" s="91">
        <f t="shared" si="15"/>
        <v>0.53567430510242064</v>
      </c>
      <c r="P66" s="86">
        <f t="shared" si="6"/>
        <v>514.28571428571399</v>
      </c>
      <c r="Q66" s="47">
        <f t="shared" si="7"/>
        <v>4.8246284129481101</v>
      </c>
      <c r="R66" s="87">
        <f t="shared" si="16"/>
        <v>0.54012477736254905</v>
      </c>
      <c r="S66" s="47">
        <f t="shared" si="8"/>
        <v>0.5259237469506457</v>
      </c>
      <c r="T66" s="88">
        <f t="shared" si="9"/>
        <v>4.8246284129481776</v>
      </c>
      <c r="U66" s="88">
        <f t="shared" si="10"/>
        <v>525.92374695064575</v>
      </c>
      <c r="V66" s="88">
        <f t="shared" si="11"/>
        <v>54.012477736255008</v>
      </c>
    </row>
    <row r="67" spans="1:22" x14ac:dyDescent="0.2">
      <c r="A67" s="80">
        <v>26</v>
      </c>
      <c r="B67" s="81">
        <v>535.71428571428498</v>
      </c>
      <c r="C67" s="82">
        <v>4.7801309067822304</v>
      </c>
      <c r="D67" s="82">
        <v>0.55278519877461296</v>
      </c>
      <c r="E67" s="75">
        <v>0.52546458529062701</v>
      </c>
      <c r="G67" s="89">
        <f t="shared" si="2"/>
        <v>4.7801309067825564</v>
      </c>
      <c r="H67" s="90">
        <f t="shared" si="3"/>
        <v>528.66472854552978</v>
      </c>
      <c r="I67" s="90">
        <f t="shared" si="12"/>
        <v>0.52866472854552982</v>
      </c>
      <c r="J67" s="90">
        <f t="shared" si="4"/>
        <v>55.278519877461314</v>
      </c>
      <c r="K67" s="90">
        <f t="shared" si="13"/>
        <v>0.55278519877461318</v>
      </c>
      <c r="L67" s="90">
        <f t="shared" si="5"/>
        <v>290.75573037905269</v>
      </c>
      <c r="M67" s="90">
        <f t="shared" si="14"/>
        <v>0.52598320473049121</v>
      </c>
      <c r="N67" s="91">
        <f t="shared" si="15"/>
        <v>0.54998132971530778</v>
      </c>
      <c r="P67" s="86">
        <f t="shared" si="6"/>
        <v>535.71428571428498</v>
      </c>
      <c r="Q67" s="47">
        <f t="shared" si="7"/>
        <v>4.7801309067822304</v>
      </c>
      <c r="R67" s="87">
        <f t="shared" si="16"/>
        <v>0.55278519877461296</v>
      </c>
      <c r="S67" s="47">
        <f t="shared" si="8"/>
        <v>0.52866472854552982</v>
      </c>
      <c r="T67" s="88">
        <f t="shared" si="9"/>
        <v>4.7801309067825564</v>
      </c>
      <c r="U67" s="88">
        <f t="shared" si="10"/>
        <v>528.66472854552978</v>
      </c>
      <c r="V67" s="88">
        <f t="shared" si="11"/>
        <v>55.278519877461314</v>
      </c>
    </row>
    <row r="68" spans="1:22" x14ac:dyDescent="0.2">
      <c r="A68" s="80">
        <v>27</v>
      </c>
      <c r="B68" s="81">
        <v>557.142857142857</v>
      </c>
      <c r="C68" s="82">
        <v>4.7373369739883797</v>
      </c>
      <c r="D68" s="82">
        <v>0.56458393208866997</v>
      </c>
      <c r="E68" s="75">
        <v>0.53027257929844895</v>
      </c>
      <c r="G68" s="89">
        <f t="shared" si="2"/>
        <v>4.7373369739884694</v>
      </c>
      <c r="H68" s="90">
        <f t="shared" si="3"/>
        <v>531.50987194269635</v>
      </c>
      <c r="I68" s="90">
        <f t="shared" si="12"/>
        <v>0.53150987194269639</v>
      </c>
      <c r="J68" s="90">
        <f t="shared" si="4"/>
        <v>56.458393208867037</v>
      </c>
      <c r="K68" s="90">
        <f t="shared" si="13"/>
        <v>0.56458393208867041</v>
      </c>
      <c r="L68" s="90">
        <f t="shared" si="5"/>
        <v>299.67886125631844</v>
      </c>
      <c r="M68" s="90">
        <f t="shared" si="14"/>
        <v>0.53079594409933106</v>
      </c>
      <c r="N68" s="91">
        <f t="shared" si="15"/>
        <v>0.56382557893229068</v>
      </c>
      <c r="P68" s="86">
        <f t="shared" si="6"/>
        <v>557.142857142857</v>
      </c>
      <c r="Q68" s="47">
        <f t="shared" si="7"/>
        <v>4.7373369739883797</v>
      </c>
      <c r="R68" s="87">
        <f t="shared" si="16"/>
        <v>0.56458393208866997</v>
      </c>
      <c r="S68" s="47">
        <f t="shared" si="8"/>
        <v>0.53150987194269639</v>
      </c>
      <c r="T68" s="88">
        <f t="shared" si="9"/>
        <v>4.7373369739884694</v>
      </c>
      <c r="U68" s="88">
        <f t="shared" si="10"/>
        <v>531.50987194269635</v>
      </c>
      <c r="V68" s="88">
        <f t="shared" si="11"/>
        <v>56.458393208867037</v>
      </c>
    </row>
    <row r="69" spans="1:22" x14ac:dyDescent="0.2">
      <c r="A69" s="80">
        <v>28</v>
      </c>
      <c r="B69" s="81">
        <v>578.57142857142799</v>
      </c>
      <c r="C69" s="82">
        <v>4.69358522866015</v>
      </c>
      <c r="D69" s="82">
        <v>0.57548101168077803</v>
      </c>
      <c r="E69" s="75">
        <v>0.53525105565501196</v>
      </c>
      <c r="G69" s="89">
        <f t="shared" si="2"/>
        <v>4.6935852286605098</v>
      </c>
      <c r="H69" s="90">
        <f t="shared" si="3"/>
        <v>534.4619765291684</v>
      </c>
      <c r="I69" s="90">
        <f t="shared" si="12"/>
        <v>0.53446197652916838</v>
      </c>
      <c r="J69" s="90">
        <f t="shared" si="4"/>
        <v>57.548101168077928</v>
      </c>
      <c r="K69" s="90">
        <f t="shared" si="13"/>
        <v>0.57548101168077925</v>
      </c>
      <c r="L69" s="90">
        <f t="shared" si="5"/>
        <v>308.3308332130984</v>
      </c>
      <c r="M69" s="90">
        <f t="shared" si="14"/>
        <v>0.53577933407841138</v>
      </c>
      <c r="N69" s="91">
        <f t="shared" si="15"/>
        <v>0.5768994741504706</v>
      </c>
      <c r="P69" s="86">
        <f t="shared" si="6"/>
        <v>578.57142857142799</v>
      </c>
      <c r="Q69" s="47">
        <f t="shared" si="7"/>
        <v>4.69358522866015</v>
      </c>
      <c r="R69" s="87">
        <f t="shared" si="16"/>
        <v>0.57548101168077803</v>
      </c>
      <c r="S69" s="47">
        <f t="shared" si="8"/>
        <v>0.53446197652916838</v>
      </c>
      <c r="T69" s="88">
        <f t="shared" si="9"/>
        <v>4.6935852286605098</v>
      </c>
      <c r="U69" s="88">
        <f t="shared" si="10"/>
        <v>534.4619765291684</v>
      </c>
      <c r="V69" s="88">
        <f t="shared" si="11"/>
        <v>57.548101168077928</v>
      </c>
    </row>
    <row r="70" spans="1:22" x14ac:dyDescent="0.2">
      <c r="A70" s="80">
        <v>29</v>
      </c>
      <c r="B70" s="81">
        <v>600</v>
      </c>
      <c r="C70" s="82">
        <v>4.64590464726402</v>
      </c>
      <c r="D70" s="82">
        <v>0.58542487758345496</v>
      </c>
      <c r="E70" s="75">
        <v>0.54010376903951995</v>
      </c>
      <c r="G70" s="89">
        <f t="shared" si="2"/>
        <v>4.6459046472642527</v>
      </c>
      <c r="H70" s="90">
        <f t="shared" si="3"/>
        <v>537.49596080575964</v>
      </c>
      <c r="I70" s="90">
        <f t="shared" si="12"/>
        <v>0.53749596080575968</v>
      </c>
      <c r="J70" s="90">
        <f t="shared" si="4"/>
        <v>58.542487758345622</v>
      </c>
      <c r="K70" s="90">
        <f t="shared" si="13"/>
        <v>0.58542487758345618</v>
      </c>
      <c r="L70" s="90">
        <f t="shared" si="5"/>
        <v>316.50225409486143</v>
      </c>
      <c r="M70" s="90">
        <f t="shared" si="14"/>
        <v>0.54063683696076259</v>
      </c>
      <c r="N70" s="91">
        <f t="shared" si="15"/>
        <v>0.58884582801402496</v>
      </c>
      <c r="P70" s="86">
        <f t="shared" si="6"/>
        <v>600</v>
      </c>
      <c r="Q70" s="47">
        <f t="shared" si="7"/>
        <v>4.64590464726402</v>
      </c>
      <c r="R70" s="87">
        <f t="shared" si="16"/>
        <v>0.58542487758345496</v>
      </c>
      <c r="S70" s="47">
        <f t="shared" si="8"/>
        <v>0.53749596080575968</v>
      </c>
      <c r="T70" s="88">
        <f t="shared" si="9"/>
        <v>4.6459046472642527</v>
      </c>
      <c r="U70" s="88">
        <f t="shared" si="10"/>
        <v>537.49596080575964</v>
      </c>
      <c r="V70" s="88">
        <f t="shared" si="11"/>
        <v>58.542487758345622</v>
      </c>
    </row>
    <row r="71" spans="1:22" x14ac:dyDescent="0.2">
      <c r="A71" s="80">
        <v>30</v>
      </c>
      <c r="B71" s="81">
        <v>621.42857142857099</v>
      </c>
      <c r="C71" s="82">
        <v>4.5912802834594402</v>
      </c>
      <c r="D71" s="82">
        <v>0.59434781935804304</v>
      </c>
      <c r="E71" s="75">
        <v>0.54451668077124205</v>
      </c>
      <c r="G71" s="89">
        <f t="shared" si="2"/>
        <v>4.5912802834599589</v>
      </c>
      <c r="H71" s="90">
        <f t="shared" si="3"/>
        <v>540.55890783169252</v>
      </c>
      <c r="I71" s="90">
        <f t="shared" si="12"/>
        <v>0.54055890783169247</v>
      </c>
      <c r="J71" s="90">
        <f t="shared" si="4"/>
        <v>59.434781935804459</v>
      </c>
      <c r="K71" s="90">
        <f t="shared" si="13"/>
        <v>0.59434781935804459</v>
      </c>
      <c r="L71" s="90">
        <f t="shared" si="5"/>
        <v>323.95171821462685</v>
      </c>
      <c r="M71" s="90">
        <f t="shared" si="14"/>
        <v>0.54505410411790067</v>
      </c>
      <c r="N71" s="91">
        <f t="shared" si="15"/>
        <v>0.59929031511861031</v>
      </c>
      <c r="P71" s="86">
        <f t="shared" si="6"/>
        <v>621.42857142857099</v>
      </c>
      <c r="Q71" s="47">
        <f t="shared" si="7"/>
        <v>4.5912802834594402</v>
      </c>
      <c r="R71" s="87">
        <f t="shared" si="16"/>
        <v>0.59434781935804304</v>
      </c>
      <c r="S71" s="47">
        <f t="shared" si="8"/>
        <v>0.54055890783169247</v>
      </c>
      <c r="T71" s="88">
        <f t="shared" si="9"/>
        <v>4.5912802834599589</v>
      </c>
      <c r="U71" s="88">
        <f t="shared" si="10"/>
        <v>540.55890783169252</v>
      </c>
      <c r="V71" s="88">
        <f t="shared" si="11"/>
        <v>59.434781935804459</v>
      </c>
    </row>
    <row r="72" spans="1:22" x14ac:dyDescent="0.2">
      <c r="A72" s="80">
        <v>31</v>
      </c>
      <c r="B72" s="81">
        <v>642.85714285714198</v>
      </c>
      <c r="C72" s="82">
        <v>4.5269078081503897</v>
      </c>
      <c r="D72" s="82">
        <v>0.60216072946935395</v>
      </c>
      <c r="E72" s="75">
        <v>0.54818927423065</v>
      </c>
      <c r="G72" s="89">
        <f t="shared" si="2"/>
        <v>4.5269078081505327</v>
      </c>
      <c r="H72" s="90">
        <f t="shared" si="3"/>
        <v>543.57087656326519</v>
      </c>
      <c r="I72" s="90">
        <f t="shared" si="12"/>
        <v>0.54357087656326519</v>
      </c>
      <c r="J72" s="90">
        <f t="shared" si="4"/>
        <v>60.216072946935441</v>
      </c>
      <c r="K72" s="90">
        <f t="shared" si="13"/>
        <v>0.60216072946935439</v>
      </c>
      <c r="L72" s="90">
        <f t="shared" si="5"/>
        <v>330.42385117526237</v>
      </c>
      <c r="M72" s="90">
        <f t="shared" si="14"/>
        <v>0.54873032232846497</v>
      </c>
      <c r="N72" s="91">
        <f t="shared" si="15"/>
        <v>0.60787629621434469</v>
      </c>
      <c r="P72" s="86">
        <f t="shared" si="6"/>
        <v>642.85714285714198</v>
      </c>
      <c r="Q72" s="47">
        <f t="shared" si="7"/>
        <v>4.5269078081503897</v>
      </c>
      <c r="R72" s="87">
        <f t="shared" si="16"/>
        <v>0.60216072946935395</v>
      </c>
      <c r="S72" s="47">
        <f t="shared" si="8"/>
        <v>0.54357087656326519</v>
      </c>
      <c r="T72" s="88">
        <f t="shared" si="9"/>
        <v>4.5269078081505327</v>
      </c>
      <c r="U72" s="88">
        <f t="shared" si="10"/>
        <v>543.57087656326519</v>
      </c>
      <c r="V72" s="88">
        <f t="shared" si="11"/>
        <v>60.216072946935441</v>
      </c>
    </row>
    <row r="73" spans="1:22" x14ac:dyDescent="0.2">
      <c r="A73" s="80">
        <v>32</v>
      </c>
      <c r="B73" s="81">
        <v>664.28571428571399</v>
      </c>
      <c r="C73" s="82">
        <v>4.4504147672810301</v>
      </c>
      <c r="D73" s="82">
        <v>0.60874716616258495</v>
      </c>
      <c r="E73" s="75">
        <v>0.55086513691893102</v>
      </c>
      <c r="G73" s="89">
        <f t="shared" si="2"/>
        <v>4.450414767280904</v>
      </c>
      <c r="H73" s="90">
        <f t="shared" si="3"/>
        <v>546.42647908654294</v>
      </c>
      <c r="I73" s="90">
        <f t="shared" si="12"/>
        <v>0.54642647908654296</v>
      </c>
      <c r="J73" s="90">
        <f t="shared" si="4"/>
        <v>60.874716616258496</v>
      </c>
      <c r="K73" s="90">
        <f t="shared" si="13"/>
        <v>0.60874716616258495</v>
      </c>
      <c r="L73" s="90">
        <f t="shared" si="5"/>
        <v>335.66856023755793</v>
      </c>
      <c r="M73" s="90">
        <f t="shared" si="14"/>
        <v>0.55140882602138819</v>
      </c>
      <c r="N73" s="91">
        <f t="shared" si="15"/>
        <v>0.61429775657777885</v>
      </c>
      <c r="P73" s="86">
        <f t="shared" si="6"/>
        <v>664.28571428571411</v>
      </c>
      <c r="Q73" s="47">
        <f t="shared" si="7"/>
        <v>4.4504147672810301</v>
      </c>
      <c r="R73" s="87">
        <f t="shared" si="16"/>
        <v>0.60874716616258495</v>
      </c>
      <c r="S73" s="47">
        <f t="shared" si="8"/>
        <v>0.54642647908654296</v>
      </c>
      <c r="T73" s="88">
        <f t="shared" si="9"/>
        <v>4.4504147672808188</v>
      </c>
      <c r="U73" s="88">
        <f t="shared" si="10"/>
        <v>546.42647908654305</v>
      </c>
      <c r="V73" s="88">
        <f t="shared" si="11"/>
        <v>60.874716616258524</v>
      </c>
    </row>
    <row r="74" spans="1:22" x14ac:dyDescent="0.2">
      <c r="A74" s="80">
        <v>33</v>
      </c>
      <c r="B74" s="81">
        <v>685.71428571428498</v>
      </c>
      <c r="C74" s="82">
        <v>4.36002828380047</v>
      </c>
      <c r="D74" s="82">
        <v>0.61395672584250505</v>
      </c>
      <c r="E74" s="75">
        <v>0.55235918716184296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4.3600282838005739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548.99722374409885</v>
      </c>
      <c r="I74" s="90">
        <f t="shared" si="12"/>
        <v>0.54899722374409887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61.39567258425059</v>
      </c>
      <c r="K74" s="90">
        <f t="shared" si="13"/>
        <v>0.61395672584250593</v>
      </c>
      <c r="L74" s="90">
        <f t="shared" ref="L74:L91" si="20">Подача_пласт_м3_сут*Напор_м*9.81*1000/86400</f>
        <v>339.45934495303624</v>
      </c>
      <c r="M74" s="90">
        <f t="shared" si="14"/>
        <v>0.55290435085178202</v>
      </c>
      <c r="N74" s="91">
        <f t="shared" si="15"/>
        <v>0.61832615953494618</v>
      </c>
      <c r="P74" s="86">
        <f t="shared" ref="P74:P91" si="21">Подача_пласт_м3_сут*f_50_hz/f_nom</f>
        <v>685.71428571428487</v>
      </c>
      <c r="Q74" s="47">
        <f t="shared" ref="Q74:Q91" si="22">Напор_м*(f_50_hz/f_nom)^2</f>
        <v>4.36002828380047</v>
      </c>
      <c r="R74" s="87">
        <f t="shared" si="16"/>
        <v>0.61395672584250505</v>
      </c>
      <c r="S74" s="47">
        <f t="shared" ref="S74:S91" si="23">I74*(f_50_hz/f_nom)^3</f>
        <v>0.54899722374409887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4.3600282838006308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548.99722374409862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61.395672584250534</v>
      </c>
    </row>
    <row r="75" spans="1:22" x14ac:dyDescent="0.2">
      <c r="A75" s="80">
        <v>34</v>
      </c>
      <c r="B75" s="81">
        <v>707.142857142857</v>
      </c>
      <c r="C75" s="82">
        <v>4.2546718635980199</v>
      </c>
      <c r="D75" s="82">
        <v>0.61759772495491905</v>
      </c>
      <c r="E75" s="75">
        <v>0.55257900742660404</v>
      </c>
      <c r="G75" s="89">
        <f t="shared" si="17"/>
        <v>4.2546718635995262</v>
      </c>
      <c r="H75" s="90">
        <f t="shared" si="18"/>
        <v>551.13462415578624</v>
      </c>
      <c r="I75" s="90">
        <f t="shared" si="12"/>
        <v>0.55113462415578629</v>
      </c>
      <c r="J75" s="90">
        <f t="shared" si="19"/>
        <v>61.759772495491916</v>
      </c>
      <c r="K75" s="90">
        <f t="shared" si="13"/>
        <v>0.61759772495491916</v>
      </c>
      <c r="L75" s="90">
        <f t="shared" si="20"/>
        <v>341.60836369111775</v>
      </c>
      <c r="M75" s="90">
        <f t="shared" si="14"/>
        <v>0.55312438807324471</v>
      </c>
      <c r="N75" s="91">
        <f t="shared" si="15"/>
        <v>0.61982744091678976</v>
      </c>
      <c r="P75" s="86">
        <f t="shared" si="21"/>
        <v>707.142857142857</v>
      </c>
      <c r="Q75" s="47">
        <f t="shared" si="22"/>
        <v>4.2546718635980199</v>
      </c>
      <c r="R75" s="87">
        <f t="shared" si="16"/>
        <v>0.61759772495491905</v>
      </c>
      <c r="S75" s="47">
        <f t="shared" si="23"/>
        <v>0.55113462415578629</v>
      </c>
      <c r="T75" s="88">
        <f t="shared" si="24"/>
        <v>4.2546718635995262</v>
      </c>
      <c r="U75" s="88">
        <f t="shared" si="25"/>
        <v>551.13462415578624</v>
      </c>
      <c r="V75" s="88">
        <f t="shared" si="26"/>
        <v>61.759772495491916</v>
      </c>
    </row>
    <row r="76" spans="1:22" x14ac:dyDescent="0.2">
      <c r="A76" s="80">
        <v>35</v>
      </c>
      <c r="B76" s="81">
        <v>728.57142857142799</v>
      </c>
      <c r="C76" s="82">
        <v>4.1339779981722096</v>
      </c>
      <c r="D76" s="82">
        <v>0.61942919137039898</v>
      </c>
      <c r="E76" s="75">
        <v>0.55153803577592797</v>
      </c>
      <c r="G76" s="89">
        <f t="shared" si="17"/>
        <v>4.1339779981745437</v>
      </c>
      <c r="H76" s="90">
        <f t="shared" si="18"/>
        <v>552.67407413353931</v>
      </c>
      <c r="I76" s="90">
        <f t="shared" si="12"/>
        <v>0.55267407413353931</v>
      </c>
      <c r="J76" s="90">
        <f t="shared" si="19"/>
        <v>61.942919137040008</v>
      </c>
      <c r="K76" s="90">
        <f t="shared" si="13"/>
        <v>0.61942919137040009</v>
      </c>
      <c r="L76" s="90">
        <f t="shared" si="20"/>
        <v>341.97594779522763</v>
      </c>
      <c r="M76" s="90">
        <f t="shared" si="14"/>
        <v>0.55208238901149276</v>
      </c>
      <c r="N76" s="91">
        <f t="shared" si="15"/>
        <v>0.61876603915492878</v>
      </c>
      <c r="P76" s="86">
        <f t="shared" si="21"/>
        <v>728.57142857142799</v>
      </c>
      <c r="Q76" s="47">
        <f t="shared" si="22"/>
        <v>4.1339779981722096</v>
      </c>
      <c r="R76" s="87">
        <f t="shared" si="16"/>
        <v>0.61942919137039898</v>
      </c>
      <c r="S76" s="47">
        <f t="shared" si="23"/>
        <v>0.55267407413353931</v>
      </c>
      <c r="T76" s="88">
        <f t="shared" si="24"/>
        <v>4.1339779981745437</v>
      </c>
      <c r="U76" s="88">
        <f t="shared" si="25"/>
        <v>552.67407413353931</v>
      </c>
      <c r="V76" s="88">
        <f t="shared" si="26"/>
        <v>61.942919137040008</v>
      </c>
    </row>
    <row r="77" spans="1:22" x14ac:dyDescent="0.2">
      <c r="A77" s="80">
        <v>36</v>
      </c>
      <c r="B77" s="81">
        <v>750</v>
      </c>
      <c r="C77" s="82">
        <v>3.9982083891418898</v>
      </c>
      <c r="D77" s="82">
        <v>0.61915216527029004</v>
      </c>
      <c r="E77" s="75">
        <v>0.54935885941754503</v>
      </c>
      <c r="G77" s="89">
        <f t="shared" si="17"/>
        <v>3.9982083891437128</v>
      </c>
      <c r="H77" s="90">
        <f t="shared" si="18"/>
        <v>553.43948849023445</v>
      </c>
      <c r="I77" s="90">
        <f t="shared" si="12"/>
        <v>0.5534394884902345</v>
      </c>
      <c r="J77" s="90">
        <f t="shared" si="19"/>
        <v>61.91521652702923</v>
      </c>
      <c r="K77" s="90">
        <f t="shared" si="13"/>
        <v>0.61915216527029227</v>
      </c>
      <c r="L77" s="90">
        <f t="shared" si="20"/>
        <v>340.47243313786407</v>
      </c>
      <c r="M77" s="90">
        <f t="shared" si="14"/>
        <v>0.54990106186454191</v>
      </c>
      <c r="N77" s="91">
        <f t="shared" si="15"/>
        <v>0.61519360330912087</v>
      </c>
      <c r="P77" s="86">
        <f t="shared" si="21"/>
        <v>750</v>
      </c>
      <c r="Q77" s="47">
        <f t="shared" si="22"/>
        <v>3.9982083891418898</v>
      </c>
      <c r="R77" s="87">
        <f t="shared" si="16"/>
        <v>0.61915216527029004</v>
      </c>
      <c r="S77" s="47">
        <f t="shared" si="23"/>
        <v>0.5534394884902345</v>
      </c>
      <c r="T77" s="88">
        <f t="shared" si="24"/>
        <v>3.9982083891437128</v>
      </c>
      <c r="U77" s="88">
        <f t="shared" si="25"/>
        <v>553.43948849023445</v>
      </c>
      <c r="V77" s="88">
        <f t="shared" si="26"/>
        <v>61.91521652702923</v>
      </c>
    </row>
    <row r="78" spans="1:22" x14ac:dyDescent="0.2">
      <c r="A78" s="80">
        <v>37</v>
      </c>
      <c r="B78" s="81">
        <v>771.42857142857099</v>
      </c>
      <c r="C78" s="82">
        <v>3.8480798517093699</v>
      </c>
      <c r="D78" s="82">
        <v>0.61640030953499803</v>
      </c>
      <c r="E78" s="75">
        <v>0.54626551693185799</v>
      </c>
      <c r="G78" s="89">
        <f t="shared" si="17"/>
        <v>3.8480798517101107</v>
      </c>
      <c r="H78" s="90">
        <f t="shared" si="18"/>
        <v>553.24870974256146</v>
      </c>
      <c r="I78" s="90">
        <f t="shared" si="12"/>
        <v>0.55324870974256146</v>
      </c>
      <c r="J78" s="90">
        <f t="shared" si="19"/>
        <v>61.64003095350003</v>
      </c>
      <c r="K78" s="90">
        <f t="shared" si="13"/>
        <v>0.61640030953500036</v>
      </c>
      <c r="L78" s="90">
        <f t="shared" si="20"/>
        <v>337.050565582758</v>
      </c>
      <c r="M78" s="90">
        <f t="shared" si="14"/>
        <v>0.54680466633286084</v>
      </c>
      <c r="N78" s="91">
        <f t="shared" si="15"/>
        <v>0.60922069884192753</v>
      </c>
      <c r="P78" s="86">
        <f t="shared" si="21"/>
        <v>771.42857142857099</v>
      </c>
      <c r="Q78" s="47">
        <f t="shared" si="22"/>
        <v>3.8480798517093699</v>
      </c>
      <c r="R78" s="87">
        <f t="shared" si="16"/>
        <v>0.61640030953499803</v>
      </c>
      <c r="S78" s="47">
        <f t="shared" si="23"/>
        <v>0.55324870974256146</v>
      </c>
      <c r="T78" s="88">
        <f t="shared" si="24"/>
        <v>3.8480798517101107</v>
      </c>
      <c r="U78" s="88">
        <f t="shared" si="25"/>
        <v>553.24870974256146</v>
      </c>
      <c r="V78" s="88">
        <f t="shared" si="26"/>
        <v>61.64003095350003</v>
      </c>
    </row>
    <row r="79" spans="1:22" x14ac:dyDescent="0.2">
      <c r="A79" s="80">
        <v>38</v>
      </c>
      <c r="B79" s="81">
        <v>792.85714285714198</v>
      </c>
      <c r="C79" s="82">
        <v>3.6845012855263799</v>
      </c>
      <c r="D79" s="82">
        <v>0.61072982963452305</v>
      </c>
      <c r="E79" s="75">
        <v>0.54256448467881702</v>
      </c>
      <c r="G79" s="89">
        <f t="shared" si="17"/>
        <v>3.6845012855287678</v>
      </c>
      <c r="H79" s="90">
        <f t="shared" si="18"/>
        <v>551.91968070795383</v>
      </c>
      <c r="I79" s="90">
        <f t="shared" si="12"/>
        <v>0.55191968070795383</v>
      </c>
      <c r="J79" s="90">
        <f t="shared" si="19"/>
        <v>61.072982963452347</v>
      </c>
      <c r="K79" s="90">
        <f t="shared" si="13"/>
        <v>0.61072982963452349</v>
      </c>
      <c r="L79" s="90">
        <f t="shared" si="20"/>
        <v>331.68735902964011</v>
      </c>
      <c r="M79" s="90">
        <f t="shared" si="14"/>
        <v>0.54309998126033965</v>
      </c>
      <c r="N79" s="91">
        <f t="shared" si="15"/>
        <v>0.60097034156162155</v>
      </c>
      <c r="P79" s="86">
        <f t="shared" si="21"/>
        <v>792.85714285714198</v>
      </c>
      <c r="Q79" s="47">
        <f t="shared" si="22"/>
        <v>3.6845012855263799</v>
      </c>
      <c r="R79" s="87">
        <f t="shared" si="16"/>
        <v>0.61072982963452305</v>
      </c>
      <c r="S79" s="47">
        <f t="shared" si="23"/>
        <v>0.55191968070795383</v>
      </c>
      <c r="T79" s="88">
        <f t="shared" si="24"/>
        <v>3.6845012855287678</v>
      </c>
      <c r="U79" s="88">
        <f t="shared" si="25"/>
        <v>551.91968070795383</v>
      </c>
      <c r="V79" s="88">
        <f t="shared" si="26"/>
        <v>61.072982963452347</v>
      </c>
    </row>
    <row r="80" spans="1:22" x14ac:dyDescent="0.2">
      <c r="A80" s="80">
        <v>39</v>
      </c>
      <c r="B80" s="81">
        <v>814.28571428571399</v>
      </c>
      <c r="C80" s="82">
        <v>3.5082355324297998</v>
      </c>
      <c r="D80" s="82">
        <v>0.60160870302130198</v>
      </c>
      <c r="E80" s="75">
        <v>0.53861480604920797</v>
      </c>
      <c r="G80" s="89">
        <f t="shared" si="17"/>
        <v>3.5082355324353216</v>
      </c>
      <c r="H80" s="90">
        <f t="shared" si="18"/>
        <v>549.27738299554449</v>
      </c>
      <c r="I80" s="90">
        <f t="shared" si="12"/>
        <v>0.54927738299554452</v>
      </c>
      <c r="J80" s="90">
        <f t="shared" si="19"/>
        <v>60.16087030213032</v>
      </c>
      <c r="K80" s="90">
        <f t="shared" si="13"/>
        <v>0.6016087030213032</v>
      </c>
      <c r="L80" s="90">
        <f t="shared" si="20"/>
        <v>324.35516909205859</v>
      </c>
      <c r="M80" s="90">
        <f t="shared" si="14"/>
        <v>0.53914640440394868</v>
      </c>
      <c r="N80" s="91">
        <f t="shared" si="15"/>
        <v>0.59051251541279937</v>
      </c>
      <c r="P80" s="86">
        <f t="shared" si="21"/>
        <v>814.28571428571411</v>
      </c>
      <c r="Q80" s="47">
        <f t="shared" si="22"/>
        <v>3.5082355324297998</v>
      </c>
      <c r="R80" s="87">
        <f t="shared" si="16"/>
        <v>0.60160870302130198</v>
      </c>
      <c r="S80" s="47">
        <f t="shared" si="23"/>
        <v>0.54927738299554452</v>
      </c>
      <c r="T80" s="88">
        <f t="shared" si="24"/>
        <v>3.5082355324351511</v>
      </c>
      <c r="U80" s="88">
        <f t="shared" si="25"/>
        <v>549.27738299554449</v>
      </c>
      <c r="V80" s="88">
        <f t="shared" si="26"/>
        <v>60.160870302130434</v>
      </c>
    </row>
    <row r="81" spans="1:22" x14ac:dyDescent="0.2">
      <c r="A81" s="80">
        <v>40</v>
      </c>
      <c r="B81" s="81">
        <v>835.71428571428498</v>
      </c>
      <c r="C81" s="82">
        <v>3.3195094708614699</v>
      </c>
      <c r="D81" s="82">
        <v>0.58840521802530099</v>
      </c>
      <c r="E81" s="75">
        <v>0.53478850283186496</v>
      </c>
      <c r="G81" s="89">
        <f t="shared" si="17"/>
        <v>3.3195094708618171</v>
      </c>
      <c r="H81" s="90">
        <f t="shared" si="18"/>
        <v>545.16154139115633</v>
      </c>
      <c r="I81" s="90">
        <f t="shared" si="12"/>
        <v>0.54516154139115636</v>
      </c>
      <c r="J81" s="90">
        <f t="shared" si="19"/>
        <v>58.840521802530304</v>
      </c>
      <c r="K81" s="90">
        <f t="shared" si="13"/>
        <v>0.58840521802530299</v>
      </c>
      <c r="L81" s="90">
        <f t="shared" si="20"/>
        <v>314.98291876410934</v>
      </c>
      <c r="M81" s="90">
        <f t="shared" si="14"/>
        <v>0.53531632472804513</v>
      </c>
      <c r="N81" s="91">
        <f t="shared" si="15"/>
        <v>0.57777905235268134</v>
      </c>
      <c r="P81" s="86">
        <f t="shared" si="21"/>
        <v>835.71428571428487</v>
      </c>
      <c r="Q81" s="47">
        <f t="shared" si="22"/>
        <v>3.3195094708614699</v>
      </c>
      <c r="R81" s="87">
        <f t="shared" si="16"/>
        <v>0.58840521802530099</v>
      </c>
      <c r="S81" s="47">
        <f t="shared" si="23"/>
        <v>0.54516154139115636</v>
      </c>
      <c r="T81" s="88">
        <f t="shared" si="24"/>
        <v>3.3195094708613624</v>
      </c>
      <c r="U81" s="88">
        <f t="shared" si="25"/>
        <v>545.16154139115679</v>
      </c>
      <c r="V81" s="88">
        <f t="shared" si="26"/>
        <v>58.840521802530191</v>
      </c>
    </row>
    <row r="82" spans="1:22" x14ac:dyDescent="0.2">
      <c r="A82" s="80">
        <v>41</v>
      </c>
      <c r="B82" s="81">
        <v>857.142857142857</v>
      </c>
      <c r="C82" s="82">
        <v>3.1176063267452001</v>
      </c>
      <c r="D82" s="82">
        <v>0.57037582225137995</v>
      </c>
      <c r="E82" s="75">
        <v>0.53142283991440897</v>
      </c>
      <c r="G82" s="89">
        <f t="shared" si="17"/>
        <v>3.117606326746909</v>
      </c>
      <c r="H82" s="90">
        <f t="shared" si="18"/>
        <v>539.43509413634092</v>
      </c>
      <c r="I82" s="90">
        <f t="shared" si="12"/>
        <v>0.53943509413634094</v>
      </c>
      <c r="J82" s="90">
        <f t="shared" si="19"/>
        <v>57.037582225138522</v>
      </c>
      <c r="K82" s="90">
        <f t="shared" si="13"/>
        <v>0.57037582225138517</v>
      </c>
      <c r="L82" s="90">
        <f t="shared" si="20"/>
        <v>303.40990144216676</v>
      </c>
      <c r="M82" s="90">
        <f t="shared" si="14"/>
        <v>0.53194733999163646</v>
      </c>
      <c r="N82" s="91">
        <f t="shared" si="15"/>
        <v>0.56245858814198813</v>
      </c>
      <c r="P82" s="86">
        <f t="shared" si="21"/>
        <v>857.142857142857</v>
      </c>
      <c r="Q82" s="47">
        <f t="shared" si="22"/>
        <v>3.1176063267452001</v>
      </c>
      <c r="R82" s="87">
        <f t="shared" si="16"/>
        <v>0.57037582225137995</v>
      </c>
      <c r="S82" s="47">
        <f t="shared" si="23"/>
        <v>0.53943509413634094</v>
      </c>
      <c r="T82" s="88">
        <f t="shared" si="24"/>
        <v>3.117606326746909</v>
      </c>
      <c r="U82" s="88">
        <f t="shared" si="25"/>
        <v>539.43509413634092</v>
      </c>
      <c r="V82" s="88">
        <f t="shared" si="26"/>
        <v>57.037582225138522</v>
      </c>
    </row>
    <row r="83" spans="1:22" x14ac:dyDescent="0.2">
      <c r="A83" s="80">
        <v>42</v>
      </c>
      <c r="B83" s="81">
        <v>878.57142857142799</v>
      </c>
      <c r="C83" s="82">
        <v>2.90048591015363</v>
      </c>
      <c r="D83" s="82">
        <v>0.54665228047894898</v>
      </c>
      <c r="E83" s="75">
        <v>0.52876598662335095</v>
      </c>
      <c r="G83" s="89">
        <f t="shared" si="17"/>
        <v>2.9004859101551119</v>
      </c>
      <c r="H83" s="90">
        <f t="shared" si="18"/>
        <v>531.99342910145606</v>
      </c>
      <c r="I83" s="90">
        <f t="shared" si="12"/>
        <v>0.53199342910145608</v>
      </c>
      <c r="J83" s="90">
        <f t="shared" si="19"/>
        <v>54.665228047895312</v>
      </c>
      <c r="K83" s="90">
        <f t="shared" si="13"/>
        <v>0.54665228047895309</v>
      </c>
      <c r="L83" s="90">
        <f t="shared" si="20"/>
        <v>289.33641813563759</v>
      </c>
      <c r="M83" s="90">
        <f t="shared" si="14"/>
        <v>0.52928786445770148</v>
      </c>
      <c r="N83" s="91">
        <f t="shared" si="15"/>
        <v>0.54387216515875136</v>
      </c>
      <c r="P83" s="86">
        <f t="shared" si="21"/>
        <v>878.57142857142799</v>
      </c>
      <c r="Q83" s="47">
        <f t="shared" si="22"/>
        <v>2.90048591015363</v>
      </c>
      <c r="R83" s="87">
        <f t="shared" si="16"/>
        <v>0.54665228047894898</v>
      </c>
      <c r="S83" s="47">
        <f t="shared" si="23"/>
        <v>0.53199342910145608</v>
      </c>
      <c r="T83" s="88">
        <f t="shared" si="24"/>
        <v>2.9004859101551119</v>
      </c>
      <c r="U83" s="88">
        <f t="shared" si="25"/>
        <v>531.99342910145606</v>
      </c>
      <c r="V83" s="88">
        <f t="shared" si="26"/>
        <v>54.665228047895312</v>
      </c>
    </row>
    <row r="84" spans="1:22" x14ac:dyDescent="0.2">
      <c r="A84" s="80">
        <v>43</v>
      </c>
      <c r="B84" s="81">
        <v>899.99999999999898</v>
      </c>
      <c r="C84" s="82">
        <v>2.66449131580839</v>
      </c>
      <c r="D84" s="82">
        <v>0.51622814206386602</v>
      </c>
      <c r="E84" s="75">
        <v>0.52691672218457197</v>
      </c>
      <c r="G84" s="89">
        <f t="shared" si="17"/>
        <v>2.6644913158140753</v>
      </c>
      <c r="H84" s="90">
        <f t="shared" si="18"/>
        <v>522.77438585276195</v>
      </c>
      <c r="I84" s="90">
        <f t="shared" si="12"/>
        <v>0.52277438585276192</v>
      </c>
      <c r="J84" s="90">
        <f t="shared" si="19"/>
        <v>51.622814206387488</v>
      </c>
      <c r="K84" s="90">
        <f t="shared" si="13"/>
        <v>0.51622814206387491</v>
      </c>
      <c r="L84" s="90">
        <f t="shared" si="20"/>
        <v>272.27770633416958</v>
      </c>
      <c r="M84" s="90">
        <f t="shared" si="14"/>
        <v>0.52743677484456009</v>
      </c>
      <c r="N84" s="91">
        <f t="shared" si="15"/>
        <v>0.5208321480594803</v>
      </c>
      <c r="P84" s="86">
        <f t="shared" si="21"/>
        <v>899.99999999999898</v>
      </c>
      <c r="Q84" s="47">
        <f t="shared" si="22"/>
        <v>2.66449131580839</v>
      </c>
      <c r="R84" s="87">
        <f t="shared" si="16"/>
        <v>0.51622814206386602</v>
      </c>
      <c r="S84" s="47">
        <f t="shared" si="23"/>
        <v>0.52277438585276192</v>
      </c>
      <c r="T84" s="88">
        <f t="shared" si="24"/>
        <v>2.6644913158140753</v>
      </c>
      <c r="U84" s="88">
        <f t="shared" si="25"/>
        <v>522.77438585276195</v>
      </c>
      <c r="V84" s="88">
        <f t="shared" si="26"/>
        <v>51.622814206387488</v>
      </c>
    </row>
    <row r="85" spans="1:22" x14ac:dyDescent="0.2">
      <c r="A85" s="80">
        <v>44</v>
      </c>
      <c r="B85" s="81">
        <v>921.42857142857099</v>
      </c>
      <c r="C85" s="82">
        <v>2.4042145541566202</v>
      </c>
      <c r="D85" s="82">
        <v>0.47794451784263697</v>
      </c>
      <c r="E85" s="75">
        <v>0.52575601655726001</v>
      </c>
      <c r="G85" s="89">
        <f t="shared" si="17"/>
        <v>2.4042145541607169</v>
      </c>
      <c r="H85" s="90">
        <f t="shared" si="18"/>
        <v>511.76902361356588</v>
      </c>
      <c r="I85" s="90">
        <f t="shared" si="12"/>
        <v>0.51176902361356591</v>
      </c>
      <c r="J85" s="90">
        <f t="shared" si="19"/>
        <v>47.794451784264538</v>
      </c>
      <c r="K85" s="90">
        <f t="shared" si="13"/>
        <v>0.47794451784264536</v>
      </c>
      <c r="L85" s="90">
        <f t="shared" si="20"/>
        <v>251.53021462794808</v>
      </c>
      <c r="M85" s="90">
        <f t="shared" si="14"/>
        <v>0.5262749236319515</v>
      </c>
      <c r="N85" s="91">
        <f t="shared" si="15"/>
        <v>0.49149167499804997</v>
      </c>
      <c r="P85" s="86">
        <f t="shared" si="21"/>
        <v>921.42857142857099</v>
      </c>
      <c r="Q85" s="47">
        <f t="shared" si="22"/>
        <v>2.4042145541566202</v>
      </c>
      <c r="R85" s="87">
        <f t="shared" si="16"/>
        <v>0.47794451784263697</v>
      </c>
      <c r="S85" s="47">
        <f t="shared" si="23"/>
        <v>0.51176902361356591</v>
      </c>
      <c r="T85" s="88">
        <f t="shared" si="24"/>
        <v>2.4042145541607169</v>
      </c>
      <c r="U85" s="88">
        <f t="shared" si="25"/>
        <v>511.76902361356588</v>
      </c>
      <c r="V85" s="88">
        <f t="shared" si="26"/>
        <v>47.794451784264538</v>
      </c>
    </row>
    <row r="86" spans="1:22" x14ac:dyDescent="0.2">
      <c r="A86" s="80">
        <v>45</v>
      </c>
      <c r="B86" s="81">
        <v>942.85714285714198</v>
      </c>
      <c r="C86" s="82">
        <v>2.1126086075264499</v>
      </c>
      <c r="D86" s="82">
        <v>0.43047516653888301</v>
      </c>
      <c r="E86" s="75">
        <v>0.52486024283057797</v>
      </c>
      <c r="G86" s="89">
        <f t="shared" si="17"/>
        <v>2.1126086075341846</v>
      </c>
      <c r="H86" s="90">
        <f t="shared" si="18"/>
        <v>499.03315511941582</v>
      </c>
      <c r="I86" s="90">
        <f t="shared" si="12"/>
        <v>0.49903315511941582</v>
      </c>
      <c r="J86" s="90">
        <f t="shared" si="19"/>
        <v>43.047516653889261</v>
      </c>
      <c r="K86" s="90">
        <f t="shared" si="13"/>
        <v>0.43047516653889262</v>
      </c>
      <c r="L86" s="90">
        <f t="shared" si="20"/>
        <v>226.1622964664474</v>
      </c>
      <c r="M86" s="90">
        <f t="shared" si="14"/>
        <v>0.52537826580064539</v>
      </c>
      <c r="N86" s="91">
        <f t="shared" si="15"/>
        <v>0.45320094295604074</v>
      </c>
      <c r="P86" s="86">
        <f t="shared" si="21"/>
        <v>942.85714285714198</v>
      </c>
      <c r="Q86" s="47">
        <f t="shared" si="22"/>
        <v>2.1126086075264499</v>
      </c>
      <c r="R86" s="87">
        <f t="shared" si="16"/>
        <v>0.43047516653888301</v>
      </c>
      <c r="S86" s="47">
        <f t="shared" si="23"/>
        <v>0.49903315511941582</v>
      </c>
      <c r="T86" s="88">
        <f t="shared" si="24"/>
        <v>2.1126086075341846</v>
      </c>
      <c r="U86" s="88">
        <f t="shared" si="25"/>
        <v>499.03315511941582</v>
      </c>
      <c r="V86" s="88">
        <f t="shared" si="26"/>
        <v>43.047516653889261</v>
      </c>
    </row>
    <row r="87" spans="1:22" x14ac:dyDescent="0.2">
      <c r="A87" s="80">
        <v>46</v>
      </c>
      <c r="B87" s="81">
        <v>964.28571428571399</v>
      </c>
      <c r="C87" s="82">
        <v>1.7814495334787299</v>
      </c>
      <c r="D87" s="82">
        <v>0.37231089067205902</v>
      </c>
      <c r="E87" s="75">
        <v>0.52335979382171605</v>
      </c>
      <c r="G87" s="89">
        <f t="shared" si="17"/>
        <v>1.781449533484647</v>
      </c>
      <c r="H87" s="90">
        <f t="shared" si="18"/>
        <v>484.69964636730401</v>
      </c>
      <c r="I87" s="90">
        <f t="shared" si="12"/>
        <v>0.484699646367304</v>
      </c>
      <c r="J87" s="90">
        <f t="shared" si="19"/>
        <v>37.231089067206767</v>
      </c>
      <c r="K87" s="90">
        <f t="shared" si="13"/>
        <v>0.37231089067206768</v>
      </c>
      <c r="L87" s="90">
        <f t="shared" si="20"/>
        <v>195.04486521681179</v>
      </c>
      <c r="M87" s="90">
        <f t="shared" si="14"/>
        <v>0.5238763358888896</v>
      </c>
      <c r="N87" s="91">
        <f t="shared" si="15"/>
        <v>0.4024035641012359</v>
      </c>
      <c r="P87" s="86">
        <f t="shared" si="21"/>
        <v>964.28571428571411</v>
      </c>
      <c r="Q87" s="47">
        <f t="shared" si="22"/>
        <v>1.7814495334787299</v>
      </c>
      <c r="R87" s="87">
        <f t="shared" si="16"/>
        <v>0.37231089067205902</v>
      </c>
      <c r="S87" s="47">
        <f t="shared" si="23"/>
        <v>0.484699646367304</v>
      </c>
      <c r="T87" s="88">
        <f t="shared" si="24"/>
        <v>1.7814495334814637</v>
      </c>
      <c r="U87" s="88">
        <f t="shared" si="25"/>
        <v>484.69964636730765</v>
      </c>
      <c r="V87" s="88">
        <f t="shared" si="26"/>
        <v>37.231089067206312</v>
      </c>
    </row>
    <row r="88" spans="1:22" x14ac:dyDescent="0.2">
      <c r="A88" s="80">
        <v>47</v>
      </c>
      <c r="B88" s="81">
        <v>985.71428571428498</v>
      </c>
      <c r="C88" s="82">
        <v>1.4022694642840099</v>
      </c>
      <c r="D88" s="82">
        <v>0.30174324196846602</v>
      </c>
      <c r="E88" s="75">
        <v>0.519603197382839</v>
      </c>
      <c r="G88" s="89">
        <f t="shared" si="17"/>
        <v>1.4022694642817441</v>
      </c>
      <c r="H88" s="90">
        <f t="shared" si="18"/>
        <v>468.99148225896533</v>
      </c>
      <c r="I88" s="90">
        <f t="shared" si="12"/>
        <v>0.46899148225896531</v>
      </c>
      <c r="J88" s="90">
        <f t="shared" si="19"/>
        <v>30.174324196847465</v>
      </c>
      <c r="K88" s="90">
        <f t="shared" si="13"/>
        <v>0.30174324196847463</v>
      </c>
      <c r="L88" s="90">
        <f t="shared" si="20"/>
        <v>156.94149763214332</v>
      </c>
      <c r="M88" s="90">
        <f t="shared" si="14"/>
        <v>0.52011603179016741</v>
      </c>
      <c r="N88" s="91">
        <f t="shared" si="15"/>
        <v>0.33463613640958229</v>
      </c>
      <c r="P88" s="86">
        <f t="shared" si="21"/>
        <v>985.71428571428487</v>
      </c>
      <c r="Q88" s="47">
        <f t="shared" si="22"/>
        <v>1.4022694642840099</v>
      </c>
      <c r="R88" s="87">
        <f t="shared" si="16"/>
        <v>0.30174324196846602</v>
      </c>
      <c r="S88" s="47">
        <f t="shared" si="23"/>
        <v>0.46899148225896531</v>
      </c>
      <c r="T88" s="88">
        <f t="shared" si="24"/>
        <v>1.4022694642858369</v>
      </c>
      <c r="U88" s="88">
        <f t="shared" si="25"/>
        <v>468.99148225896352</v>
      </c>
      <c r="V88" s="88">
        <f t="shared" si="26"/>
        <v>30.174324196847124</v>
      </c>
    </row>
    <row r="89" spans="1:22" x14ac:dyDescent="0.2">
      <c r="A89" s="80">
        <v>48</v>
      </c>
      <c r="B89" s="81">
        <v>1007.1428571428499</v>
      </c>
      <c r="C89" s="82">
        <v>0.967899678082631</v>
      </c>
      <c r="D89" s="82">
        <v>0.21684753627454001</v>
      </c>
      <c r="E89" s="75">
        <v>0.50991028214078904</v>
      </c>
      <c r="G89" s="89">
        <f t="shared" si="17"/>
        <v>0.9678996780912712</v>
      </c>
      <c r="H89" s="90">
        <f t="shared" si="18"/>
        <v>452.23559813808424</v>
      </c>
      <c r="I89" s="90">
        <f t="shared" si="12"/>
        <v>0.45223559813808423</v>
      </c>
      <c r="J89" s="90">
        <f t="shared" si="19"/>
        <v>21.684753627458122</v>
      </c>
      <c r="K89" s="90">
        <f t="shared" si="13"/>
        <v>0.21684753627458123</v>
      </c>
      <c r="L89" s="90">
        <f t="shared" si="20"/>
        <v>110.68192077717148</v>
      </c>
      <c r="M89" s="90">
        <f t="shared" si="14"/>
        <v>0.51041354990089216</v>
      </c>
      <c r="N89" s="91">
        <f t="shared" si="15"/>
        <v>0.24474393708249434</v>
      </c>
      <c r="P89" s="86">
        <f t="shared" si="21"/>
        <v>1007.1428571428499</v>
      </c>
      <c r="Q89" s="47">
        <f t="shared" si="22"/>
        <v>0.967899678082631</v>
      </c>
      <c r="R89" s="87">
        <f t="shared" si="16"/>
        <v>0.21684753627454001</v>
      </c>
      <c r="S89" s="47">
        <f t="shared" si="23"/>
        <v>0.45223559813808423</v>
      </c>
      <c r="T89" s="88">
        <f t="shared" si="24"/>
        <v>0.9678996780912712</v>
      </c>
      <c r="U89" s="88">
        <f t="shared" si="25"/>
        <v>452.23559813808424</v>
      </c>
      <c r="V89" s="88">
        <f t="shared" si="26"/>
        <v>21.684753627458122</v>
      </c>
    </row>
    <row r="90" spans="1:22" x14ac:dyDescent="0.2">
      <c r="A90" s="80">
        <v>49</v>
      </c>
      <c r="B90" s="81">
        <v>1028.57142857142</v>
      </c>
      <c r="C90" s="82">
        <v>0.47478234313985002</v>
      </c>
      <c r="D90" s="82">
        <v>0.115465177972394</v>
      </c>
      <c r="E90" s="75">
        <v>0.47973877943645699</v>
      </c>
      <c r="G90" s="89">
        <f t="shared" si="17"/>
        <v>0.4747823431453071</v>
      </c>
      <c r="H90" s="90">
        <f t="shared" si="18"/>
        <v>434.87747722172026</v>
      </c>
      <c r="I90" s="90">
        <f t="shared" si="12"/>
        <v>0.43487747722172027</v>
      </c>
      <c r="J90" s="90">
        <f t="shared" si="19"/>
        <v>11.546517797244633</v>
      </c>
      <c r="K90" s="90">
        <f t="shared" si="13"/>
        <v>0.11546517797244632</v>
      </c>
      <c r="L90" s="90">
        <f t="shared" si="20"/>
        <v>55.447795073832019</v>
      </c>
      <c r="M90" s="90">
        <f t="shared" si="14"/>
        <v>0.48021226873320744</v>
      </c>
      <c r="N90" s="91">
        <f t="shared" si="15"/>
        <v>0.12750210801458042</v>
      </c>
      <c r="P90" s="86">
        <f t="shared" si="21"/>
        <v>1028.57142857142</v>
      </c>
      <c r="Q90" s="47">
        <f t="shared" si="22"/>
        <v>0.47478234313985002</v>
      </c>
      <c r="R90" s="87">
        <f t="shared" si="16"/>
        <v>0.115465177972394</v>
      </c>
      <c r="S90" s="47">
        <f t="shared" si="23"/>
        <v>0.43487747722172027</v>
      </c>
      <c r="T90" s="88">
        <f t="shared" si="24"/>
        <v>0.4747823431453071</v>
      </c>
      <c r="U90" s="88">
        <f t="shared" si="25"/>
        <v>434.87747722172026</v>
      </c>
      <c r="V90" s="88">
        <f t="shared" si="26"/>
        <v>11.546517797244633</v>
      </c>
    </row>
    <row r="91" spans="1:22" x14ac:dyDescent="0.2">
      <c r="A91" s="92">
        <v>50</v>
      </c>
      <c r="B91" s="93">
        <v>1050</v>
      </c>
      <c r="C91" s="94">
        <v>0</v>
      </c>
      <c r="D91" s="94">
        <v>1E-3</v>
      </c>
      <c r="E91" s="78">
        <v>0</v>
      </c>
      <c r="G91" s="95">
        <f t="shared" si="17"/>
        <v>-7.3769937885117542E-2</v>
      </c>
      <c r="H91" s="96">
        <f t="shared" si="18"/>
        <v>417.49651392562373</v>
      </c>
      <c r="I91" s="96">
        <f t="shared" si="12"/>
        <v>0.41749651392562376</v>
      </c>
      <c r="J91" s="96">
        <f t="shared" si="19"/>
        <v>-0.48147061023337301</v>
      </c>
      <c r="K91" s="96">
        <f t="shared" si="13"/>
        <v>-4.8147061023337302E-3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1050</v>
      </c>
      <c r="Q91" s="47">
        <f t="shared" si="22"/>
        <v>0</v>
      </c>
      <c r="R91" s="87">
        <f t="shared" si="16"/>
        <v>1E-3</v>
      </c>
      <c r="S91" s="47">
        <f t="shared" si="23"/>
        <v>0.41749651392562376</v>
      </c>
      <c r="T91" s="88">
        <f t="shared" si="24"/>
        <v>-7.3769937885117542E-2</v>
      </c>
      <c r="U91" s="88">
        <f t="shared" si="25"/>
        <v>417.49651392562373</v>
      </c>
      <c r="V91" s="88">
        <f t="shared" si="26"/>
        <v>-0.48147061023337301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819F3-117D-40ED-8517-47B2F16D78ED}">
  <sheetPr codeName="Лист11"/>
  <dimension ref="A1:AU91"/>
  <sheetViews>
    <sheetView zoomScale="55" zoomScaleNormal="55" workbookViewId="0">
      <selection activeCell="Z14" sqref="Z14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NF(900-1380)H @ 2910 RPM</v>
      </c>
      <c r="C1" s="64"/>
      <c r="D1" s="64"/>
      <c r="E1" s="65">
        <v>158</v>
      </c>
      <c r="G1" s="64" t="s">
        <v>424</v>
      </c>
      <c r="H1" s="66">
        <f>VLOOKUP(num,'tnav 254'!A1:Q263,7,1)</f>
        <v>140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[0,21.5,43,64.5,86,107.5,129,150.5,172,193.5,215]</v>
      </c>
    </row>
    <row r="2" spans="1:47" x14ac:dyDescent="0.2">
      <c r="A2" s="67" t="s">
        <v>144</v>
      </c>
      <c r="B2" s="68" t="str">
        <f>"ЭЦН"&amp;L1&amp;"-"&amp;H1&amp;"@"&amp;f_nom&amp;"Гц"</f>
        <v>ЭЦН5-140@50Гц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[0,21.5,43,64.5,86,107.5,129,150.5,172,193.5,215]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5.3266774119999996</v>
      </c>
      <c r="C5" s="73">
        <f>Напор0*(f_50_hz/f_nom)^2</f>
        <v>5.3266774119999996</v>
      </c>
      <c r="R5" s="47">
        <f>S1+num</f>
        <v>2158</v>
      </c>
      <c r="S5" s="47" t="s">
        <v>478</v>
      </c>
      <c r="T5" s="47" t="s">
        <v>479</v>
      </c>
      <c r="U5" s="47" t="str">
        <f>B2</f>
        <v>ЭЦН5-140@50Гц</v>
      </c>
      <c r="V5" s="47">
        <v>1000</v>
      </c>
      <c r="W5" s="47">
        <f>q_nom</f>
        <v>140</v>
      </c>
      <c r="X5" s="47">
        <f>VLOOKUP(num,'tnav 254'!A1:Q263,10,1)</f>
        <v>80</v>
      </c>
      <c r="Y5" s="47">
        <f>VLOOKUP(num,'tnav 254'!A1:Q263,11,1)</f>
        <v>180</v>
      </c>
      <c r="Z5" s="47">
        <f>VLOOKUP(num,'tnav 254'!A1:Q263,9,1)</f>
        <v>230</v>
      </c>
      <c r="AA5" s="47">
        <f>VLOOKUP(num,'tnav 254'!A1:Q263,15,1)</f>
        <v>2910</v>
      </c>
      <c r="AB5" s="47">
        <f>f_nom</f>
        <v>50</v>
      </c>
      <c r="AC5" s="87">
        <f>MAX(КПД)</f>
        <v>0.65262903768067004</v>
      </c>
      <c r="AE5" s="47">
        <f>L1</f>
        <v>5</v>
      </c>
      <c r="AF5" s="47">
        <f>VLOOKUP(num,'tnav 254'!A1:Q263,12,1)*1000</f>
        <v>92</v>
      </c>
      <c r="AQ5" s="98">
        <f>$R$5</f>
        <v>2158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5.3266774119999996</v>
      </c>
      <c r="AT5" s="104" cm="1">
        <f t="array" ref="AT5">[1]!crv_interpolation(Подача_пласт_м3_сут,$I$42:$I$91,AR5,2)</f>
        <v>5.4970734319999999E-2</v>
      </c>
      <c r="AU5" s="105">
        <v>0</v>
      </c>
    </row>
    <row r="6" spans="1:47" x14ac:dyDescent="0.2">
      <c r="A6" s="74" t="s">
        <v>431</v>
      </c>
      <c r="B6" s="75">
        <v>1.379068636E-2</v>
      </c>
      <c r="C6" s="76">
        <f>Напор1/(f_50_hz/f_nom)*(f_50_hz/f_nom)^2</f>
        <v>1.379068636E-2</v>
      </c>
      <c r="R6" s="47">
        <f>T1+num</f>
        <v>3158</v>
      </c>
      <c r="S6" s="47" t="s">
        <v>480</v>
      </c>
      <c r="T6" s="47" t="s">
        <v>481</v>
      </c>
      <c r="U6" s="47" t="str">
        <f>"ЭЦН"&amp;L1&amp;"-"&amp;H1&amp;"@"&amp;f_50_hz&amp;"Гц"</f>
        <v>ЭЦН5-140@50Гц</v>
      </c>
      <c r="V6" s="47">
        <v>1000</v>
      </c>
      <c r="W6" s="47">
        <f>W5*f_50_hz/f_nom</f>
        <v>140</v>
      </c>
      <c r="X6" s="47">
        <f>X5*f_50_hz/f_nom</f>
        <v>80</v>
      </c>
      <c r="Y6" s="47">
        <f>Y5*f_50_hz/f_nom</f>
        <v>180</v>
      </c>
      <c r="Z6" s="47">
        <f>Z5*f_50_hz/f_nom</f>
        <v>230</v>
      </c>
      <c r="AA6" s="47">
        <f>AA5*f_50_hz/f_nom</f>
        <v>2910</v>
      </c>
      <c r="AB6" s="47">
        <f>f_50_hz</f>
        <v>50</v>
      </c>
      <c r="AC6" s="87">
        <f>AC5</f>
        <v>0.65262903768067004</v>
      </c>
      <c r="AE6" s="47">
        <f>AE5</f>
        <v>5</v>
      </c>
      <c r="AF6" s="47">
        <f>AF5</f>
        <v>92</v>
      </c>
      <c r="AQ6" s="100">
        <f t="shared" ref="AQ6:AQ15" si="0">$R$5</f>
        <v>2158</v>
      </c>
      <c r="AR6" s="101">
        <v>21.5</v>
      </c>
      <c r="AS6" s="106" cm="1">
        <f t="array" ref="AS6">[1]!crv_interpolation(Подача_пласт_м3_сут,Напор_м,AR6,2)</f>
        <v>5.442391916831717</v>
      </c>
      <c r="AT6" s="106" cm="1">
        <f t="array" ref="AT6">[1]!crv_interpolation(Подача_пласт_м3_сут,$I$42:$I$91,AR6,2)</f>
        <v>6.0851790948939492E-2</v>
      </c>
      <c r="AU6" s="107" cm="1">
        <f t="array" ref="AU6">[1]!crv_interpolation(Подача_пласт_м3_сут,КПД,AR6,2)</f>
        <v>0.22341184070735218</v>
      </c>
    </row>
    <row r="7" spans="1:47" x14ac:dyDescent="0.2">
      <c r="A7" s="74" t="s">
        <v>432</v>
      </c>
      <c r="B7" s="75">
        <v>-5.3592827149999997E-4</v>
      </c>
      <c r="C7" s="76">
        <f>Напор2/((f_50_hz/f_nom)^2)*(f_50_hz/f_nom)^2</f>
        <v>-5.3592827149999997E-4</v>
      </c>
      <c r="AQ7" s="100">
        <f t="shared" si="0"/>
        <v>2158</v>
      </c>
      <c r="AR7" s="101">
        <v>43</v>
      </c>
      <c r="AS7" s="106" cm="1">
        <f t="array" ref="AS7">[1]!crv_interpolation(Подача_пласт_м3_сут,Напор_м,AR7,2)</f>
        <v>5.3908022785561363</v>
      </c>
      <c r="AT7" s="106" cm="1">
        <f t="array" ref="AT7">[1]!crv_interpolation(Подача_пласт_м3_сут,$I$42:$I$91,AR7,2)</f>
        <v>7.1248603408174016E-2</v>
      </c>
      <c r="AU7" s="107" cm="1">
        <f t="array" ref="AU7">[1]!crv_interpolation(Подача_пласт_м3_сут,КПД,AR7,2)</f>
        <v>0.3712964132378157</v>
      </c>
    </row>
    <row r="8" spans="1:47" x14ac:dyDescent="0.2">
      <c r="A8" s="74" t="s">
        <v>433</v>
      </c>
      <c r="B8" s="75">
        <v>7.7429043770000001E-6</v>
      </c>
      <c r="C8" s="76">
        <f>Напор3/((f_50_hz/f_nom)^3)*(f_50_hz/f_nom)^2</f>
        <v>7.7429043770000001E-6</v>
      </c>
      <c r="AQ8" s="100">
        <f t="shared" si="0"/>
        <v>2158</v>
      </c>
      <c r="AR8" s="101">
        <v>64.5</v>
      </c>
      <c r="AS8" s="106" cm="1">
        <f t="array" ref="AS8">[1]!crv_interpolation(Подача_пласт_м3_сут,Напор_м,AR8,2)</f>
        <v>5.3214392798026493</v>
      </c>
      <c r="AT8" s="106" cm="1">
        <f t="array" ref="AT8">[1]!crv_interpolation(Подача_пласт_м3_сут,$I$42:$I$91,AR8,2)</f>
        <v>8.2761242299794216E-2</v>
      </c>
      <c r="AU8" s="107" cm="1">
        <f t="array" ref="AU8">[1]!crv_interpolation(Подача_пласт_м3_сут,КПД,AR8,2)</f>
        <v>0.47397184935079834</v>
      </c>
    </row>
    <row r="9" spans="1:47" x14ac:dyDescent="0.2">
      <c r="A9" s="74" t="s">
        <v>434</v>
      </c>
      <c r="B9" s="75">
        <v>-4.8825806269999998E-8</v>
      </c>
      <c r="C9" s="76">
        <f>Напор4/((f_50_hz/f_nom)^4)*(f_50_hz/f_nom)^2</f>
        <v>-4.8825806269999998E-8</v>
      </c>
      <c r="Y9" s="119" t="s">
        <v>489</v>
      </c>
      <c r="Z9" s="47">
        <v>215</v>
      </c>
      <c r="AQ9" s="100">
        <f t="shared" si="0"/>
        <v>2158</v>
      </c>
      <c r="AR9" s="101">
        <v>86</v>
      </c>
      <c r="AS9" s="106" cm="1">
        <f t="array" ref="AS9">[1]!crv_interpolation(Подача_пласт_м3_сут,Напор_м,AR9,2)</f>
        <v>5.236861427389857</v>
      </c>
      <c r="AT9" s="106" cm="1">
        <f t="array" ref="AT9">[1]!crv_interpolation(Подача_пласт_м3_сут,$I$42:$I$91,AR9,2)</f>
        <v>9.2916241571718072E-2</v>
      </c>
      <c r="AU9" s="107" cm="1">
        <f t="array" ref="AU9">[1]!crv_interpolation(Подача_пласт_м3_сут,КПД,AR9,2)</f>
        <v>0.55390479945089499</v>
      </c>
    </row>
    <row r="10" spans="1:47" x14ac:dyDescent="0.2">
      <c r="A10" s="74" t="s">
        <v>435</v>
      </c>
      <c r="B10" s="75">
        <v>8.9730584180000005E-11</v>
      </c>
      <c r="C10" s="76">
        <f>Напор5/((f_50_hz/f_nom)^5)*(f_50_hz/f_nom)^2</f>
        <v>8.9730584180000005E-11</v>
      </c>
      <c r="AQ10" s="100">
        <f t="shared" si="0"/>
        <v>2158</v>
      </c>
      <c r="AR10" s="101">
        <v>107.5</v>
      </c>
      <c r="AS10" s="106" cm="1">
        <f t="array" ref="AS10">[1]!crv_interpolation(Подача_пласт_м3_сут,Напор_м,AR10,2)</f>
        <v>5.046930920446683</v>
      </c>
      <c r="AT10" s="106" cm="1">
        <f t="array" ref="AT10">[1]!crv_interpolation(Подача_пласт_м3_сут,$I$42:$I$91,AR10,2)</f>
        <v>0.10014650550513073</v>
      </c>
      <c r="AU10" s="107" cm="1">
        <f t="array" ref="AU10">[1]!crv_interpolation(Подача_пласт_м3_сут,КПД,AR10,2)</f>
        <v>0.617208046121825</v>
      </c>
    </row>
    <row r="11" spans="1:47" x14ac:dyDescent="0.2">
      <c r="A11" s="74" t="s">
        <v>436</v>
      </c>
      <c r="B11" s="75">
        <v>2.8807426379999999E-14</v>
      </c>
      <c r="C11" s="76">
        <f>Напор6/((f_50_hz/f_nom)^6)*(f_50_hz/f_nom)^2</f>
        <v>2.8807426379999999E-14</v>
      </c>
      <c r="AQ11" s="100">
        <f t="shared" si="0"/>
        <v>2158</v>
      </c>
      <c r="AR11" s="101">
        <v>129</v>
      </c>
      <c r="AS11" s="106" cm="1">
        <f t="array" ref="AS11">[1]!crv_interpolation(Подача_пласт_м3_сут,Напор_м,AR11,2)</f>
        <v>4.6261308149035516</v>
      </c>
      <c r="AT11" s="106" cm="1">
        <f t="array" ref="AT11">[1]!crv_interpolation(Подача_пласт_м3_сут,$I$42:$I$91,AR11,2)</f>
        <v>0.10380670526325378</v>
      </c>
      <c r="AU11" s="107" cm="1">
        <f t="array" ref="AU11">[1]!crv_interpolation(Подача_пласт_м3_сут,КПД,AR11,2)</f>
        <v>0.65162833234865591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2158</v>
      </c>
      <c r="AR12" s="101">
        <v>150.5</v>
      </c>
      <c r="AS12" s="106" cm="1">
        <f t="array" ref="AS12">[1]!crv_interpolation(Подача_пласт_м3_сут,Напор_м,AR12,2)</f>
        <v>3.8714605663312969</v>
      </c>
      <c r="AT12" s="106" cm="1">
        <f t="array" ref="AT12">[1]!crv_interpolation(Подача_пласт_м3_сут,$I$42:$I$91,AR12,2)</f>
        <v>0.10416462759868951</v>
      </c>
      <c r="AU12" s="107" cm="1">
        <f t="array" ref="AU12">[1]!crv_interpolation(Подача_пласт_м3_сут,КПД,AR12,2)</f>
        <v>0.63124296722449003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2158</v>
      </c>
      <c r="AR13" s="101">
        <v>172</v>
      </c>
      <c r="AS13" s="106" cm="1">
        <f t="array" ref="AS13">[1]!crv_interpolation(Подача_пласт_м3_сут,Напор_м,AR13,2)</f>
        <v>2.7638565260941474</v>
      </c>
      <c r="AT13" s="106" cm="1">
        <f t="array" ref="AT13">[1]!crv_interpolation(Подача_пласт_м3_сут,$I$42:$I$91,AR13,2)</f>
        <v>0.10240512940588148</v>
      </c>
      <c r="AU13" s="107" cm="1">
        <f t="array" ref="AU13">[1]!crv_interpolation(Подача_пласт_м3_сут,КПД,AR13,2)</f>
        <v>0.52786508233300322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2158</v>
      </c>
      <c r="AR14" s="101">
        <v>193.5</v>
      </c>
      <c r="AS14" s="106" cm="1">
        <f t="array" ref="AS14">[1]!crv_interpolation(Подача_пласт_м3_сут,Напор_м,AR14,2)</f>
        <v>1.4302869959351212</v>
      </c>
      <c r="AT14" s="106" cm="1">
        <f t="array" ref="AT14">[1]!crv_interpolation(Подача_пласт_м3_сут,$I$42:$I$91,AR14,2)</f>
        <v>0.10062952442454616</v>
      </c>
      <c r="AU14" s="107" cm="1">
        <f t="array" ref="AU14">[1]!crv_interpolation(Подача_пласт_м3_сут,КПД,AR14,2)</f>
        <v>0.32905682829469257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2158</v>
      </c>
      <c r="AR15" s="103">
        <v>215</v>
      </c>
      <c r="AS15" s="108">
        <v>0</v>
      </c>
      <c r="AT15" s="108" cm="1">
        <f t="array" ref="AT15">[1]!crv_interpolation(Подача_пласт_м3_сут,$I$42:$I$91,AR15,2)</f>
        <v>0.1018567045372782</v>
      </c>
      <c r="AU15" s="109">
        <v>0</v>
      </c>
    </row>
    <row r="16" spans="1:47" x14ac:dyDescent="0.2">
      <c r="A16" s="71" t="s">
        <v>441</v>
      </c>
      <c r="B16" s="72">
        <v>54.970734319999998</v>
      </c>
      <c r="C16" s="73">
        <f>Мощность0*(f_50_hz/f_nom)^3</f>
        <v>54.970734319999998</v>
      </c>
      <c r="AQ16" s="98">
        <f>$R$6</f>
        <v>3158</v>
      </c>
      <c r="AR16" s="99">
        <f t="array" ref="AR16:AR26">[1]!decode_json($AR$2)</f>
        <v>0</v>
      </c>
      <c r="AS16" s="104" cm="1">
        <f t="array" ref="AS16">[1]!crv_interpolation(Подача_f50_,$Q$42:$Q$91,AR16,2)</f>
        <v>5.3266774119999996</v>
      </c>
      <c r="AT16" s="104" cm="1">
        <f t="array" ref="AT16">[1]!crv_interpolation(Подача_f50_,$S$42:$S$91,AR16,2)</f>
        <v>5.4970734319999999E-2</v>
      </c>
      <c r="AU16" s="105">
        <v>0</v>
      </c>
    </row>
    <row r="17" spans="1:47" x14ac:dyDescent="0.2">
      <c r="A17" s="74" t="s">
        <v>442</v>
      </c>
      <c r="B17" s="75">
        <v>0.1052976491</v>
      </c>
      <c r="C17" s="76">
        <f>Мощность1/(f_50_hz/f_nom)*(f_50_hz/f_nom)^3</f>
        <v>0.1052976491</v>
      </c>
      <c r="AQ17" s="100">
        <f t="shared" ref="AQ17:AQ26" si="1">$R$6</f>
        <v>3158</v>
      </c>
      <c r="AR17" s="101">
        <v>21.5</v>
      </c>
      <c r="AS17" s="106" cm="1">
        <f t="array" ref="AS17">[1]!crv_interpolation(Подача_f50_,$Q$42:$Q$91,AR17,2)</f>
        <v>5.442391916831717</v>
      </c>
      <c r="AT17" s="106" cm="1">
        <f t="array" ref="AT17">[1]!crv_interpolation(Подача_f50_,$S$42:$S$91,AR17,2)</f>
        <v>6.0851790948939492E-2</v>
      </c>
      <c r="AU17" s="107" cm="1">
        <f t="array" ref="AU17">[1]!crv_interpolation(Подача_f50_,$R$42:$R$91,AR17,2)</f>
        <v>0.22341184070735218</v>
      </c>
    </row>
    <row r="18" spans="1:47" x14ac:dyDescent="0.2">
      <c r="A18" s="74" t="s">
        <v>443</v>
      </c>
      <c r="B18" s="75">
        <v>9.4629641320000003E-3</v>
      </c>
      <c r="C18" s="76">
        <f>Мощность2/((f_50_hz/f_nom)^2)*(f_50_hz/f_nom)^3</f>
        <v>9.4629641320000003E-3</v>
      </c>
      <c r="AQ18" s="100">
        <f t="shared" si="1"/>
        <v>3158</v>
      </c>
      <c r="AR18" s="101">
        <v>43</v>
      </c>
      <c r="AS18" s="106" cm="1">
        <f t="array" ref="AS18">[1]!crv_interpolation(Подача_f50_,$Q$42:$Q$91,AR18,2)</f>
        <v>5.3908022785561363</v>
      </c>
      <c r="AT18" s="106" cm="1">
        <f t="array" ref="AT18">[1]!crv_interpolation(Подача_f50_,$S$42:$S$91,AR18,2)</f>
        <v>7.1248603408174016E-2</v>
      </c>
      <c r="AU18" s="107" cm="1">
        <f t="array" ref="AU18">[1]!crv_interpolation(Подача_f50_,$R$42:$R$91,AR18,2)</f>
        <v>0.3712964132378157</v>
      </c>
    </row>
    <row r="19" spans="1:47" x14ac:dyDescent="0.2">
      <c r="A19" s="74" t="s">
        <v>444</v>
      </c>
      <c r="B19" s="75">
        <v>-7.9974952759999995E-5</v>
      </c>
      <c r="C19" s="76">
        <f>Мощность3/((f_50_hz/f_nom)^3)*(f_50_hz/f_nom)^3</f>
        <v>-7.9974952759999995E-5</v>
      </c>
      <c r="AQ19" s="100">
        <f t="shared" si="1"/>
        <v>3158</v>
      </c>
      <c r="AR19" s="101">
        <v>64.5</v>
      </c>
      <c r="AS19" s="106" cm="1">
        <f t="array" ref="AS19">[1]!crv_interpolation(Подача_f50_,$Q$42:$Q$91,AR19,2)</f>
        <v>5.3214392798026493</v>
      </c>
      <c r="AT19" s="106" cm="1">
        <f t="array" ref="AT19">[1]!crv_interpolation(Подача_f50_,$S$42:$S$91,AR19,2)</f>
        <v>8.2761242299794216E-2</v>
      </c>
      <c r="AU19" s="107" cm="1">
        <f t="array" ref="AU19">[1]!crv_interpolation(Подача_f50_,$R$42:$R$91,AR19,2)</f>
        <v>0.47397184935079834</v>
      </c>
    </row>
    <row r="20" spans="1:47" x14ac:dyDescent="0.2">
      <c r="A20" s="74" t="s">
        <v>445</v>
      </c>
      <c r="B20" s="75">
        <v>1.7860813559999999E-7</v>
      </c>
      <c r="C20" s="76">
        <f>Мощность4/((f_50_hz/f_nom)^4)*(f_50_hz/f_nom)^3</f>
        <v>1.7860813559999999E-7</v>
      </c>
      <c r="AQ20" s="100">
        <f t="shared" si="1"/>
        <v>3158</v>
      </c>
      <c r="AR20" s="101">
        <v>86</v>
      </c>
      <c r="AS20" s="106" cm="1">
        <f t="array" ref="AS20">[1]!crv_interpolation(Подача_f50_,$Q$42:$Q$91,AR20,2)</f>
        <v>5.236861427389857</v>
      </c>
      <c r="AT20" s="106" cm="1">
        <f t="array" ref="AT20">[1]!crv_interpolation(Подача_f50_,$S$42:$S$91,AR20,2)</f>
        <v>9.2916241571718072E-2</v>
      </c>
      <c r="AU20" s="107" cm="1">
        <f t="array" ref="AU20">[1]!crv_interpolation(Подача_f50_,$R$42:$R$91,AR20,2)</f>
        <v>0.55390479945089499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3158</v>
      </c>
      <c r="AR21" s="101">
        <v>107.5</v>
      </c>
      <c r="AS21" s="106" cm="1">
        <f t="array" ref="AS21">[1]!crv_interpolation(Подача_f50_,$Q$42:$Q$91,AR21,2)</f>
        <v>5.046930920446683</v>
      </c>
      <c r="AT21" s="106" cm="1">
        <f t="array" ref="AT21">[1]!crv_interpolation(Подача_f50_,$S$42:$S$91,AR21,2)</f>
        <v>0.10014650550513073</v>
      </c>
      <c r="AU21" s="107" cm="1">
        <f t="array" ref="AU21">[1]!crv_interpolation(Подача_f50_,$R$42:$R$91,AR21,2)</f>
        <v>0.617208046121825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3158</v>
      </c>
      <c r="AR22" s="101">
        <v>129</v>
      </c>
      <c r="AS22" s="106" cm="1">
        <f t="array" ref="AS22">[1]!crv_interpolation(Подача_f50_,$Q$42:$Q$91,AR22,2)</f>
        <v>4.6261308149035516</v>
      </c>
      <c r="AT22" s="106" cm="1">
        <f t="array" ref="AT22">[1]!crv_interpolation(Подача_f50_,$S$42:$S$91,AR22,2)</f>
        <v>0.10380670526325378</v>
      </c>
      <c r="AU22" s="107" cm="1">
        <f t="array" ref="AU22">[1]!crv_interpolation(Подача_f50_,$R$42:$R$91,AR22,2)</f>
        <v>0.65162833234865591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3158</v>
      </c>
      <c r="AR23" s="101">
        <v>150.5</v>
      </c>
      <c r="AS23" s="106" cm="1">
        <f t="array" ref="AS23">[1]!crv_interpolation(Подача_f50_,$Q$42:$Q$91,AR23,2)</f>
        <v>3.8714605663312969</v>
      </c>
      <c r="AT23" s="106" cm="1">
        <f t="array" ref="AT23">[1]!crv_interpolation(Подача_f50_,$S$42:$S$91,AR23,2)</f>
        <v>0.10416462759868951</v>
      </c>
      <c r="AU23" s="107" cm="1">
        <f t="array" ref="AU23">[1]!crv_interpolation(Подача_f50_,$R$42:$R$91,AR23,2)</f>
        <v>0.63124296722449003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3158</v>
      </c>
      <c r="AR24" s="101">
        <v>172</v>
      </c>
      <c r="AS24" s="106" cm="1">
        <f t="array" ref="AS24">[1]!crv_interpolation(Подача_f50_,$Q$42:$Q$91,AR24,2)</f>
        <v>2.7638565260941474</v>
      </c>
      <c r="AT24" s="106" cm="1">
        <f t="array" ref="AT24">[1]!crv_interpolation(Подача_f50_,$S$42:$S$91,AR24,2)</f>
        <v>0.10240512940588148</v>
      </c>
      <c r="AU24" s="107" cm="1">
        <f t="array" ref="AU24">[1]!crv_interpolation(Подача_f50_,$R$42:$R$91,AR24,2)</f>
        <v>0.52786508233300322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3158</v>
      </c>
      <c r="AR25" s="101">
        <v>193.5</v>
      </c>
      <c r="AS25" s="106" cm="1">
        <f t="array" ref="AS25">[1]!crv_interpolation(Подача_f50_,$Q$42:$Q$91,AR25,2)</f>
        <v>1.4302869959351212</v>
      </c>
      <c r="AT25" s="106" cm="1">
        <f t="array" ref="AT25">[1]!crv_interpolation(Подача_f50_,$S$42:$S$91,AR25,2)</f>
        <v>0.10062952442454616</v>
      </c>
      <c r="AU25" s="107" cm="1">
        <f t="array" ref="AU25">[1]!crv_interpolation(Подача_f50_,$R$42:$R$91,AR25,2)</f>
        <v>0.32905682829469252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3158</v>
      </c>
      <c r="AR26" s="103">
        <v>215</v>
      </c>
      <c r="AS26" s="108">
        <v>0</v>
      </c>
      <c r="AT26" s="108" cm="1">
        <f t="array" ref="AT26">[1]!crv_interpolation(Подача_f50_,$S$42:$S$91,AR26,2)</f>
        <v>0.1018567045372782</v>
      </c>
      <c r="AU26" s="109">
        <v>0</v>
      </c>
    </row>
    <row r="27" spans="1:47" x14ac:dyDescent="0.2">
      <c r="A27" s="74" t="s">
        <v>452</v>
      </c>
      <c r="B27" s="75">
        <v>-5.4820295639999997E-3</v>
      </c>
      <c r="C27" s="73">
        <f>К.П.Д.0</f>
        <v>-5.4820295639999997E-3</v>
      </c>
    </row>
    <row r="28" spans="1:47" x14ac:dyDescent="0.2">
      <c r="A28" s="74" t="s">
        <v>453</v>
      </c>
      <c r="B28" s="75">
        <v>1.258026796</v>
      </c>
      <c r="C28" s="76">
        <f>К.П.Д.1/(f_50_hz/f_nom)</f>
        <v>1.258026796</v>
      </c>
    </row>
    <row r="29" spans="1:47" x14ac:dyDescent="0.2">
      <c r="A29" s="74" t="s">
        <v>454</v>
      </c>
      <c r="B29" s="75">
        <v>-1.090500306E-2</v>
      </c>
      <c r="C29" s="76">
        <f>К.П.Д.2/((f_50_hz/f_nom)^2)</f>
        <v>-1.090500306E-2</v>
      </c>
    </row>
    <row r="30" spans="1:47" x14ac:dyDescent="0.2">
      <c r="A30" s="74" t="s">
        <v>455</v>
      </c>
      <c r="B30" s="75">
        <v>2.4333964049999998E-5</v>
      </c>
      <c r="C30" s="76">
        <f>К.П.Д.3/((f_50_hz/f_nom)^3)</f>
        <v>2.4333964049999998E-5</v>
      </c>
    </row>
    <row r="31" spans="1:47" x14ac:dyDescent="0.2">
      <c r="A31" s="74" t="s">
        <v>456</v>
      </c>
      <c r="B31" s="75">
        <v>5.5096173860000003E-7</v>
      </c>
      <c r="C31" s="76">
        <f>К.П.Д.4/((f_50_hz/f_nom)^4)</f>
        <v>5.5096173860000003E-7</v>
      </c>
    </row>
    <row r="32" spans="1:47" x14ac:dyDescent="0.2">
      <c r="A32" s="74" t="s">
        <v>457</v>
      </c>
      <c r="B32" s="75">
        <v>-4.5797748719999997E-9</v>
      </c>
      <c r="C32" s="76">
        <f>К.П.Д.5/((f_50_hz/f_nom)^5)</f>
        <v>-4.5797748719999997E-9</v>
      </c>
    </row>
    <row r="33" spans="1:22" x14ac:dyDescent="0.2">
      <c r="A33" s="74" t="s">
        <v>458</v>
      </c>
      <c r="B33" s="75">
        <v>9.3625350840000007E-12</v>
      </c>
      <c r="C33" s="76">
        <f>К.П.Д.6/((f_50_hz/f_nom)^6)</f>
        <v>9.3625350840000007E-12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5.3266774119999996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5.3266774119999996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54.970734319999998</v>
      </c>
      <c r="I42" s="84">
        <f>H42/1000</f>
        <v>5.4970734319999999E-2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-5.4820295639999997E-3</v>
      </c>
      <c r="K42" s="84">
        <f>J42/100</f>
        <v>-5.4820295639999996E-5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5.3266774119999996</v>
      </c>
      <c r="R42" s="87">
        <f>D42</f>
        <v>1E-3</v>
      </c>
      <c r="S42" s="47">
        <f t="shared" ref="S42:S73" si="8">I42*(f_50_hz/f_nom)^3</f>
        <v>5.4970734319999999E-2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5.3266774119999996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54.970734319999998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-5.4820295639999997E-3</v>
      </c>
    </row>
    <row r="43" spans="1:22" x14ac:dyDescent="0.2">
      <c r="A43" s="80">
        <v>2</v>
      </c>
      <c r="B43" s="81">
        <v>4.6938775510203996</v>
      </c>
      <c r="C43" s="82">
        <v>5.3803786300478897</v>
      </c>
      <c r="D43" s="82">
        <v>5.66205105781864E-2</v>
      </c>
      <c r="E43" s="75">
        <v>5.0593841171197099E-2</v>
      </c>
      <c r="G43" s="89">
        <f t="shared" si="2"/>
        <v>5.3803786300478968</v>
      </c>
      <c r="H43" s="90">
        <f t="shared" si="3"/>
        <v>55.665297089104243</v>
      </c>
      <c r="I43" s="90">
        <f t="shared" ref="I43:I91" si="12">H43/1000</f>
        <v>5.566529708910424E-2</v>
      </c>
      <c r="J43" s="90">
        <f t="shared" si="4"/>
        <v>5.6620510578186387</v>
      </c>
      <c r="K43" s="90">
        <f t="shared" ref="K43:K91" si="13">J43/100</f>
        <v>5.6620510578186387E-2</v>
      </c>
      <c r="L43" s="90">
        <f t="shared" si="5"/>
        <v>2.8674764510055346</v>
      </c>
      <c r="M43" s="90">
        <f t="shared" ref="M43:M91" si="14">IF(K43&gt;0,L43/K43,0)/1000</f>
        <v>5.0643775934268213E-2</v>
      </c>
      <c r="N43" s="91">
        <f t="shared" ref="N43:N91" si="15">L43/H43</f>
        <v>5.1512820391769826E-2</v>
      </c>
      <c r="P43" s="86">
        <f t="shared" si="6"/>
        <v>4.6938775510203996</v>
      </c>
      <c r="Q43" s="47">
        <f t="shared" si="7"/>
        <v>5.3803786300478897</v>
      </c>
      <c r="R43" s="87">
        <f t="shared" ref="R43:R91" si="16">D43</f>
        <v>5.66205105781864E-2</v>
      </c>
      <c r="S43" s="47">
        <f t="shared" si="8"/>
        <v>5.566529708910424E-2</v>
      </c>
      <c r="T43" s="88">
        <f t="shared" si="9"/>
        <v>5.3803786300478968</v>
      </c>
      <c r="U43" s="88">
        <f t="shared" si="10"/>
        <v>55.665297089104243</v>
      </c>
      <c r="V43" s="88">
        <f t="shared" si="11"/>
        <v>5.6620510578186387</v>
      </c>
    </row>
    <row r="44" spans="1:22" x14ac:dyDescent="0.2">
      <c r="A44" s="80">
        <v>3</v>
      </c>
      <c r="B44" s="81">
        <v>9.3877551020408099</v>
      </c>
      <c r="C44" s="82">
        <v>5.4149430391453404</v>
      </c>
      <c r="D44" s="82">
        <v>0.10867592371160301</v>
      </c>
      <c r="E44" s="75">
        <v>5.3057788383520599E-2</v>
      </c>
      <c r="G44" s="89">
        <f t="shared" si="2"/>
        <v>5.4149430391453404</v>
      </c>
      <c r="H44" s="90">
        <f t="shared" si="3"/>
        <v>56.728433943165292</v>
      </c>
      <c r="I44" s="90">
        <f t="shared" si="12"/>
        <v>5.6728433943165291E-2</v>
      </c>
      <c r="J44" s="90">
        <f t="shared" si="4"/>
        <v>10.867592371160368</v>
      </c>
      <c r="K44" s="90">
        <f t="shared" si="13"/>
        <v>0.10867592371160369</v>
      </c>
      <c r="L44" s="90">
        <f t="shared" si="5"/>
        <v>5.7717951526944553</v>
      </c>
      <c r="M44" s="90">
        <f t="shared" si="14"/>
        <v>5.3110154996347012E-2</v>
      </c>
      <c r="N44" s="91">
        <f t="shared" si="15"/>
        <v>0.10174430618826995</v>
      </c>
      <c r="P44" s="86">
        <f t="shared" si="6"/>
        <v>9.3877551020408099</v>
      </c>
      <c r="Q44" s="47">
        <f t="shared" si="7"/>
        <v>5.4149430391453404</v>
      </c>
      <c r="R44" s="87">
        <f t="shared" si="16"/>
        <v>0.10867592371160301</v>
      </c>
      <c r="S44" s="47">
        <f t="shared" si="8"/>
        <v>5.6728433943165291E-2</v>
      </c>
      <c r="T44" s="88">
        <f t="shared" si="9"/>
        <v>5.4149430391453404</v>
      </c>
      <c r="U44" s="88">
        <f t="shared" si="10"/>
        <v>56.728433943165292</v>
      </c>
      <c r="V44" s="88">
        <f t="shared" si="11"/>
        <v>10.867592371160368</v>
      </c>
    </row>
    <row r="45" spans="1:22" x14ac:dyDescent="0.2">
      <c r="A45" s="80">
        <v>4</v>
      </c>
      <c r="B45" s="81">
        <v>14.081632653061201</v>
      </c>
      <c r="C45" s="82">
        <v>5.4343527433378096</v>
      </c>
      <c r="D45" s="82">
        <v>0.156343584146306</v>
      </c>
      <c r="E45" s="75">
        <v>5.5519763972329099E-2</v>
      </c>
      <c r="G45" s="89">
        <f t="shared" si="2"/>
        <v>5.4343527433378132</v>
      </c>
      <c r="H45" s="90">
        <f t="shared" si="3"/>
        <v>58.113641149091755</v>
      </c>
      <c r="I45" s="90">
        <f t="shared" si="12"/>
        <v>5.8113641149091753E-2</v>
      </c>
      <c r="J45" s="90">
        <f t="shared" si="4"/>
        <v>15.63435841463061</v>
      </c>
      <c r="K45" s="90">
        <f t="shared" si="13"/>
        <v>0.15634358414630609</v>
      </c>
      <c r="L45" s="90">
        <f t="shared" si="5"/>
        <v>8.6887259742014464</v>
      </c>
      <c r="M45" s="90">
        <f t="shared" si="14"/>
        <v>5.5574560488971199E-2</v>
      </c>
      <c r="N45" s="91">
        <f t="shared" si="15"/>
        <v>0.14951267555082876</v>
      </c>
      <c r="P45" s="86">
        <f t="shared" si="6"/>
        <v>14.081632653061201</v>
      </c>
      <c r="Q45" s="47">
        <f t="shared" si="7"/>
        <v>5.4343527433378096</v>
      </c>
      <c r="R45" s="87">
        <f t="shared" si="16"/>
        <v>0.156343584146306</v>
      </c>
      <c r="S45" s="47">
        <f t="shared" si="8"/>
        <v>5.8113641149091753E-2</v>
      </c>
      <c r="T45" s="88">
        <f t="shared" si="9"/>
        <v>5.4343527433378132</v>
      </c>
      <c r="U45" s="88">
        <f t="shared" si="10"/>
        <v>58.113641149091755</v>
      </c>
      <c r="V45" s="88">
        <f t="shared" si="11"/>
        <v>15.63435841463061</v>
      </c>
    </row>
    <row r="46" spans="1:22" x14ac:dyDescent="0.2">
      <c r="A46" s="80">
        <v>5</v>
      </c>
      <c r="B46" s="81">
        <v>18.775510204081598</v>
      </c>
      <c r="C46" s="82">
        <v>5.4420705598782702</v>
      </c>
      <c r="D46" s="82">
        <v>0.19989636328655899</v>
      </c>
      <c r="E46" s="75">
        <v>5.7979953393913201E-2</v>
      </c>
      <c r="G46" s="89">
        <f t="shared" si="2"/>
        <v>5.4420705598782746</v>
      </c>
      <c r="H46" s="90">
        <f t="shared" si="3"/>
        <v>59.776495817697452</v>
      </c>
      <c r="I46" s="90">
        <f t="shared" si="12"/>
        <v>5.977649581769745E-2</v>
      </c>
      <c r="J46" s="90">
        <f t="shared" si="4"/>
        <v>19.989636328655891</v>
      </c>
      <c r="K46" s="90">
        <f t="shared" si="13"/>
        <v>0.19989636328655891</v>
      </c>
      <c r="L46" s="90">
        <f t="shared" si="5"/>
        <v>11.601420827903741</v>
      </c>
      <c r="M46" s="90">
        <f t="shared" si="14"/>
        <v>5.8037178051471953E-2</v>
      </c>
      <c r="N46" s="91">
        <f t="shared" si="15"/>
        <v>0.1940799752344971</v>
      </c>
      <c r="P46" s="86">
        <f t="shared" si="6"/>
        <v>18.775510204081598</v>
      </c>
      <c r="Q46" s="47">
        <f t="shared" si="7"/>
        <v>5.4420705598782702</v>
      </c>
      <c r="R46" s="87">
        <f t="shared" si="16"/>
        <v>0.19989636328655899</v>
      </c>
      <c r="S46" s="47">
        <f t="shared" si="8"/>
        <v>5.977649581769745E-2</v>
      </c>
      <c r="T46" s="88">
        <f t="shared" si="9"/>
        <v>5.4420705598782746</v>
      </c>
      <c r="U46" s="88">
        <f t="shared" si="10"/>
        <v>59.776495817697452</v>
      </c>
      <c r="V46" s="88">
        <f t="shared" si="11"/>
        <v>19.989636328655891</v>
      </c>
    </row>
    <row r="47" spans="1:22" x14ac:dyDescent="0.2">
      <c r="A47" s="80">
        <v>6</v>
      </c>
      <c r="B47" s="81">
        <v>23.469387755102002</v>
      </c>
      <c r="C47" s="82">
        <v>5.4410651084983401</v>
      </c>
      <c r="D47" s="82">
        <v>0.23963711901978399</v>
      </c>
      <c r="E47" s="75">
        <v>6.0444728699559101E-2</v>
      </c>
      <c r="G47" s="89">
        <f t="shared" si="2"/>
        <v>5.4410651084983481</v>
      </c>
      <c r="H47" s="90">
        <f t="shared" si="3"/>
        <v>61.674655903701513</v>
      </c>
      <c r="I47" s="90">
        <f t="shared" si="12"/>
        <v>6.1674655903701511E-2</v>
      </c>
      <c r="J47" s="90">
        <f t="shared" si="4"/>
        <v>23.963711901978392</v>
      </c>
      <c r="K47" s="90">
        <f t="shared" si="13"/>
        <v>0.23963711901978393</v>
      </c>
      <c r="L47" s="90">
        <f t="shared" si="5"/>
        <v>14.499096754895108</v>
      </c>
      <c r="M47" s="90">
        <f t="shared" si="14"/>
        <v>6.0504386024178895E-2</v>
      </c>
      <c r="N47" s="91">
        <f t="shared" si="15"/>
        <v>0.23509003078239987</v>
      </c>
      <c r="P47" s="86">
        <f t="shared" si="6"/>
        <v>23.469387755102002</v>
      </c>
      <c r="Q47" s="47">
        <f t="shared" si="7"/>
        <v>5.4410651084983401</v>
      </c>
      <c r="R47" s="87">
        <f t="shared" si="16"/>
        <v>0.23963711901978399</v>
      </c>
      <c r="S47" s="47">
        <f t="shared" si="8"/>
        <v>6.1674655903701511E-2</v>
      </c>
      <c r="T47" s="88">
        <f t="shared" si="9"/>
        <v>5.4410651084983481</v>
      </c>
      <c r="U47" s="88">
        <f t="shared" si="10"/>
        <v>61.674655903701513</v>
      </c>
      <c r="V47" s="88">
        <f t="shared" si="11"/>
        <v>23.963711901978392</v>
      </c>
    </row>
    <row r="48" spans="1:22" x14ac:dyDescent="0.2">
      <c r="A48" s="80">
        <v>7</v>
      </c>
      <c r="B48" s="81">
        <v>28.163265306122401</v>
      </c>
      <c r="C48" s="82">
        <v>5.4338361225131599</v>
      </c>
      <c r="D48" s="82">
        <v>0.27588869680597899</v>
      </c>
      <c r="E48" s="75">
        <v>6.2919096034377606E-2</v>
      </c>
      <c r="G48" s="89">
        <f t="shared" si="2"/>
        <v>5.4338361225131679</v>
      </c>
      <c r="H48" s="90">
        <f t="shared" si="3"/>
        <v>63.767860205728304</v>
      </c>
      <c r="I48" s="90">
        <f t="shared" si="12"/>
        <v>6.3767860205728305E-2</v>
      </c>
      <c r="J48" s="90">
        <f t="shared" si="4"/>
        <v>27.588869680597867</v>
      </c>
      <c r="K48" s="90">
        <f t="shared" si="13"/>
        <v>0.27588869680597866</v>
      </c>
      <c r="L48" s="90">
        <f t="shared" si="5"/>
        <v>17.375799947883248</v>
      </c>
      <c r="M48" s="90">
        <f t="shared" si="14"/>
        <v>6.298119549313376E-2</v>
      </c>
      <c r="N48" s="91">
        <f t="shared" si="15"/>
        <v>0.27248522832388172</v>
      </c>
      <c r="P48" s="86">
        <f t="shared" si="6"/>
        <v>28.163265306122401</v>
      </c>
      <c r="Q48" s="47">
        <f t="shared" si="7"/>
        <v>5.4338361225131599</v>
      </c>
      <c r="R48" s="87">
        <f t="shared" si="16"/>
        <v>0.27588869680597899</v>
      </c>
      <c r="S48" s="47">
        <f t="shared" si="8"/>
        <v>6.3767860205728305E-2</v>
      </c>
      <c r="T48" s="88">
        <f t="shared" si="9"/>
        <v>5.4338361225131679</v>
      </c>
      <c r="U48" s="88">
        <f t="shared" si="10"/>
        <v>63.767860205728304</v>
      </c>
      <c r="V48" s="88">
        <f t="shared" si="11"/>
        <v>27.588869680597867</v>
      </c>
    </row>
    <row r="49" spans="1:22" x14ac:dyDescent="0.2">
      <c r="A49" s="80">
        <v>8</v>
      </c>
      <c r="B49" s="81">
        <v>32.857142857142797</v>
      </c>
      <c r="C49" s="82">
        <v>5.4224399817599203</v>
      </c>
      <c r="D49" s="82">
        <v>0.30898465173596801</v>
      </c>
      <c r="E49" s="75">
        <v>6.5405531904371095E-2</v>
      </c>
      <c r="G49" s="89">
        <f t="shared" si="2"/>
        <v>5.4224399817599274</v>
      </c>
      <c r="H49" s="90">
        <f t="shared" si="3"/>
        <v>66.017928366307402</v>
      </c>
      <c r="I49" s="90">
        <f t="shared" si="12"/>
        <v>6.6017928366307405E-2</v>
      </c>
      <c r="J49" s="90">
        <f t="shared" si="4"/>
        <v>30.898465173596822</v>
      </c>
      <c r="K49" s="90">
        <f t="shared" si="13"/>
        <v>0.30898465173596823</v>
      </c>
      <c r="L49" s="90">
        <f t="shared" si="5"/>
        <v>20.229251539095383</v>
      </c>
      <c r="M49" s="90">
        <f t="shared" si="14"/>
        <v>6.5470085408583872E-2</v>
      </c>
      <c r="N49" s="91">
        <f t="shared" si="15"/>
        <v>0.30642057452713845</v>
      </c>
      <c r="P49" s="86">
        <f t="shared" si="6"/>
        <v>32.857142857142797</v>
      </c>
      <c r="Q49" s="47">
        <f t="shared" si="7"/>
        <v>5.4224399817599203</v>
      </c>
      <c r="R49" s="87">
        <f t="shared" si="16"/>
        <v>0.30898465173596801</v>
      </c>
      <c r="S49" s="47">
        <f t="shared" si="8"/>
        <v>6.6017928366307405E-2</v>
      </c>
      <c r="T49" s="88">
        <f t="shared" si="9"/>
        <v>5.4224399817599274</v>
      </c>
      <c r="U49" s="88">
        <f t="shared" si="10"/>
        <v>66.017928366307402</v>
      </c>
      <c r="V49" s="88">
        <f t="shared" si="11"/>
        <v>30.898465173596822</v>
      </c>
    </row>
    <row r="50" spans="1:22" x14ac:dyDescent="0.2">
      <c r="A50" s="80">
        <v>9</v>
      </c>
      <c r="B50" s="81">
        <v>37.551020408163197</v>
      </c>
      <c r="C50" s="82">
        <v>5.4085154673701004</v>
      </c>
      <c r="D50" s="82">
        <v>0.33926069155848898</v>
      </c>
      <c r="E50" s="75">
        <v>6.7903649361300195E-2</v>
      </c>
      <c r="G50" s="89">
        <f t="shared" si="2"/>
        <v>5.4085154673700995</v>
      </c>
      <c r="H50" s="90">
        <f t="shared" si="3"/>
        <v>68.388760871873714</v>
      </c>
      <c r="I50" s="90">
        <f t="shared" si="12"/>
        <v>6.8388760871873719E-2</v>
      </c>
      <c r="J50" s="90">
        <f t="shared" si="4"/>
        <v>33.926069155848872</v>
      </c>
      <c r="K50" s="90">
        <f t="shared" si="13"/>
        <v>0.3392606915584887</v>
      </c>
      <c r="L50" s="90">
        <f t="shared" si="5"/>
        <v>23.059775980776898</v>
      </c>
      <c r="M50" s="90">
        <f t="shared" si="14"/>
        <v>6.7970668440382465E-2</v>
      </c>
      <c r="N50" s="91">
        <f t="shared" si="15"/>
        <v>0.3371866325225481</v>
      </c>
      <c r="P50" s="86">
        <f t="shared" si="6"/>
        <v>37.551020408163197</v>
      </c>
      <c r="Q50" s="47">
        <f t="shared" si="7"/>
        <v>5.4085154673701004</v>
      </c>
      <c r="R50" s="87">
        <f t="shared" si="16"/>
        <v>0.33926069155848898</v>
      </c>
      <c r="S50" s="47">
        <f t="shared" si="8"/>
        <v>6.8388760871873719E-2</v>
      </c>
      <c r="T50" s="88">
        <f t="shared" si="9"/>
        <v>5.4085154673700995</v>
      </c>
      <c r="U50" s="88">
        <f t="shared" si="10"/>
        <v>68.388760871873714</v>
      </c>
      <c r="V50" s="88">
        <f t="shared" si="11"/>
        <v>33.926069155848872</v>
      </c>
    </row>
    <row r="51" spans="1:22" x14ac:dyDescent="0.2">
      <c r="A51" s="80">
        <v>10</v>
      </c>
      <c r="B51" s="81">
        <v>42.244897959183596</v>
      </c>
      <c r="C51" s="82">
        <v>5.3933097383753603</v>
      </c>
      <c r="D51" s="82">
        <v>0.36704684067610299</v>
      </c>
      <c r="E51" s="75">
        <v>7.0410102579271494E-2</v>
      </c>
      <c r="G51" s="89">
        <f t="shared" si="2"/>
        <v>5.3933097383753594</v>
      </c>
      <c r="H51" s="90">
        <f t="shared" si="3"/>
        <v>70.846339052767348</v>
      </c>
      <c r="I51" s="90">
        <f t="shared" si="12"/>
        <v>7.0846339052767354E-2</v>
      </c>
      <c r="J51" s="90">
        <f t="shared" si="4"/>
        <v>36.704684067610351</v>
      </c>
      <c r="K51" s="90">
        <f t="shared" si="13"/>
        <v>0.36704684067610349</v>
      </c>
      <c r="L51" s="90">
        <f t="shared" si="5"/>
        <v>25.869312845867992</v>
      </c>
      <c r="M51" s="90">
        <f t="shared" si="14"/>
        <v>7.047959546039545E-2</v>
      </c>
      <c r="N51" s="91">
        <f t="shared" si="15"/>
        <v>0.36514678375406473</v>
      </c>
      <c r="P51" s="86">
        <f t="shared" si="6"/>
        <v>42.244897959183596</v>
      </c>
      <c r="Q51" s="47">
        <f t="shared" si="7"/>
        <v>5.3933097383753603</v>
      </c>
      <c r="R51" s="87">
        <f t="shared" si="16"/>
        <v>0.36704684067610299</v>
      </c>
      <c r="S51" s="47">
        <f t="shared" si="8"/>
        <v>7.0846339052767354E-2</v>
      </c>
      <c r="T51" s="88">
        <f t="shared" si="9"/>
        <v>5.3933097383753594</v>
      </c>
      <c r="U51" s="88">
        <f t="shared" si="10"/>
        <v>70.846339052767348</v>
      </c>
      <c r="V51" s="88">
        <f t="shared" si="11"/>
        <v>36.704684067610351</v>
      </c>
    </row>
    <row r="52" spans="1:22" x14ac:dyDescent="0.2">
      <c r="A52" s="80">
        <v>11</v>
      </c>
      <c r="B52" s="81">
        <v>46.938775510204003</v>
      </c>
      <c r="C52" s="82">
        <v>5.3777045301471604</v>
      </c>
      <c r="D52" s="82">
        <v>0.39266032510995103</v>
      </c>
      <c r="E52" s="75">
        <v>7.2918631651235993E-2</v>
      </c>
      <c r="G52" s="89">
        <f t="shared" si="2"/>
        <v>5.3777045301471711</v>
      </c>
      <c r="H52" s="90">
        <f t="shared" si="3"/>
        <v>73.358725083233708</v>
      </c>
      <c r="I52" s="90">
        <f t="shared" si="12"/>
        <v>7.3358725083233711E-2</v>
      </c>
      <c r="J52" s="90">
        <f t="shared" si="4"/>
        <v>39.266032510995153</v>
      </c>
      <c r="K52" s="90">
        <f t="shared" si="13"/>
        <v>0.39266032510995152</v>
      </c>
      <c r="L52" s="90">
        <f t="shared" si="5"/>
        <v>28.66051287644326</v>
      </c>
      <c r="M52" s="90">
        <f t="shared" si="14"/>
        <v>7.2990600383213741E-2</v>
      </c>
      <c r="N52" s="91">
        <f t="shared" si="15"/>
        <v>0.39068989876697952</v>
      </c>
      <c r="P52" s="86">
        <f t="shared" si="6"/>
        <v>46.938775510204003</v>
      </c>
      <c r="Q52" s="47">
        <f t="shared" si="7"/>
        <v>5.3777045301471604</v>
      </c>
      <c r="R52" s="87">
        <f t="shared" si="16"/>
        <v>0.39266032510995103</v>
      </c>
      <c r="S52" s="47">
        <f t="shared" si="8"/>
        <v>7.3358725083233711E-2</v>
      </c>
      <c r="T52" s="88">
        <f t="shared" si="9"/>
        <v>5.3777045301471711</v>
      </c>
      <c r="U52" s="88">
        <f t="shared" si="10"/>
        <v>73.358725083233708</v>
      </c>
      <c r="V52" s="88">
        <f t="shared" si="11"/>
        <v>39.266032510995153</v>
      </c>
    </row>
    <row r="53" spans="1:22" x14ac:dyDescent="0.2">
      <c r="A53" s="80">
        <v>12</v>
      </c>
      <c r="B53" s="81">
        <v>51.632653061224403</v>
      </c>
      <c r="C53" s="82">
        <v>5.3622425746700699</v>
      </c>
      <c r="D53" s="82">
        <v>0.41639917843332802</v>
      </c>
      <c r="E53" s="75">
        <v>7.5420233559100602E-2</v>
      </c>
      <c r="G53" s="89">
        <f t="shared" si="2"/>
        <v>5.3622425746700699</v>
      </c>
      <c r="H53" s="90">
        <f t="shared" si="3"/>
        <v>75.896061981423429</v>
      </c>
      <c r="I53" s="90">
        <f t="shared" si="12"/>
        <v>7.5896061981423429E-2</v>
      </c>
      <c r="J53" s="90">
        <f t="shared" si="4"/>
        <v>41.639917843332817</v>
      </c>
      <c r="K53" s="90">
        <f t="shared" si="13"/>
        <v>0.41639917843332819</v>
      </c>
      <c r="L53" s="90">
        <f t="shared" si="5"/>
        <v>31.435919107499206</v>
      </c>
      <c r="M53" s="90">
        <f t="shared" si="14"/>
        <v>7.5494671305007324E-2</v>
      </c>
      <c r="N53" s="91">
        <f t="shared" si="15"/>
        <v>0.41419697263335697</v>
      </c>
      <c r="P53" s="86">
        <f t="shared" si="6"/>
        <v>51.632653061224403</v>
      </c>
      <c r="Q53" s="47">
        <f t="shared" si="7"/>
        <v>5.3622425746700699</v>
      </c>
      <c r="R53" s="87">
        <f t="shared" si="16"/>
        <v>0.41639917843332802</v>
      </c>
      <c r="S53" s="47">
        <f t="shared" si="8"/>
        <v>7.5896061981423429E-2</v>
      </c>
      <c r="T53" s="88">
        <f t="shared" si="9"/>
        <v>5.3622425746700699</v>
      </c>
      <c r="U53" s="88">
        <f t="shared" si="10"/>
        <v>75.896061981423429</v>
      </c>
      <c r="V53" s="88">
        <f t="shared" si="11"/>
        <v>41.639917843332817</v>
      </c>
    </row>
    <row r="54" spans="1:22" x14ac:dyDescent="0.2">
      <c r="A54" s="80">
        <v>13</v>
      </c>
      <c r="B54" s="81">
        <v>56.326530612244902</v>
      </c>
      <c r="C54" s="82">
        <v>5.3471542426486298</v>
      </c>
      <c r="D54" s="82">
        <v>0.43853656867410001</v>
      </c>
      <c r="E54" s="75">
        <v>7.7903458597185601E-2</v>
      </c>
      <c r="G54" s="89">
        <f t="shared" si="2"/>
        <v>5.3471542426486343</v>
      </c>
      <c r="H54" s="90">
        <f t="shared" si="3"/>
        <v>78.430573609392439</v>
      </c>
      <c r="I54" s="90">
        <f t="shared" si="12"/>
        <v>7.8430573609392443E-2</v>
      </c>
      <c r="J54" s="90">
        <f t="shared" si="4"/>
        <v>43.853656867410024</v>
      </c>
      <c r="K54" s="90">
        <f t="shared" si="13"/>
        <v>0.43853656867410024</v>
      </c>
      <c r="L54" s="90">
        <f t="shared" si="5"/>
        <v>34.197233893673761</v>
      </c>
      <c r="M54" s="90">
        <f t="shared" si="14"/>
        <v>7.7980347219544055E-2</v>
      </c>
      <c r="N54" s="91">
        <f t="shared" si="15"/>
        <v>0.43601917364503984</v>
      </c>
      <c r="P54" s="86">
        <f t="shared" si="6"/>
        <v>56.326530612244909</v>
      </c>
      <c r="Q54" s="47">
        <f t="shared" si="7"/>
        <v>5.3471542426486298</v>
      </c>
      <c r="R54" s="87">
        <f t="shared" si="16"/>
        <v>0.43853656867410001</v>
      </c>
      <c r="S54" s="47">
        <f t="shared" si="8"/>
        <v>7.8430573609392443E-2</v>
      </c>
      <c r="T54" s="88">
        <f t="shared" si="9"/>
        <v>5.3471542426486343</v>
      </c>
      <c r="U54" s="88">
        <f t="shared" si="10"/>
        <v>78.430573609392454</v>
      </c>
      <c r="V54" s="88">
        <f t="shared" si="11"/>
        <v>43.853656867410017</v>
      </c>
    </row>
    <row r="55" spans="1:22" x14ac:dyDescent="0.2">
      <c r="A55" s="80">
        <v>14</v>
      </c>
      <c r="B55" s="81">
        <v>61.020408163265301</v>
      </c>
      <c r="C55" s="82">
        <v>5.3323844074481297</v>
      </c>
      <c r="D55" s="82">
        <v>0.45931584618594701</v>
      </c>
      <c r="E55" s="75">
        <v>8.0354826696515405E-2</v>
      </c>
      <c r="G55" s="89">
        <f t="shared" si="2"/>
        <v>5.3323844074481332</v>
      </c>
      <c r="H55" s="90">
        <f t="shared" si="3"/>
        <v>80.936564673101813</v>
      </c>
      <c r="I55" s="90">
        <f t="shared" si="12"/>
        <v>8.0936564673101813E-2</v>
      </c>
      <c r="J55" s="90">
        <f t="shared" si="4"/>
        <v>45.931584618594748</v>
      </c>
      <c r="K55" s="90">
        <f t="shared" si="13"/>
        <v>0.45931584618594745</v>
      </c>
      <c r="L55" s="90">
        <f t="shared" si="5"/>
        <v>36.944672666484266</v>
      </c>
      <c r="M55" s="90">
        <f t="shared" si="14"/>
        <v>8.0434134753382194E-2</v>
      </c>
      <c r="N55" s="91">
        <f t="shared" si="15"/>
        <v>0.45646455116672791</v>
      </c>
      <c r="P55" s="86">
        <f t="shared" si="6"/>
        <v>61.020408163265301</v>
      </c>
      <c r="Q55" s="47">
        <f t="shared" si="7"/>
        <v>5.3323844074481297</v>
      </c>
      <c r="R55" s="87">
        <f t="shared" si="16"/>
        <v>0.45931584618594701</v>
      </c>
      <c r="S55" s="47">
        <f t="shared" si="8"/>
        <v>8.0936564673101813E-2</v>
      </c>
      <c r="T55" s="88">
        <f t="shared" si="9"/>
        <v>5.3323844074481332</v>
      </c>
      <c r="U55" s="88">
        <f t="shared" si="10"/>
        <v>80.936564673101813</v>
      </c>
      <c r="V55" s="88">
        <f t="shared" si="11"/>
        <v>45.931584618594748</v>
      </c>
    </row>
    <row r="56" spans="1:22" x14ac:dyDescent="0.2">
      <c r="A56" s="80">
        <v>15</v>
      </c>
      <c r="B56" s="81">
        <v>65.714285714285694</v>
      </c>
      <c r="C56" s="82">
        <v>5.3176195308688596</v>
      </c>
      <c r="D56" s="82">
        <v>0.47894631248844599</v>
      </c>
      <c r="E56" s="75">
        <v>8.2759347510473605E-2</v>
      </c>
      <c r="G56" s="89">
        <f t="shared" si="2"/>
        <v>5.3176195308688641</v>
      </c>
      <c r="H56" s="90">
        <f t="shared" si="3"/>
        <v>83.390420722418</v>
      </c>
      <c r="I56" s="90">
        <f t="shared" si="12"/>
        <v>8.3390420722417993E-2</v>
      </c>
      <c r="J56" s="90">
        <f t="shared" si="4"/>
        <v>47.894631248844597</v>
      </c>
      <c r="K56" s="90">
        <f t="shared" si="13"/>
        <v>0.47894631248844599</v>
      </c>
      <c r="L56" s="90">
        <f t="shared" si="5"/>
        <v>39.676405249667347</v>
      </c>
      <c r="M56" s="90">
        <f t="shared" si="14"/>
        <v>8.2841028764835706E-2</v>
      </c>
      <c r="N56" s="91">
        <f t="shared" si="15"/>
        <v>0.47579092305743775</v>
      </c>
      <c r="P56" s="86">
        <f t="shared" si="6"/>
        <v>65.714285714285694</v>
      </c>
      <c r="Q56" s="47">
        <f t="shared" si="7"/>
        <v>5.3176195308688596</v>
      </c>
      <c r="R56" s="87">
        <f t="shared" si="16"/>
        <v>0.47894631248844599</v>
      </c>
      <c r="S56" s="47">
        <f t="shared" si="8"/>
        <v>8.3390420722417993E-2</v>
      </c>
      <c r="T56" s="88">
        <f t="shared" si="9"/>
        <v>5.3176195308688641</v>
      </c>
      <c r="U56" s="88">
        <f t="shared" si="10"/>
        <v>83.390420722418</v>
      </c>
      <c r="V56" s="88">
        <f t="shared" si="11"/>
        <v>47.894631248844597</v>
      </c>
    </row>
    <row r="57" spans="1:22" x14ac:dyDescent="0.2">
      <c r="A57" s="80">
        <v>16</v>
      </c>
      <c r="B57" s="81">
        <v>70.408163265306101</v>
      </c>
      <c r="C57" s="82">
        <v>5.3023149707541597</v>
      </c>
      <c r="D57" s="82">
        <v>0.49759971007597498</v>
      </c>
      <c r="E57" s="75">
        <v>8.5101116520703596E-2</v>
      </c>
      <c r="G57" s="89">
        <f t="shared" si="2"/>
        <v>5.3023149707541624</v>
      </c>
      <c r="H57" s="90">
        <f t="shared" si="3"/>
        <v>85.77060815111264</v>
      </c>
      <c r="I57" s="90">
        <f t="shared" si="12"/>
        <v>8.5770608151112634E-2</v>
      </c>
      <c r="J57" s="90">
        <f t="shared" si="4"/>
        <v>49.759971007597507</v>
      </c>
      <c r="K57" s="90">
        <f t="shared" si="13"/>
        <v>0.49759971007597509</v>
      </c>
      <c r="L57" s="90">
        <f t="shared" si="5"/>
        <v>42.388085560206228</v>
      </c>
      <c r="M57" s="90">
        <f t="shared" si="14"/>
        <v>8.5185109038215245E-2</v>
      </c>
      <c r="N57" s="91">
        <f t="shared" si="15"/>
        <v>0.49420292654945291</v>
      </c>
      <c r="P57" s="86">
        <f t="shared" si="6"/>
        <v>70.408163265306101</v>
      </c>
      <c r="Q57" s="47">
        <f t="shared" si="7"/>
        <v>5.3023149707541597</v>
      </c>
      <c r="R57" s="87">
        <f t="shared" si="16"/>
        <v>0.49759971007597498</v>
      </c>
      <c r="S57" s="47">
        <f t="shared" si="8"/>
        <v>8.5770608151112634E-2</v>
      </c>
      <c r="T57" s="88">
        <f t="shared" si="9"/>
        <v>5.3023149707541624</v>
      </c>
      <c r="U57" s="88">
        <f t="shared" si="10"/>
        <v>85.77060815111264</v>
      </c>
      <c r="V57" s="88">
        <f t="shared" si="11"/>
        <v>49.759971007597507</v>
      </c>
    </row>
    <row r="58" spans="1:22" x14ac:dyDescent="0.2">
      <c r="A58" s="80">
        <v>17</v>
      </c>
      <c r="B58" s="81">
        <v>75.102040816326493</v>
      </c>
      <c r="C58" s="82">
        <v>5.2857225104321204</v>
      </c>
      <c r="D58" s="82">
        <v>0.51540743319546101</v>
      </c>
      <c r="E58" s="75">
        <v>8.7363949696120796E-2</v>
      </c>
      <c r="G58" s="89">
        <f t="shared" si="2"/>
        <v>5.2857225104321239</v>
      </c>
      <c r="H58" s="90">
        <f t="shared" si="3"/>
        <v>88.05767419686272</v>
      </c>
      <c r="I58" s="90">
        <f t="shared" si="12"/>
        <v>8.8057674196862723E-2</v>
      </c>
      <c r="J58" s="90">
        <f t="shared" si="4"/>
        <v>51.540743319546131</v>
      </c>
      <c r="K58" s="90">
        <f t="shared" si="13"/>
        <v>0.51540743319546134</v>
      </c>
      <c r="L58" s="90">
        <f t="shared" si="5"/>
        <v>45.07247052263034</v>
      </c>
      <c r="M58" s="90">
        <f t="shared" si="14"/>
        <v>8.7450175569232055E-2</v>
      </c>
      <c r="N58" s="91">
        <f t="shared" si="15"/>
        <v>0.5118517032583193</v>
      </c>
      <c r="P58" s="86">
        <f t="shared" si="6"/>
        <v>75.102040816326493</v>
      </c>
      <c r="Q58" s="47">
        <f t="shared" si="7"/>
        <v>5.2857225104321204</v>
      </c>
      <c r="R58" s="87">
        <f t="shared" si="16"/>
        <v>0.51540743319546101</v>
      </c>
      <c r="S58" s="47">
        <f t="shared" si="8"/>
        <v>8.8057674196862723E-2</v>
      </c>
      <c r="T58" s="88">
        <f t="shared" si="9"/>
        <v>5.2857225104321239</v>
      </c>
      <c r="U58" s="88">
        <f t="shared" si="10"/>
        <v>88.05767419686272</v>
      </c>
      <c r="V58" s="88">
        <f t="shared" si="11"/>
        <v>51.540743319546131</v>
      </c>
    </row>
    <row r="59" spans="1:22" x14ac:dyDescent="0.2">
      <c r="A59" s="80">
        <v>18</v>
      </c>
      <c r="B59" s="81">
        <v>79.7959183673469</v>
      </c>
      <c r="C59" s="82">
        <v>5.2669181099909803</v>
      </c>
      <c r="D59" s="82">
        <v>0.53245845959295401</v>
      </c>
      <c r="E59" s="75">
        <v>8.9532013444575398E-2</v>
      </c>
      <c r="G59" s="89">
        <f t="shared" si="2"/>
        <v>5.2669181099909812</v>
      </c>
      <c r="H59" s="90">
        <f t="shared" si="3"/>
        <v>90.234246941250362</v>
      </c>
      <c r="I59" s="90">
        <f t="shared" si="12"/>
        <v>9.0234246941250359E-2</v>
      </c>
      <c r="J59" s="90">
        <f t="shared" si="4"/>
        <v>53.245845959295401</v>
      </c>
      <c r="K59" s="90">
        <f t="shared" si="13"/>
        <v>0.53245845959295401</v>
      </c>
      <c r="L59" s="90">
        <f t="shared" si="5"/>
        <v>47.719129024172084</v>
      </c>
      <c r="M59" s="90">
        <f t="shared" si="14"/>
        <v>8.9620379138405842E-2</v>
      </c>
      <c r="N59" s="91">
        <f t="shared" si="15"/>
        <v>0.52883611978544043</v>
      </c>
      <c r="P59" s="86">
        <f t="shared" si="6"/>
        <v>79.7959183673469</v>
      </c>
      <c r="Q59" s="47">
        <f t="shared" si="7"/>
        <v>5.2669181099909803</v>
      </c>
      <c r="R59" s="87">
        <f t="shared" si="16"/>
        <v>0.53245845959295401</v>
      </c>
      <c r="S59" s="47">
        <f t="shared" si="8"/>
        <v>9.0234246941250359E-2</v>
      </c>
      <c r="T59" s="88">
        <f t="shared" si="9"/>
        <v>5.2669181099909812</v>
      </c>
      <c r="U59" s="88">
        <f t="shared" si="10"/>
        <v>90.234246941250362</v>
      </c>
      <c r="V59" s="88">
        <f t="shared" si="11"/>
        <v>53.245845959295401</v>
      </c>
    </row>
    <row r="60" spans="1:22" x14ac:dyDescent="0.2">
      <c r="A60" s="80">
        <v>19</v>
      </c>
      <c r="B60" s="81">
        <v>84.489795918367307</v>
      </c>
      <c r="C60" s="82">
        <v>5.2448298793881802</v>
      </c>
      <c r="D60" s="82">
        <v>0.54879800322903205</v>
      </c>
      <c r="E60" s="75">
        <v>9.1590405942191894E-2</v>
      </c>
      <c r="G60" s="89">
        <f t="shared" si="2"/>
        <v>5.2448298793881847</v>
      </c>
      <c r="H60" s="90">
        <f t="shared" si="3"/>
        <v>92.285035309763046</v>
      </c>
      <c r="I60" s="90">
        <f t="shared" si="12"/>
        <v>9.228503530976305E-2</v>
      </c>
      <c r="J60" s="90">
        <f t="shared" si="4"/>
        <v>54.879800322903201</v>
      </c>
      <c r="K60" s="90">
        <f t="shared" si="13"/>
        <v>0.54879800322903205</v>
      </c>
      <c r="L60" s="90">
        <f t="shared" si="5"/>
        <v>50.314241738365425</v>
      </c>
      <c r="M60" s="90">
        <f t="shared" si="14"/>
        <v>9.1680803214161069E-2</v>
      </c>
      <c r="N60" s="91">
        <f t="shared" si="15"/>
        <v>0.54520477311929427</v>
      </c>
      <c r="P60" s="86">
        <f t="shared" si="6"/>
        <v>84.489795918367307</v>
      </c>
      <c r="Q60" s="47">
        <f t="shared" si="7"/>
        <v>5.2448298793881802</v>
      </c>
      <c r="R60" s="87">
        <f t="shared" si="16"/>
        <v>0.54879800322903205</v>
      </c>
      <c r="S60" s="47">
        <f t="shared" si="8"/>
        <v>9.228503530976305E-2</v>
      </c>
      <c r="T60" s="88">
        <f t="shared" si="9"/>
        <v>5.2448298793881847</v>
      </c>
      <c r="U60" s="88">
        <f t="shared" si="10"/>
        <v>92.285035309763046</v>
      </c>
      <c r="V60" s="88">
        <f t="shared" si="11"/>
        <v>54.879800322903201</v>
      </c>
    </row>
    <row r="61" spans="1:22" x14ac:dyDescent="0.2">
      <c r="A61" s="80">
        <v>20</v>
      </c>
      <c r="B61" s="81">
        <v>89.183673469387699</v>
      </c>
      <c r="C61" s="82">
        <v>5.2182662733931497</v>
      </c>
      <c r="D61" s="82">
        <v>0.56442688796304497</v>
      </c>
      <c r="E61" s="75">
        <v>9.3525650610713607E-2</v>
      </c>
      <c r="G61" s="89">
        <f t="shared" si="2"/>
        <v>5.2182662733931569</v>
      </c>
      <c r="H61" s="90">
        <f t="shared" si="3"/>
        <v>94.196829071793388</v>
      </c>
      <c r="I61" s="90">
        <f t="shared" si="12"/>
        <v>9.4196829071793386E-2</v>
      </c>
      <c r="J61" s="90">
        <f t="shared" si="4"/>
        <v>56.442688796304502</v>
      </c>
      <c r="K61" s="90">
        <f t="shared" si="13"/>
        <v>0.56442688796304497</v>
      </c>
      <c r="L61" s="90">
        <f t="shared" si="5"/>
        <v>52.840492644671713</v>
      </c>
      <c r="M61" s="90">
        <f t="shared" si="14"/>
        <v>9.3617957917219857E-2</v>
      </c>
      <c r="N61" s="91">
        <f t="shared" si="15"/>
        <v>0.56095829515023921</v>
      </c>
      <c r="P61" s="86">
        <f t="shared" si="6"/>
        <v>89.183673469387699</v>
      </c>
      <c r="Q61" s="47">
        <f t="shared" si="7"/>
        <v>5.2182662733931497</v>
      </c>
      <c r="R61" s="87">
        <f t="shared" si="16"/>
        <v>0.56442688796304497</v>
      </c>
      <c r="S61" s="47">
        <f t="shared" si="8"/>
        <v>9.4196829071793386E-2</v>
      </c>
      <c r="T61" s="88">
        <f t="shared" si="9"/>
        <v>5.2182662733931569</v>
      </c>
      <c r="U61" s="88">
        <f t="shared" si="10"/>
        <v>94.196829071793388</v>
      </c>
      <c r="V61" s="88">
        <f t="shared" si="11"/>
        <v>56.442688796304502</v>
      </c>
    </row>
    <row r="62" spans="1:22" x14ac:dyDescent="0.2">
      <c r="A62" s="80">
        <v>21</v>
      </c>
      <c r="B62" s="81">
        <v>93.877551020408106</v>
      </c>
      <c r="C62" s="82">
        <v>5.1859445083637397</v>
      </c>
      <c r="D62" s="82">
        <v>0.57930164220618396</v>
      </c>
      <c r="E62" s="75">
        <v>9.5326071728506795E-2</v>
      </c>
      <c r="G62" s="89">
        <f t="shared" si="2"/>
        <v>5.1859445083637423</v>
      </c>
      <c r="H62" s="90">
        <f t="shared" si="3"/>
        <v>95.958498840639479</v>
      </c>
      <c r="I62" s="90">
        <f t="shared" si="12"/>
        <v>9.5958498840639478E-2</v>
      </c>
      <c r="J62" s="90">
        <f t="shared" si="4"/>
        <v>57.930164220618437</v>
      </c>
      <c r="K62" s="90">
        <f t="shared" si="13"/>
        <v>0.57930164220618441</v>
      </c>
      <c r="L62" s="90">
        <f t="shared" si="5"/>
        <v>55.277053071717212</v>
      </c>
      <c r="M62" s="90">
        <f t="shared" si="14"/>
        <v>9.5420156002325063E-2</v>
      </c>
      <c r="N62" s="91">
        <f t="shared" si="15"/>
        <v>0.57605166545505371</v>
      </c>
      <c r="P62" s="86">
        <f t="shared" si="6"/>
        <v>93.877551020408106</v>
      </c>
      <c r="Q62" s="47">
        <f t="shared" si="7"/>
        <v>5.1859445083637397</v>
      </c>
      <c r="R62" s="87">
        <f t="shared" si="16"/>
        <v>0.57930164220618396</v>
      </c>
      <c r="S62" s="47">
        <f t="shared" si="8"/>
        <v>9.5958498840639478E-2</v>
      </c>
      <c r="T62" s="88">
        <f t="shared" si="9"/>
        <v>5.1859445083637423</v>
      </c>
      <c r="U62" s="88">
        <f t="shared" si="10"/>
        <v>95.958498840639479</v>
      </c>
      <c r="V62" s="88">
        <f t="shared" si="11"/>
        <v>57.930164220618437</v>
      </c>
    </row>
    <row r="63" spans="1:22" x14ac:dyDescent="0.2">
      <c r="A63" s="80">
        <v>22</v>
      </c>
      <c r="B63" s="81">
        <v>98.571428571428498</v>
      </c>
      <c r="C63" s="82">
        <v>5.1465192008563196</v>
      </c>
      <c r="D63" s="82">
        <v>0.59333531454338995</v>
      </c>
      <c r="E63" s="75">
        <v>9.6982034302383197E-2</v>
      </c>
      <c r="G63" s="89">
        <f t="shared" si="2"/>
        <v>5.1465192008563312</v>
      </c>
      <c r="H63" s="90">
        <f t="shared" si="3"/>
        <v>97.560996073504356</v>
      </c>
      <c r="I63" s="90">
        <f t="shared" si="12"/>
        <v>9.7560996073504352E-2</v>
      </c>
      <c r="J63" s="90">
        <f t="shared" si="4"/>
        <v>59.333531454338974</v>
      </c>
      <c r="K63" s="90">
        <f t="shared" si="13"/>
        <v>0.59333531454338972</v>
      </c>
      <c r="L63" s="90">
        <f t="shared" si="5"/>
        <v>57.599659091726721</v>
      </c>
      <c r="M63" s="90">
        <f t="shared" si="14"/>
        <v>9.7077752966808359E-2</v>
      </c>
      <c r="N63" s="91">
        <f t="shared" si="15"/>
        <v>0.59039638185253884</v>
      </c>
      <c r="P63" s="86">
        <f t="shared" si="6"/>
        <v>98.571428571428498</v>
      </c>
      <c r="Q63" s="47">
        <f t="shared" si="7"/>
        <v>5.1465192008563196</v>
      </c>
      <c r="R63" s="87">
        <f t="shared" si="16"/>
        <v>0.59333531454338995</v>
      </c>
      <c r="S63" s="47">
        <f t="shared" si="8"/>
        <v>9.7560996073504352E-2</v>
      </c>
      <c r="T63" s="88">
        <f t="shared" si="9"/>
        <v>5.1465192008563312</v>
      </c>
      <c r="U63" s="88">
        <f t="shared" si="10"/>
        <v>97.560996073504356</v>
      </c>
      <c r="V63" s="88">
        <f t="shared" si="11"/>
        <v>59.333531454338974</v>
      </c>
    </row>
    <row r="64" spans="1:22" x14ac:dyDescent="0.2">
      <c r="A64" s="80">
        <v>23</v>
      </c>
      <c r="B64" s="81">
        <v>103.265306122448</v>
      </c>
      <c r="C64" s="82">
        <v>5.0986112280696698</v>
      </c>
      <c r="D64" s="82">
        <v>0.60639901032408405</v>
      </c>
      <c r="E64" s="75">
        <v>9.8486043388646194E-2</v>
      </c>
      <c r="G64" s="89">
        <f t="shared" si="2"/>
        <v>5.0986112280696823</v>
      </c>
      <c r="H64" s="90">
        <f t="shared" si="3"/>
        <v>98.997353071496335</v>
      </c>
      <c r="I64" s="90">
        <f t="shared" si="12"/>
        <v>9.8997353071496333E-2</v>
      </c>
      <c r="J64" s="90">
        <f t="shared" si="4"/>
        <v>60.639901032408211</v>
      </c>
      <c r="K64" s="90">
        <f t="shared" si="13"/>
        <v>0.60639901032408217</v>
      </c>
      <c r="L64" s="90">
        <f t="shared" si="5"/>
        <v>59.780783093739778</v>
      </c>
      <c r="M64" s="90">
        <f t="shared" si="14"/>
        <v>9.8583246469664751E-2</v>
      </c>
      <c r="N64" s="91">
        <f t="shared" si="15"/>
        <v>0.60386243913577997</v>
      </c>
      <c r="P64" s="86">
        <f t="shared" si="6"/>
        <v>103.265306122448</v>
      </c>
      <c r="Q64" s="47">
        <f t="shared" si="7"/>
        <v>5.0986112280696698</v>
      </c>
      <c r="R64" s="87">
        <f t="shared" si="16"/>
        <v>0.60639901032408405</v>
      </c>
      <c r="S64" s="47">
        <f t="shared" si="8"/>
        <v>9.8997353071496333E-2</v>
      </c>
      <c r="T64" s="88">
        <f t="shared" si="9"/>
        <v>5.0986112280696823</v>
      </c>
      <c r="U64" s="88">
        <f t="shared" si="10"/>
        <v>98.997353071496335</v>
      </c>
      <c r="V64" s="88">
        <f t="shared" si="11"/>
        <v>60.639901032408211</v>
      </c>
    </row>
    <row r="65" spans="1:22" x14ac:dyDescent="0.2">
      <c r="A65" s="80">
        <v>24</v>
      </c>
      <c r="B65" s="81">
        <v>107.959183673469</v>
      </c>
      <c r="C65" s="82">
        <v>5.0408368101223697</v>
      </c>
      <c r="D65" s="82">
        <v>0.61832414922174705</v>
      </c>
      <c r="E65" s="75">
        <v>9.9832710074693604E-2</v>
      </c>
      <c r="G65" s="89">
        <f t="shared" si="2"/>
        <v>5.0408368101223813</v>
      </c>
      <c r="H65" s="90">
        <f t="shared" si="3"/>
        <v>100.26268297962974</v>
      </c>
      <c r="I65" s="90">
        <f t="shared" si="12"/>
        <v>0.10026268297962974</v>
      </c>
      <c r="J65" s="90">
        <f t="shared" si="4"/>
        <v>61.832414922174628</v>
      </c>
      <c r="K65" s="90">
        <f t="shared" si="13"/>
        <v>0.61832414922174628</v>
      </c>
      <c r="L65" s="90">
        <f t="shared" si="5"/>
        <v>61.789900363194079</v>
      </c>
      <c r="M65" s="90">
        <f t="shared" si="14"/>
        <v>9.9931242279580931E-2</v>
      </c>
      <c r="N65" s="91">
        <f t="shared" si="15"/>
        <v>0.61628014059575742</v>
      </c>
      <c r="P65" s="86">
        <f t="shared" si="6"/>
        <v>107.959183673469</v>
      </c>
      <c r="Q65" s="47">
        <f t="shared" si="7"/>
        <v>5.0408368101223697</v>
      </c>
      <c r="R65" s="87">
        <f t="shared" si="16"/>
        <v>0.61832414922174705</v>
      </c>
      <c r="S65" s="47">
        <f t="shared" si="8"/>
        <v>0.10026268297962974</v>
      </c>
      <c r="T65" s="88">
        <f t="shared" si="9"/>
        <v>5.0408368101223813</v>
      </c>
      <c r="U65" s="88">
        <f t="shared" si="10"/>
        <v>100.26268297962974</v>
      </c>
      <c r="V65" s="88">
        <f t="shared" si="11"/>
        <v>61.832414922174628</v>
      </c>
    </row>
    <row r="66" spans="1:22" x14ac:dyDescent="0.2">
      <c r="A66" s="80">
        <v>25</v>
      </c>
      <c r="B66" s="81">
        <v>112.65306122448899</v>
      </c>
      <c r="C66" s="82">
        <v>4.9718368141640896</v>
      </c>
      <c r="D66" s="82">
        <v>0.62890544376231206</v>
      </c>
      <c r="E66" s="75">
        <v>0.10101860078968</v>
      </c>
      <c r="G66" s="89">
        <f t="shared" si="2"/>
        <v>4.9718368141641163</v>
      </c>
      <c r="H66" s="90">
        <f t="shared" si="3"/>
        <v>101.35417978682295</v>
      </c>
      <c r="I66" s="90">
        <f t="shared" si="12"/>
        <v>0.10135417978682296</v>
      </c>
      <c r="J66" s="90">
        <f t="shared" si="4"/>
        <v>62.890544376231041</v>
      </c>
      <c r="K66" s="90">
        <f t="shared" si="13"/>
        <v>0.62890544376231039</v>
      </c>
      <c r="L66" s="90">
        <f t="shared" si="5"/>
        <v>63.593851495455525</v>
      </c>
      <c r="M66" s="90">
        <f t="shared" si="14"/>
        <v>0.10111830343686816</v>
      </c>
      <c r="N66" s="91">
        <f t="shared" si="15"/>
        <v>0.62744182459185915</v>
      </c>
      <c r="P66" s="86">
        <f t="shared" si="6"/>
        <v>112.65306122448899</v>
      </c>
      <c r="Q66" s="47">
        <f t="shared" si="7"/>
        <v>4.9718368141640896</v>
      </c>
      <c r="R66" s="87">
        <f t="shared" si="16"/>
        <v>0.62890544376231206</v>
      </c>
      <c r="S66" s="47">
        <f t="shared" si="8"/>
        <v>0.10135417978682296</v>
      </c>
      <c r="T66" s="88">
        <f t="shared" si="9"/>
        <v>4.9718368141641163</v>
      </c>
      <c r="U66" s="88">
        <f t="shared" si="10"/>
        <v>101.35417978682295</v>
      </c>
      <c r="V66" s="88">
        <f t="shared" si="11"/>
        <v>62.890544376231041</v>
      </c>
    </row>
    <row r="67" spans="1:22" x14ac:dyDescent="0.2">
      <c r="A67" s="80">
        <v>26</v>
      </c>
      <c r="B67" s="81">
        <v>117.34693877551</v>
      </c>
      <c r="C67" s="82">
        <v>4.8903062803203996</v>
      </c>
      <c r="D67" s="82">
        <v>0.63790459882140205</v>
      </c>
      <c r="E67" s="75">
        <v>0.102041992630103</v>
      </c>
      <c r="G67" s="89">
        <f t="shared" si="2"/>
        <v>4.8903062803204067</v>
      </c>
      <c r="H67" s="90">
        <f t="shared" si="3"/>
        <v>102.2711183259006</v>
      </c>
      <c r="I67" s="90">
        <f t="shared" si="12"/>
        <v>0.10227111832590061</v>
      </c>
      <c r="J67" s="90">
        <f t="shared" si="4"/>
        <v>63.790459882140283</v>
      </c>
      <c r="K67" s="90">
        <f t="shared" si="13"/>
        <v>0.63790459882140282</v>
      </c>
      <c r="L67" s="90">
        <f t="shared" si="5"/>
        <v>65.157301470892975</v>
      </c>
      <c r="M67" s="90">
        <f t="shared" si="14"/>
        <v>0.10214270533756627</v>
      </c>
      <c r="N67" s="91">
        <f t="shared" si="15"/>
        <v>0.63710363724840202</v>
      </c>
      <c r="P67" s="86">
        <f t="shared" si="6"/>
        <v>117.34693877550998</v>
      </c>
      <c r="Q67" s="47">
        <f t="shared" si="7"/>
        <v>4.8903062803203996</v>
      </c>
      <c r="R67" s="87">
        <f t="shared" si="16"/>
        <v>0.63790459882140205</v>
      </c>
      <c r="S67" s="47">
        <f t="shared" si="8"/>
        <v>0.10227111832590061</v>
      </c>
      <c r="T67" s="88">
        <f t="shared" si="9"/>
        <v>4.8903062803204076</v>
      </c>
      <c r="U67" s="88">
        <f t="shared" si="10"/>
        <v>102.27111832590057</v>
      </c>
      <c r="V67" s="88">
        <f t="shared" si="11"/>
        <v>63.790459882140254</v>
      </c>
    </row>
    <row r="68" spans="1:22" x14ac:dyDescent="0.2">
      <c r="A68" s="80">
        <v>27</v>
      </c>
      <c r="B68" s="81">
        <v>122.04081632653001</v>
      </c>
      <c r="C68" s="82">
        <v>4.7950241694713096</v>
      </c>
      <c r="D68" s="82">
        <v>0.64505473209040198</v>
      </c>
      <c r="E68" s="75">
        <v>0.102902559777965</v>
      </c>
      <c r="G68" s="89">
        <f t="shared" si="2"/>
        <v>4.795024169471322</v>
      </c>
      <c r="H68" s="90">
        <f t="shared" si="3"/>
        <v>103.01485427359175</v>
      </c>
      <c r="I68" s="90">
        <f t="shared" si="12"/>
        <v>0.10301485427359175</v>
      </c>
      <c r="J68" s="90">
        <f t="shared" si="4"/>
        <v>64.505473209040218</v>
      </c>
      <c r="K68" s="90">
        <f t="shared" si="13"/>
        <v>0.64505473209040221</v>
      </c>
      <c r="L68" s="90">
        <f t="shared" si="5"/>
        <v>66.443296219064067</v>
      </c>
      <c r="M68" s="90">
        <f t="shared" si="14"/>
        <v>0.10300412184210171</v>
      </c>
      <c r="N68" s="91">
        <f t="shared" si="15"/>
        <v>0.64498752813454263</v>
      </c>
      <c r="P68" s="86">
        <f t="shared" si="6"/>
        <v>122.04081632653001</v>
      </c>
      <c r="Q68" s="47">
        <f t="shared" si="7"/>
        <v>4.7950241694713096</v>
      </c>
      <c r="R68" s="87">
        <f t="shared" si="16"/>
        <v>0.64505473209040198</v>
      </c>
      <c r="S68" s="47">
        <f t="shared" si="8"/>
        <v>0.10301485427359175</v>
      </c>
      <c r="T68" s="88">
        <f t="shared" si="9"/>
        <v>4.795024169471322</v>
      </c>
      <c r="U68" s="88">
        <f t="shared" si="10"/>
        <v>103.01485427359175</v>
      </c>
      <c r="V68" s="88">
        <f t="shared" si="11"/>
        <v>64.505473209040218</v>
      </c>
    </row>
    <row r="69" spans="1:22" x14ac:dyDescent="0.2">
      <c r="A69" s="80">
        <v>28</v>
      </c>
      <c r="B69" s="81">
        <v>126.734693877551</v>
      </c>
      <c r="C69" s="82">
        <v>4.6848833328635404</v>
      </c>
      <c r="D69" s="82">
        <v>0.65006551551134995</v>
      </c>
      <c r="E69" s="75">
        <v>0.103601015236112</v>
      </c>
      <c r="G69" s="89">
        <f t="shared" si="2"/>
        <v>4.6848833328635422</v>
      </c>
      <c r="H69" s="90">
        <f t="shared" si="3"/>
        <v>103.58882415053148</v>
      </c>
      <c r="I69" s="90">
        <f t="shared" si="12"/>
        <v>0.10358882415053149</v>
      </c>
      <c r="J69" s="90">
        <f t="shared" si="4"/>
        <v>65.006551551134976</v>
      </c>
      <c r="K69" s="90">
        <f t="shared" si="13"/>
        <v>0.65006551551134972</v>
      </c>
      <c r="L69" s="90">
        <f t="shared" si="5"/>
        <v>67.413917499617369</v>
      </c>
      <c r="M69" s="90">
        <f t="shared" si="14"/>
        <v>0.10370326665703646</v>
      </c>
      <c r="N69" s="91">
        <f t="shared" si="15"/>
        <v>0.65078369266605385</v>
      </c>
      <c r="P69" s="86">
        <f t="shared" si="6"/>
        <v>126.734693877551</v>
      </c>
      <c r="Q69" s="47">
        <f t="shared" si="7"/>
        <v>4.6848833328635404</v>
      </c>
      <c r="R69" s="87">
        <f t="shared" si="16"/>
        <v>0.65006551551134995</v>
      </c>
      <c r="S69" s="47">
        <f t="shared" si="8"/>
        <v>0.10358882415053149</v>
      </c>
      <c r="T69" s="88">
        <f t="shared" si="9"/>
        <v>4.6848833328635422</v>
      </c>
      <c r="U69" s="88">
        <f t="shared" si="10"/>
        <v>103.58882415053148</v>
      </c>
      <c r="V69" s="88">
        <f t="shared" si="11"/>
        <v>65.006551551134976</v>
      </c>
    </row>
    <row r="70" spans="1:22" x14ac:dyDescent="0.2">
      <c r="A70" s="80">
        <v>29</v>
      </c>
      <c r="B70" s="81">
        <v>131.42857142857099</v>
      </c>
      <c r="C70" s="82">
        <v>4.5589207035564296</v>
      </c>
      <c r="D70" s="82">
        <v>0.65262903768067004</v>
      </c>
      <c r="E70" s="75">
        <v>0.104138728743357</v>
      </c>
      <c r="G70" s="89">
        <f t="shared" si="2"/>
        <v>4.558920703556451</v>
      </c>
      <c r="H70" s="90">
        <f t="shared" si="3"/>
        <v>103.99854532125966</v>
      </c>
      <c r="I70" s="90">
        <f t="shared" si="12"/>
        <v>0.10399854532125966</v>
      </c>
      <c r="J70" s="90">
        <f t="shared" si="4"/>
        <v>65.262903768067048</v>
      </c>
      <c r="K70" s="90">
        <f t="shared" si="13"/>
        <v>0.65262903768067049</v>
      </c>
      <c r="L70" s="90">
        <f t="shared" si="5"/>
        <v>68.031036927475782</v>
      </c>
      <c r="M70" s="90">
        <f t="shared" si="14"/>
        <v>0.10424151087307761</v>
      </c>
      <c r="N70" s="91">
        <f t="shared" si="15"/>
        <v>0.65415373568276924</v>
      </c>
      <c r="P70" s="86">
        <f t="shared" si="6"/>
        <v>131.42857142857099</v>
      </c>
      <c r="Q70" s="47">
        <f t="shared" si="7"/>
        <v>4.5589207035564296</v>
      </c>
      <c r="R70" s="87">
        <f t="shared" si="16"/>
        <v>0.65262903768067004</v>
      </c>
      <c r="S70" s="47">
        <f t="shared" si="8"/>
        <v>0.10399854532125966</v>
      </c>
      <c r="T70" s="88">
        <f t="shared" si="9"/>
        <v>4.558920703556451</v>
      </c>
      <c r="U70" s="88">
        <f t="shared" si="10"/>
        <v>103.99854532125966</v>
      </c>
      <c r="V70" s="88">
        <f t="shared" si="11"/>
        <v>65.262903768067048</v>
      </c>
    </row>
    <row r="71" spans="1:22" x14ac:dyDescent="0.2">
      <c r="A71" s="80">
        <v>30</v>
      </c>
      <c r="B71" s="81">
        <v>136.12244897959101</v>
      </c>
      <c r="C71" s="82">
        <v>4.4163477097015704</v>
      </c>
      <c r="D71" s="82">
        <v>0.65242638722174395</v>
      </c>
      <c r="E71" s="75">
        <v>0.104517336723137</v>
      </c>
      <c r="G71" s="89">
        <f t="shared" si="2"/>
        <v>4.4163477097016024</v>
      </c>
      <c r="H71" s="90">
        <f t="shared" si="3"/>
        <v>104.25161599422148</v>
      </c>
      <c r="I71" s="90">
        <f t="shared" si="12"/>
        <v>0.10425161599422147</v>
      </c>
      <c r="J71" s="90">
        <f t="shared" si="4"/>
        <v>65.242638722174405</v>
      </c>
      <c r="K71" s="90">
        <f t="shared" si="13"/>
        <v>0.65242638722174406</v>
      </c>
      <c r="L71" s="90">
        <f t="shared" si="5"/>
        <v>68.257169969904623</v>
      </c>
      <c r="M71" s="90">
        <f t="shared" si="14"/>
        <v>0.10462049252876962</v>
      </c>
      <c r="N71" s="91">
        <f t="shared" si="15"/>
        <v>0.65473488654303469</v>
      </c>
      <c r="P71" s="86">
        <f t="shared" si="6"/>
        <v>136.12244897959101</v>
      </c>
      <c r="Q71" s="47">
        <f t="shared" si="7"/>
        <v>4.4163477097015704</v>
      </c>
      <c r="R71" s="87">
        <f t="shared" si="16"/>
        <v>0.65242638722174395</v>
      </c>
      <c r="S71" s="47">
        <f t="shared" si="8"/>
        <v>0.10425161599422147</v>
      </c>
      <c r="T71" s="88">
        <f t="shared" si="9"/>
        <v>4.4163477097016024</v>
      </c>
      <c r="U71" s="88">
        <f t="shared" si="10"/>
        <v>104.25161599422148</v>
      </c>
      <c r="V71" s="88">
        <f t="shared" si="11"/>
        <v>65.242638722174405</v>
      </c>
    </row>
    <row r="72" spans="1:22" x14ac:dyDescent="0.2">
      <c r="A72" s="80">
        <v>31</v>
      </c>
      <c r="B72" s="81">
        <v>140.816326530612</v>
      </c>
      <c r="C72" s="82">
        <v>4.2565809096560399</v>
      </c>
      <c r="D72" s="82">
        <v>0.64913495712629599</v>
      </c>
      <c r="E72" s="75">
        <v>0.10473835426042701</v>
      </c>
      <c r="G72" s="89">
        <f t="shared" si="2"/>
        <v>4.2565809096560541</v>
      </c>
      <c r="H72" s="90">
        <f t="shared" si="3"/>
        <v>104.35771522176765</v>
      </c>
      <c r="I72" s="90">
        <f t="shared" si="12"/>
        <v>0.10435771522176765</v>
      </c>
      <c r="J72" s="90">
        <f t="shared" si="4"/>
        <v>64.913495712629654</v>
      </c>
      <c r="K72" s="90">
        <f t="shared" si="13"/>
        <v>0.64913495712629654</v>
      </c>
      <c r="L72" s="90">
        <f t="shared" si="5"/>
        <v>68.056430743033644</v>
      </c>
      <c r="M72" s="90">
        <f t="shared" si="14"/>
        <v>0.10484172820443638</v>
      </c>
      <c r="N72" s="91">
        <f t="shared" si="15"/>
        <v>0.65214565687269821</v>
      </c>
      <c r="P72" s="86">
        <f t="shared" si="6"/>
        <v>140.816326530612</v>
      </c>
      <c r="Q72" s="47">
        <f t="shared" si="7"/>
        <v>4.2565809096560399</v>
      </c>
      <c r="R72" s="87">
        <f t="shared" si="16"/>
        <v>0.64913495712629599</v>
      </c>
      <c r="S72" s="47">
        <f t="shared" si="8"/>
        <v>0.10435771522176765</v>
      </c>
      <c r="T72" s="88">
        <f t="shared" si="9"/>
        <v>4.2565809096560541</v>
      </c>
      <c r="U72" s="88">
        <f t="shared" si="10"/>
        <v>104.35771522176765</v>
      </c>
      <c r="V72" s="88">
        <f t="shared" si="11"/>
        <v>64.913495712629654</v>
      </c>
    </row>
    <row r="73" spans="1:22" x14ac:dyDescent="0.2">
      <c r="A73" s="80">
        <v>32</v>
      </c>
      <c r="B73" s="81">
        <v>145.510204081632</v>
      </c>
      <c r="C73" s="82">
        <v>4.0792728489294197</v>
      </c>
      <c r="D73" s="82">
        <v>0.642436470064632</v>
      </c>
      <c r="E73" s="75">
        <v>0.104802792995945</v>
      </c>
      <c r="G73" s="89">
        <f t="shared" si="2"/>
        <v>4.0792728489294463</v>
      </c>
      <c r="H73" s="90">
        <f t="shared" si="3"/>
        <v>104.32860290015374</v>
      </c>
      <c r="I73" s="90">
        <f t="shared" si="12"/>
        <v>0.10432860290015374</v>
      </c>
      <c r="J73" s="90">
        <f t="shared" si="4"/>
        <v>64.243647006463391</v>
      </c>
      <c r="K73" s="90">
        <f t="shared" si="13"/>
        <v>0.64243647006463389</v>
      </c>
      <c r="L73" s="90">
        <f t="shared" si="5"/>
        <v>67.395588435426504</v>
      </c>
      <c r="M73" s="90">
        <f t="shared" si="14"/>
        <v>0.10490623053925628</v>
      </c>
      <c r="N73" s="91">
        <f t="shared" si="15"/>
        <v>0.64599339550177359</v>
      </c>
      <c r="P73" s="86">
        <f t="shared" si="6"/>
        <v>145.510204081632</v>
      </c>
      <c r="Q73" s="47">
        <f t="shared" si="7"/>
        <v>4.0792728489294197</v>
      </c>
      <c r="R73" s="87">
        <f t="shared" si="16"/>
        <v>0.642436470064632</v>
      </c>
      <c r="S73" s="47">
        <f t="shared" si="8"/>
        <v>0.10432860290015374</v>
      </c>
      <c r="T73" s="88">
        <f t="shared" si="9"/>
        <v>4.0792728489294463</v>
      </c>
      <c r="U73" s="88">
        <f t="shared" si="10"/>
        <v>104.32860290015374</v>
      </c>
      <c r="V73" s="88">
        <f t="shared" si="11"/>
        <v>64.243647006463391</v>
      </c>
    </row>
    <row r="74" spans="1:22" x14ac:dyDescent="0.2">
      <c r="A74" s="80">
        <v>33</v>
      </c>
      <c r="B74" s="81">
        <v>150.20408163265299</v>
      </c>
      <c r="C74" s="82">
        <v>3.8843431389644398</v>
      </c>
      <c r="D74" s="82">
        <v>0.63202572466469198</v>
      </c>
      <c r="E74" s="75">
        <v>0.10471078282197301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3.8843431389644558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104.17811976954083</v>
      </c>
      <c r="I74" s="90">
        <f t="shared" si="12"/>
        <v>0.10417811976954083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63.202572466469277</v>
      </c>
      <c r="K74" s="90">
        <f t="shared" si="13"/>
        <v>0.63202572466469276</v>
      </c>
      <c r="L74" s="90">
        <f t="shared" ref="L74:L91" si="20">Подача_пласт_м3_сут*Напор_м*9.81*1000/86400</f>
        <v>66.245226186284668</v>
      </c>
      <c r="M74" s="90">
        <f t="shared" si="14"/>
        <v>0.10481412955371334</v>
      </c>
      <c r="N74" s="91">
        <f t="shared" si="15"/>
        <v>0.63588425604944709</v>
      </c>
      <c r="P74" s="86">
        <f t="shared" ref="P74:P91" si="21">Подача_пласт_м3_сут*f_50_hz/f_nom</f>
        <v>150.20408163265299</v>
      </c>
      <c r="Q74" s="47">
        <f t="shared" ref="Q74:Q91" si="22">Напор_м*(f_50_hz/f_nom)^2</f>
        <v>3.8843431389644398</v>
      </c>
      <c r="R74" s="87">
        <f t="shared" si="16"/>
        <v>0.63202572466469198</v>
      </c>
      <c r="S74" s="47">
        <f t="shared" ref="S74:S91" si="23">I74*(f_50_hz/f_nom)^3</f>
        <v>0.10417811976954083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3.8843431389644558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104.17811976954083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63.202572466469277</v>
      </c>
    </row>
    <row r="75" spans="1:22" x14ac:dyDescent="0.2">
      <c r="A75" s="80">
        <v>34</v>
      </c>
      <c r="B75" s="81">
        <v>154.89795918367301</v>
      </c>
      <c r="C75" s="82">
        <v>3.67200975775136</v>
      </c>
      <c r="D75" s="82">
        <v>0.61762006275995096</v>
      </c>
      <c r="E75" s="75">
        <v>0.104461189437973</v>
      </c>
      <c r="G75" s="89">
        <f t="shared" si="17"/>
        <v>3.6720097577513906</v>
      </c>
      <c r="H75" s="90">
        <f t="shared" si="18"/>
        <v>103.92218741399532</v>
      </c>
      <c r="I75" s="90">
        <f t="shared" si="12"/>
        <v>0.10392218741399532</v>
      </c>
      <c r="J75" s="90">
        <f t="shared" si="19"/>
        <v>61.762006275995361</v>
      </c>
      <c r="K75" s="90">
        <f t="shared" si="13"/>
        <v>0.61762006275995363</v>
      </c>
      <c r="L75" s="90">
        <f t="shared" si="20"/>
        <v>64.581003245860302</v>
      </c>
      <c r="M75" s="90">
        <f t="shared" si="14"/>
        <v>0.1045642898277425</v>
      </c>
      <c r="N75" s="91">
        <f t="shared" si="15"/>
        <v>0.62143614229932098</v>
      </c>
      <c r="P75" s="86">
        <f t="shared" si="21"/>
        <v>154.89795918367301</v>
      </c>
      <c r="Q75" s="47">
        <f t="shared" si="22"/>
        <v>3.67200975775136</v>
      </c>
      <c r="R75" s="87">
        <f t="shared" si="16"/>
        <v>0.61762006275995096</v>
      </c>
      <c r="S75" s="47">
        <f t="shared" si="23"/>
        <v>0.10392218741399532</v>
      </c>
      <c r="T75" s="88">
        <f t="shared" si="24"/>
        <v>3.6720097577513906</v>
      </c>
      <c r="U75" s="88">
        <f t="shared" si="25"/>
        <v>103.92218741399532</v>
      </c>
      <c r="V75" s="88">
        <f t="shared" si="26"/>
        <v>61.762006275995361</v>
      </c>
    </row>
    <row r="76" spans="1:22" x14ac:dyDescent="0.2">
      <c r="A76" s="80">
        <v>35</v>
      </c>
      <c r="B76" s="81">
        <v>159.591836734693</v>
      </c>
      <c r="C76" s="82">
        <v>3.44282057227595</v>
      </c>
      <c r="D76" s="82">
        <v>0.59896955760613901</v>
      </c>
      <c r="E76" s="75">
        <v>0.1040512139946</v>
      </c>
      <c r="G76" s="89">
        <f t="shared" si="17"/>
        <v>3.4428205722759988</v>
      </c>
      <c r="H76" s="90">
        <f t="shared" si="18"/>
        <v>103.57880826148853</v>
      </c>
      <c r="I76" s="90">
        <f t="shared" si="12"/>
        <v>0.10357880826148853</v>
      </c>
      <c r="J76" s="90">
        <f t="shared" si="19"/>
        <v>59.896955760614475</v>
      </c>
      <c r="K76" s="90">
        <f t="shared" si="13"/>
        <v>0.59896955760614479</v>
      </c>
      <c r="L76" s="90">
        <f t="shared" si="20"/>
        <v>62.385021245675141</v>
      </c>
      <c r="M76" s="90">
        <f t="shared" si="14"/>
        <v>0.10415390974961151</v>
      </c>
      <c r="N76" s="91">
        <f t="shared" si="15"/>
        <v>0.60229522131768354</v>
      </c>
      <c r="P76" s="86">
        <f t="shared" si="21"/>
        <v>159.591836734693</v>
      </c>
      <c r="Q76" s="47">
        <f t="shared" si="22"/>
        <v>3.44282057227595</v>
      </c>
      <c r="R76" s="87">
        <f t="shared" si="16"/>
        <v>0.59896955760613901</v>
      </c>
      <c r="S76" s="47">
        <f t="shared" si="23"/>
        <v>0.10357880826148853</v>
      </c>
      <c r="T76" s="88">
        <f t="shared" si="24"/>
        <v>3.4428205722759988</v>
      </c>
      <c r="U76" s="88">
        <f t="shared" si="25"/>
        <v>103.57880826148853</v>
      </c>
      <c r="V76" s="88">
        <f t="shared" si="26"/>
        <v>59.896955760614475</v>
      </c>
    </row>
    <row r="77" spans="1:22" x14ac:dyDescent="0.2">
      <c r="A77" s="80">
        <v>36</v>
      </c>
      <c r="B77" s="81">
        <v>164.28571428571399</v>
      </c>
      <c r="C77" s="82">
        <v>3.19768508280122</v>
      </c>
      <c r="D77" s="82">
        <v>0.57586792306680401</v>
      </c>
      <c r="E77" s="75">
        <v>0.10347595479100399</v>
      </c>
      <c r="G77" s="89">
        <f t="shared" si="17"/>
        <v>3.1976850828012369</v>
      </c>
      <c r="H77" s="90">
        <f t="shared" si="18"/>
        <v>103.16806558389737</v>
      </c>
      <c r="I77" s="90">
        <f t="shared" si="12"/>
        <v>0.10316806558389738</v>
      </c>
      <c r="J77" s="90">
        <f t="shared" si="19"/>
        <v>57.58679230668065</v>
      </c>
      <c r="K77" s="90">
        <f t="shared" si="13"/>
        <v>0.57586792306680645</v>
      </c>
      <c r="L77" s="90">
        <f t="shared" si="20"/>
        <v>59.647295406120875</v>
      </c>
      <c r="M77" s="90">
        <f t="shared" si="14"/>
        <v>0.10357808278062607</v>
      </c>
      <c r="N77" s="91">
        <f t="shared" si="15"/>
        <v>0.57815657460025804</v>
      </c>
      <c r="P77" s="86">
        <f t="shared" si="21"/>
        <v>164.28571428571399</v>
      </c>
      <c r="Q77" s="47">
        <f t="shared" si="22"/>
        <v>3.19768508280122</v>
      </c>
      <c r="R77" s="87">
        <f t="shared" si="16"/>
        <v>0.57586792306680401</v>
      </c>
      <c r="S77" s="47">
        <f t="shared" si="23"/>
        <v>0.10316806558389738</v>
      </c>
      <c r="T77" s="88">
        <f t="shared" si="24"/>
        <v>3.1976850828012369</v>
      </c>
      <c r="U77" s="88">
        <f t="shared" si="25"/>
        <v>103.16806558389737</v>
      </c>
      <c r="V77" s="88">
        <f t="shared" si="26"/>
        <v>57.58679230668065</v>
      </c>
    </row>
    <row r="78" spans="1:22" x14ac:dyDescent="0.2">
      <c r="A78" s="80">
        <v>37</v>
      </c>
      <c r="B78" s="81">
        <v>168.97959183673399</v>
      </c>
      <c r="C78" s="82">
        <v>2.9379063889828201</v>
      </c>
      <c r="D78" s="82">
        <v>0.54816414376769795</v>
      </c>
      <c r="E78" s="75">
        <v>0.102727903604045</v>
      </c>
      <c r="G78" s="89">
        <f t="shared" si="17"/>
        <v>2.9379063889828654</v>
      </c>
      <c r="H78" s="90">
        <f t="shared" si="18"/>
        <v>102.712123497004</v>
      </c>
      <c r="I78" s="90">
        <f t="shared" si="12"/>
        <v>0.102712123497004</v>
      </c>
      <c r="J78" s="90">
        <f t="shared" si="19"/>
        <v>54.816414376770354</v>
      </c>
      <c r="K78" s="90">
        <f t="shared" si="13"/>
        <v>0.5481641437677035</v>
      </c>
      <c r="L78" s="90">
        <f t="shared" si="20"/>
        <v>56.367331509029846</v>
      </c>
      <c r="M78" s="90">
        <f t="shared" si="14"/>
        <v>0.10282929328722518</v>
      </c>
      <c r="N78" s="91">
        <f t="shared" si="15"/>
        <v>0.54878946700653131</v>
      </c>
      <c r="P78" s="86">
        <f t="shared" si="21"/>
        <v>168.97959183673399</v>
      </c>
      <c r="Q78" s="47">
        <f t="shared" si="22"/>
        <v>2.9379063889828201</v>
      </c>
      <c r="R78" s="87">
        <f t="shared" si="16"/>
        <v>0.54816414376769795</v>
      </c>
      <c r="S78" s="47">
        <f t="shared" si="23"/>
        <v>0.102712123497004</v>
      </c>
      <c r="T78" s="88">
        <f t="shared" si="24"/>
        <v>2.9379063889828654</v>
      </c>
      <c r="U78" s="88">
        <f t="shared" si="25"/>
        <v>102.712123497004</v>
      </c>
      <c r="V78" s="88">
        <f t="shared" si="26"/>
        <v>54.816414376770354</v>
      </c>
    </row>
    <row r="79" spans="1:22" x14ac:dyDescent="0.2">
      <c r="A79" s="80">
        <v>38</v>
      </c>
      <c r="B79" s="81">
        <v>173.67346938775501</v>
      </c>
      <c r="C79" s="82">
        <v>2.6652133778181599</v>
      </c>
      <c r="D79" s="82">
        <v>0.51577482622000304</v>
      </c>
      <c r="E79" s="75">
        <v>0.101796339731166</v>
      </c>
      <c r="G79" s="89">
        <f t="shared" si="17"/>
        <v>2.6652133778181741</v>
      </c>
      <c r="H79" s="90">
        <f t="shared" si="18"/>
        <v>102.2352269604954</v>
      </c>
      <c r="I79" s="90">
        <f t="shared" si="12"/>
        <v>0.10223522696049539</v>
      </c>
      <c r="J79" s="90">
        <f t="shared" si="19"/>
        <v>51.577482622000502</v>
      </c>
      <c r="K79" s="90">
        <f t="shared" si="13"/>
        <v>0.51577482622000503</v>
      </c>
      <c r="L79" s="90">
        <f t="shared" si="20"/>
        <v>52.555809462804973</v>
      </c>
      <c r="M79" s="90">
        <f t="shared" si="14"/>
        <v>0.10189680998581184</v>
      </c>
      <c r="N79" s="91">
        <f t="shared" si="15"/>
        <v>0.51406751885153057</v>
      </c>
      <c r="P79" s="86">
        <f t="shared" si="21"/>
        <v>173.67346938775501</v>
      </c>
      <c r="Q79" s="47">
        <f t="shared" si="22"/>
        <v>2.6652133778181599</v>
      </c>
      <c r="R79" s="87">
        <f t="shared" si="16"/>
        <v>0.51577482622000304</v>
      </c>
      <c r="S79" s="47">
        <f t="shared" si="23"/>
        <v>0.10223522696049539</v>
      </c>
      <c r="T79" s="88">
        <f t="shared" si="24"/>
        <v>2.6652133778181741</v>
      </c>
      <c r="U79" s="88">
        <f t="shared" si="25"/>
        <v>102.2352269604954</v>
      </c>
      <c r="V79" s="88">
        <f t="shared" si="26"/>
        <v>51.577482622000502</v>
      </c>
    </row>
    <row r="80" spans="1:22" x14ac:dyDescent="0.2">
      <c r="A80" s="80">
        <v>39</v>
      </c>
      <c r="B80" s="81">
        <v>178.367346938775</v>
      </c>
      <c r="C80" s="82">
        <v>2.3817931334291198</v>
      </c>
      <c r="D80" s="82">
        <v>0.47869727091238901</v>
      </c>
      <c r="E80" s="75">
        <v>0.100666571862396</v>
      </c>
      <c r="G80" s="89">
        <f t="shared" si="17"/>
        <v>2.381793133429166</v>
      </c>
      <c r="H80" s="90">
        <f t="shared" si="18"/>
        <v>101.76370177796454</v>
      </c>
      <c r="I80" s="90">
        <f t="shared" si="12"/>
        <v>0.10176370177796454</v>
      </c>
      <c r="J80" s="90">
        <f t="shared" si="19"/>
        <v>47.869727091239326</v>
      </c>
      <c r="K80" s="90">
        <f t="shared" si="13"/>
        <v>0.47869727091239328</v>
      </c>
      <c r="L80" s="90">
        <f t="shared" si="20"/>
        <v>48.236374287682374</v>
      </c>
      <c r="M80" s="90">
        <f t="shared" si="14"/>
        <v>0.10076592706648238</v>
      </c>
      <c r="N80" s="91">
        <f t="shared" si="15"/>
        <v>0.47400373065170143</v>
      </c>
      <c r="P80" s="86">
        <f t="shared" si="21"/>
        <v>178.367346938775</v>
      </c>
      <c r="Q80" s="47">
        <f t="shared" si="22"/>
        <v>2.3817931334291198</v>
      </c>
      <c r="R80" s="87">
        <f t="shared" si="16"/>
        <v>0.47869727091238901</v>
      </c>
      <c r="S80" s="47">
        <f t="shared" si="23"/>
        <v>0.10176370177796454</v>
      </c>
      <c r="T80" s="88">
        <f t="shared" si="24"/>
        <v>2.381793133429166</v>
      </c>
      <c r="U80" s="88">
        <f t="shared" si="25"/>
        <v>101.76370177796454</v>
      </c>
      <c r="V80" s="88">
        <f t="shared" si="26"/>
        <v>47.869727091239326</v>
      </c>
    </row>
    <row r="81" spans="1:22" x14ac:dyDescent="0.2">
      <c r="A81" s="80">
        <v>40</v>
      </c>
      <c r="B81" s="81">
        <v>183.06122448979499</v>
      </c>
      <c r="C81" s="82">
        <v>2.09032356867856</v>
      </c>
      <c r="D81" s="82">
        <v>0.43702326537189301</v>
      </c>
      <c r="E81" s="75">
        <v>9.9318959694140299E-2</v>
      </c>
      <c r="G81" s="89">
        <f t="shared" si="17"/>
        <v>2.0903235686786275</v>
      </c>
      <c r="H81" s="90">
        <f t="shared" si="18"/>
        <v>101.32595459690901</v>
      </c>
      <c r="I81" s="90">
        <f t="shared" si="12"/>
        <v>0.10132595459690902</v>
      </c>
      <c r="J81" s="90">
        <f t="shared" si="19"/>
        <v>43.702326537190231</v>
      </c>
      <c r="K81" s="90">
        <f t="shared" si="13"/>
        <v>0.43702326537190234</v>
      </c>
      <c r="L81" s="90">
        <f t="shared" si="20"/>
        <v>43.447535348726156</v>
      </c>
      <c r="M81" s="90">
        <f t="shared" si="14"/>
        <v>9.9416984841190881E-2</v>
      </c>
      <c r="N81" s="91">
        <f t="shared" si="15"/>
        <v>0.42878979548297824</v>
      </c>
      <c r="P81" s="86">
        <f t="shared" si="21"/>
        <v>183.06122448979499</v>
      </c>
      <c r="Q81" s="47">
        <f t="shared" si="22"/>
        <v>2.09032356867856</v>
      </c>
      <c r="R81" s="87">
        <f t="shared" si="16"/>
        <v>0.43702326537189301</v>
      </c>
      <c r="S81" s="47">
        <f t="shared" si="23"/>
        <v>0.10132595459690902</v>
      </c>
      <c r="T81" s="88">
        <f t="shared" si="24"/>
        <v>2.0903235686786275</v>
      </c>
      <c r="U81" s="88">
        <f t="shared" si="25"/>
        <v>101.32595459690901</v>
      </c>
      <c r="V81" s="88">
        <f t="shared" si="26"/>
        <v>43.702326537190231</v>
      </c>
    </row>
    <row r="82" spans="1:22" x14ac:dyDescent="0.2">
      <c r="A82" s="80">
        <v>41</v>
      </c>
      <c r="B82" s="81">
        <v>187.75510204081601</v>
      </c>
      <c r="C82" s="82">
        <v>1.7940062786204201</v>
      </c>
      <c r="D82" s="82">
        <v>0.390953598193649</v>
      </c>
      <c r="E82" s="75">
        <v>9.7727621874920803E-2</v>
      </c>
      <c r="G82" s="89">
        <f t="shared" si="17"/>
        <v>1.7940062786204478</v>
      </c>
      <c r="H82" s="90">
        <f t="shared" si="18"/>
        <v>100.95247290873169</v>
      </c>
      <c r="I82" s="90">
        <f t="shared" si="12"/>
        <v>0.10095247290873169</v>
      </c>
      <c r="J82" s="90">
        <f t="shared" si="19"/>
        <v>39.095359819365399</v>
      </c>
      <c r="K82" s="90">
        <f t="shared" si="13"/>
        <v>0.390953598193654</v>
      </c>
      <c r="L82" s="90">
        <f t="shared" si="20"/>
        <v>38.24467466412743</v>
      </c>
      <c r="M82" s="90">
        <f t="shared" si="14"/>
        <v>9.7824076414263883E-2</v>
      </c>
      <c r="N82" s="91">
        <f t="shared" si="15"/>
        <v>0.37883841338590457</v>
      </c>
      <c r="P82" s="86">
        <f t="shared" si="21"/>
        <v>187.75510204081601</v>
      </c>
      <c r="Q82" s="47">
        <f t="shared" si="22"/>
        <v>1.7940062786204201</v>
      </c>
      <c r="R82" s="87">
        <f t="shared" si="16"/>
        <v>0.390953598193649</v>
      </c>
      <c r="S82" s="47">
        <f t="shared" si="23"/>
        <v>0.10095247290873169</v>
      </c>
      <c r="T82" s="88">
        <f t="shared" si="24"/>
        <v>1.7940062786204478</v>
      </c>
      <c r="U82" s="88">
        <f t="shared" si="25"/>
        <v>100.95247290873169</v>
      </c>
      <c r="V82" s="88">
        <f t="shared" si="26"/>
        <v>39.095359819365399</v>
      </c>
    </row>
    <row r="83" spans="1:22" x14ac:dyDescent="0.2">
      <c r="A83" s="80">
        <v>42</v>
      </c>
      <c r="B83" s="81">
        <v>192.44897959183601</v>
      </c>
      <c r="C83" s="82">
        <v>1.49659961578351</v>
      </c>
      <c r="D83" s="82">
        <v>0.340813294039438</v>
      </c>
      <c r="E83" s="75">
        <v>9.5858704319830595E-2</v>
      </c>
      <c r="G83" s="89">
        <f t="shared" si="17"/>
        <v>1.4965996157835624</v>
      </c>
      <c r="H83" s="90">
        <f t="shared" si="18"/>
        <v>100.67582504874144</v>
      </c>
      <c r="I83" s="90">
        <f t="shared" si="12"/>
        <v>0.10067582504874144</v>
      </c>
      <c r="J83" s="90">
        <f t="shared" si="19"/>
        <v>34.081329403944551</v>
      </c>
      <c r="K83" s="90">
        <f t="shared" si="13"/>
        <v>0.34081329403944549</v>
      </c>
      <c r="L83" s="90">
        <f t="shared" si="20"/>
        <v>32.702165116398611</v>
      </c>
      <c r="M83" s="90">
        <f t="shared" si="14"/>
        <v>9.5953314287715794E-2</v>
      </c>
      <c r="N83" s="91">
        <f t="shared" si="15"/>
        <v>0.32482639303493271</v>
      </c>
      <c r="P83" s="86">
        <f t="shared" si="21"/>
        <v>192.44897959183601</v>
      </c>
      <c r="Q83" s="47">
        <f t="shared" si="22"/>
        <v>1.49659961578351</v>
      </c>
      <c r="R83" s="87">
        <f t="shared" si="16"/>
        <v>0.340813294039438</v>
      </c>
      <c r="S83" s="47">
        <f t="shared" si="23"/>
        <v>0.10067582504874144</v>
      </c>
      <c r="T83" s="88">
        <f t="shared" si="24"/>
        <v>1.4965996157835624</v>
      </c>
      <c r="U83" s="88">
        <f t="shared" si="25"/>
        <v>100.67582504874144</v>
      </c>
      <c r="V83" s="88">
        <f t="shared" si="26"/>
        <v>34.081329403944551</v>
      </c>
    </row>
    <row r="84" spans="1:22" x14ac:dyDescent="0.2">
      <c r="A84" s="80">
        <v>43</v>
      </c>
      <c r="B84" s="81">
        <v>197.142857142857</v>
      </c>
      <c r="C84" s="82">
        <v>1.2024519872891699</v>
      </c>
      <c r="D84" s="82">
        <v>0.28706756960506502</v>
      </c>
      <c r="E84" s="75">
        <v>9.3668054005693793E-2</v>
      </c>
      <c r="G84" s="89">
        <f t="shared" si="17"/>
        <v>1.2024519872891819</v>
      </c>
      <c r="H84" s="90">
        <f t="shared" si="18"/>
        <v>100.53066019615142</v>
      </c>
      <c r="I84" s="90">
        <f t="shared" si="12"/>
        <v>0.10053066019615142</v>
      </c>
      <c r="J84" s="90">
        <f t="shared" si="19"/>
        <v>28.706756960506482</v>
      </c>
      <c r="K84" s="90">
        <f t="shared" si="13"/>
        <v>0.2870675696050648</v>
      </c>
      <c r="L84" s="90">
        <f t="shared" si="20"/>
        <v>26.9155993940531</v>
      </c>
      <c r="M84" s="90">
        <f t="shared" si="14"/>
        <v>9.3760501860528589E-2</v>
      </c>
      <c r="N84" s="91">
        <f t="shared" si="15"/>
        <v>0.26773522964572655</v>
      </c>
      <c r="P84" s="86">
        <f t="shared" si="21"/>
        <v>197.142857142857</v>
      </c>
      <c r="Q84" s="47">
        <f t="shared" si="22"/>
        <v>1.2024519872891699</v>
      </c>
      <c r="R84" s="87">
        <f t="shared" si="16"/>
        <v>0.28706756960506502</v>
      </c>
      <c r="S84" s="47">
        <f t="shared" si="23"/>
        <v>0.10053066019615142</v>
      </c>
      <c r="T84" s="88">
        <f t="shared" si="24"/>
        <v>1.2024519872891819</v>
      </c>
      <c r="U84" s="88">
        <f t="shared" si="25"/>
        <v>100.53066019615142</v>
      </c>
      <c r="V84" s="88">
        <f t="shared" si="26"/>
        <v>28.706756960506482</v>
      </c>
    </row>
    <row r="85" spans="1:22" x14ac:dyDescent="0.2">
      <c r="A85" s="80">
        <v>44</v>
      </c>
      <c r="B85" s="81">
        <v>201.83673469387699</v>
      </c>
      <c r="C85" s="82">
        <v>0.91653537380223105</v>
      </c>
      <c r="D85" s="82">
        <v>0.23033851055658899</v>
      </c>
      <c r="E85" s="75">
        <v>9.1098185743970203E-2</v>
      </c>
      <c r="G85" s="89">
        <f t="shared" si="17"/>
        <v>0.91653537380226235</v>
      </c>
      <c r="H85" s="90">
        <f t="shared" si="18"/>
        <v>100.55370837408054</v>
      </c>
      <c r="I85" s="90">
        <f t="shared" si="12"/>
        <v>0.10055370837408054</v>
      </c>
      <c r="J85" s="90">
        <f t="shared" si="19"/>
        <v>23.033851055659511</v>
      </c>
      <c r="K85" s="90">
        <f t="shared" si="13"/>
        <v>0.2303385105565951</v>
      </c>
      <c r="L85" s="90">
        <f t="shared" si="20"/>
        <v>21.004130491338017</v>
      </c>
      <c r="M85" s="90">
        <f t="shared" si="14"/>
        <v>9.1188097207814581E-2</v>
      </c>
      <c r="N85" s="91">
        <f t="shared" si="15"/>
        <v>0.20888469287674918</v>
      </c>
      <c r="P85" s="86">
        <f t="shared" si="21"/>
        <v>201.83673469387702</v>
      </c>
      <c r="Q85" s="47">
        <f t="shared" si="22"/>
        <v>0.91653537380223105</v>
      </c>
      <c r="R85" s="87">
        <f t="shared" si="16"/>
        <v>0.23033851055658899</v>
      </c>
      <c r="S85" s="47">
        <f t="shared" si="23"/>
        <v>0.10055370837408054</v>
      </c>
      <c r="T85" s="88">
        <f t="shared" si="24"/>
        <v>0.91653537380227057</v>
      </c>
      <c r="U85" s="88">
        <f t="shared" si="25"/>
        <v>100.55370837408054</v>
      </c>
      <c r="V85" s="88">
        <f t="shared" si="26"/>
        <v>23.033851055659738</v>
      </c>
    </row>
    <row r="86" spans="1:22" x14ac:dyDescent="0.2">
      <c r="A86" s="80">
        <v>45</v>
      </c>
      <c r="B86" s="81">
        <v>206.53061224489699</v>
      </c>
      <c r="C86" s="82">
        <v>0.64447907031611096</v>
      </c>
      <c r="D86" s="82">
        <v>0.17142246943536499</v>
      </c>
      <c r="E86" s="75">
        <v>8.8074937315450005E-2</v>
      </c>
      <c r="G86" s="89">
        <f t="shared" si="17"/>
        <v>0.64447907031616003</v>
      </c>
      <c r="H86" s="90">
        <f t="shared" si="18"/>
        <v>100.78378044955298</v>
      </c>
      <c r="I86" s="90">
        <f t="shared" si="12"/>
        <v>0.10078378044955298</v>
      </c>
      <c r="J86" s="90">
        <f t="shared" si="19"/>
        <v>17.142246943537657</v>
      </c>
      <c r="K86" s="90">
        <f t="shared" si="13"/>
        <v>0.17142246943537656</v>
      </c>
      <c r="L86" s="90">
        <f t="shared" si="20"/>
        <v>15.112924593628666</v>
      </c>
      <c r="M86" s="90">
        <f t="shared" si="14"/>
        <v>8.8161864914249113E-2</v>
      </c>
      <c r="N86" s="91">
        <f t="shared" si="15"/>
        <v>0.14995393630023032</v>
      </c>
      <c r="P86" s="86">
        <f t="shared" si="21"/>
        <v>206.53061224489699</v>
      </c>
      <c r="Q86" s="47">
        <f t="shared" si="22"/>
        <v>0.64447907031611096</v>
      </c>
      <c r="R86" s="87">
        <f t="shared" si="16"/>
        <v>0.17142246943536499</v>
      </c>
      <c r="S86" s="47">
        <f t="shared" si="23"/>
        <v>0.10078378044955298</v>
      </c>
      <c r="T86" s="88">
        <f t="shared" si="24"/>
        <v>0.64447907031616003</v>
      </c>
      <c r="U86" s="88">
        <f t="shared" si="25"/>
        <v>100.78378044955298</v>
      </c>
      <c r="V86" s="88">
        <f t="shared" si="26"/>
        <v>17.142246943537657</v>
      </c>
    </row>
    <row r="87" spans="1:22" x14ac:dyDescent="0.2">
      <c r="A87" s="80">
        <v>46</v>
      </c>
      <c r="B87" s="81">
        <v>211.224489795918</v>
      </c>
      <c r="C87" s="82">
        <v>0.39260364877124898</v>
      </c>
      <c r="D87" s="82">
        <v>0.111308184531922</v>
      </c>
      <c r="E87" s="75">
        <v>8.4508100717018406E-2</v>
      </c>
      <c r="G87" s="89">
        <f t="shared" si="17"/>
        <v>0.39260364877126452</v>
      </c>
      <c r="H87" s="90">
        <f t="shared" si="18"/>
        <v>101.26176813349804</v>
      </c>
      <c r="I87" s="90">
        <f t="shared" si="12"/>
        <v>0.10126176813349803</v>
      </c>
      <c r="J87" s="90">
        <f t="shared" si="19"/>
        <v>11.130818453193001</v>
      </c>
      <c r="K87" s="90">
        <f t="shared" si="13"/>
        <v>0.11130818453193</v>
      </c>
      <c r="L87" s="90">
        <f t="shared" si="20"/>
        <v>9.4157271760477013</v>
      </c>
      <c r="M87" s="90">
        <f t="shared" si="14"/>
        <v>8.4591507943844818E-2</v>
      </c>
      <c r="N87" s="91">
        <f t="shared" si="15"/>
        <v>9.29840289143926E-2</v>
      </c>
      <c r="P87" s="86">
        <f t="shared" si="21"/>
        <v>211.224489795918</v>
      </c>
      <c r="Q87" s="47">
        <f t="shared" si="22"/>
        <v>0.39260364877124898</v>
      </c>
      <c r="R87" s="87">
        <f t="shared" si="16"/>
        <v>0.111308184531922</v>
      </c>
      <c r="S87" s="47">
        <f t="shared" si="23"/>
        <v>0.10126176813349803</v>
      </c>
      <c r="T87" s="88">
        <f t="shared" si="24"/>
        <v>0.39260364877126452</v>
      </c>
      <c r="U87" s="88">
        <f t="shared" si="25"/>
        <v>101.26176813349804</v>
      </c>
      <c r="V87" s="88">
        <f t="shared" si="26"/>
        <v>11.130818453193001</v>
      </c>
    </row>
    <row r="88" spans="1:22" x14ac:dyDescent="0.2">
      <c r="A88" s="80">
        <v>47</v>
      </c>
      <c r="B88" s="81">
        <v>215.918367346938</v>
      </c>
      <c r="C88" s="82">
        <v>0.16795514250737301</v>
      </c>
      <c r="D88" s="82">
        <v>5.1195619728699703E-2</v>
      </c>
      <c r="E88" s="75">
        <v>8.0348343611558501E-2</v>
      </c>
      <c r="G88" s="89">
        <f t="shared" si="17"/>
        <v>0.16795514250740062</v>
      </c>
      <c r="H88" s="90">
        <f t="shared" si="18"/>
        <v>102.03064398075031</v>
      </c>
      <c r="I88" s="90">
        <f t="shared" si="12"/>
        <v>0.10203064398075032</v>
      </c>
      <c r="J88" s="90">
        <f t="shared" si="19"/>
        <v>5.1195619728708834</v>
      </c>
      <c r="K88" s="90">
        <f t="shared" si="13"/>
        <v>5.1195619728708834E-2</v>
      </c>
      <c r="L88" s="90">
        <f t="shared" si="20"/>
        <v>4.1175431429071425</v>
      </c>
      <c r="M88" s="90">
        <f t="shared" si="14"/>
        <v>8.0427645269779954E-2</v>
      </c>
      <c r="N88" s="91">
        <f t="shared" si="15"/>
        <v>4.0355945843917065E-2</v>
      </c>
      <c r="P88" s="86">
        <f t="shared" si="21"/>
        <v>215.918367346938</v>
      </c>
      <c r="Q88" s="47">
        <f t="shared" si="22"/>
        <v>0.16795514250737301</v>
      </c>
      <c r="R88" s="87">
        <f t="shared" si="16"/>
        <v>5.1195619728699703E-2</v>
      </c>
      <c r="S88" s="47">
        <f t="shared" si="23"/>
        <v>0.10203064398075032</v>
      </c>
      <c r="T88" s="88">
        <f t="shared" si="24"/>
        <v>0.16795514250740062</v>
      </c>
      <c r="U88" s="88">
        <f t="shared" si="25"/>
        <v>102.03064398075031</v>
      </c>
      <c r="V88" s="88">
        <f t="shared" si="26"/>
        <v>5.1195619728708834</v>
      </c>
    </row>
    <row r="89" spans="1:22" x14ac:dyDescent="0.2">
      <c r="A89" s="80">
        <v>48</v>
      </c>
      <c r="B89" s="81">
        <v>220.61224489795899</v>
      </c>
      <c r="C89" s="82">
        <v>0</v>
      </c>
      <c r="D89" s="82">
        <v>1E-3</v>
      </c>
      <c r="E89" s="75">
        <v>0</v>
      </c>
      <c r="G89" s="89">
        <f t="shared" si="17"/>
        <v>-2.1660547450525147E-2</v>
      </c>
      <c r="H89" s="90">
        <f t="shared" si="18"/>
        <v>103.1354613900499</v>
      </c>
      <c r="I89" s="90">
        <f t="shared" si="12"/>
        <v>0.10313546139004989</v>
      </c>
      <c r="J89" s="90">
        <f t="shared" si="19"/>
        <v>-0.74844746884355118</v>
      </c>
      <c r="K89" s="90">
        <f t="shared" si="13"/>
        <v>-7.4844746884355114E-3</v>
      </c>
      <c r="L89" s="90">
        <f t="shared" si="20"/>
        <v>0</v>
      </c>
      <c r="M89" s="90">
        <f t="shared" si="14"/>
        <v>0</v>
      </c>
      <c r="N89" s="91">
        <f t="shared" si="15"/>
        <v>0</v>
      </c>
      <c r="P89" s="86">
        <f t="shared" si="21"/>
        <v>220.61224489795899</v>
      </c>
      <c r="Q89" s="47">
        <f t="shared" si="22"/>
        <v>0</v>
      </c>
      <c r="R89" s="87">
        <f t="shared" si="16"/>
        <v>1E-3</v>
      </c>
      <c r="S89" s="47">
        <f t="shared" si="23"/>
        <v>0.10313546139004989</v>
      </c>
      <c r="T89" s="88">
        <f t="shared" si="24"/>
        <v>-2.1660547450525147E-2</v>
      </c>
      <c r="U89" s="88">
        <f t="shared" si="25"/>
        <v>103.1354613900499</v>
      </c>
      <c r="V89" s="88">
        <f t="shared" si="26"/>
        <v>-0.74844746884355118</v>
      </c>
    </row>
    <row r="90" spans="1:22" x14ac:dyDescent="0.2">
      <c r="A90" s="80">
        <v>49</v>
      </c>
      <c r="B90" s="81">
        <v>225.30612244897901</v>
      </c>
      <c r="C90" s="82">
        <v>0</v>
      </c>
      <c r="D90" s="82">
        <v>1E-3</v>
      </c>
      <c r="E90" s="75">
        <v>0</v>
      </c>
      <c r="G90" s="89">
        <f t="shared" si="17"/>
        <v>-0.1676430242726128</v>
      </c>
      <c r="H90" s="90">
        <f t="shared" si="18"/>
        <v>104.62335460404142</v>
      </c>
      <c r="I90" s="90">
        <f t="shared" si="12"/>
        <v>0.10462335460404143</v>
      </c>
      <c r="J90" s="90">
        <f t="shared" si="19"/>
        <v>-6.3050280249804018</v>
      </c>
      <c r="K90" s="90">
        <f t="shared" si="13"/>
        <v>-6.3050280249804025E-2</v>
      </c>
      <c r="L90" s="90">
        <f t="shared" si="20"/>
        <v>0</v>
      </c>
      <c r="M90" s="90">
        <f t="shared" si="14"/>
        <v>0</v>
      </c>
      <c r="N90" s="91">
        <f t="shared" si="15"/>
        <v>0</v>
      </c>
      <c r="P90" s="86">
        <f t="shared" si="21"/>
        <v>225.30612244897901</v>
      </c>
      <c r="Q90" s="47">
        <f t="shared" si="22"/>
        <v>0</v>
      </c>
      <c r="R90" s="87">
        <f t="shared" si="16"/>
        <v>1E-3</v>
      </c>
      <c r="S90" s="47">
        <f t="shared" si="23"/>
        <v>0.10462335460404143</v>
      </c>
      <c r="T90" s="88">
        <f t="shared" si="24"/>
        <v>-0.1676430242726128</v>
      </c>
      <c r="U90" s="88">
        <f t="shared" si="25"/>
        <v>104.62335460404142</v>
      </c>
      <c r="V90" s="88">
        <f t="shared" si="26"/>
        <v>-6.3050280249804018</v>
      </c>
    </row>
    <row r="91" spans="1:22" x14ac:dyDescent="0.2">
      <c r="A91" s="92">
        <v>50</v>
      </c>
      <c r="B91" s="93">
        <v>230</v>
      </c>
      <c r="C91" s="94">
        <v>0</v>
      </c>
      <c r="D91" s="94">
        <v>1E-3</v>
      </c>
      <c r="E91" s="78">
        <v>0</v>
      </c>
      <c r="G91" s="95">
        <f t="shared" si="17"/>
        <v>-0.26056254537098056</v>
      </c>
      <c r="H91" s="96">
        <f t="shared" si="18"/>
        <v>106.54353870927605</v>
      </c>
      <c r="I91" s="96">
        <f t="shared" si="12"/>
        <v>0.10654353870927605</v>
      </c>
      <c r="J91" s="96">
        <f t="shared" si="19"/>
        <v>-11.354790755267686</v>
      </c>
      <c r="K91" s="96">
        <f t="shared" si="13"/>
        <v>-0.11354790755267687</v>
      </c>
      <c r="L91" s="96">
        <f t="shared" si="20"/>
        <v>0</v>
      </c>
      <c r="M91" s="96">
        <f t="shared" si="14"/>
        <v>0</v>
      </c>
      <c r="N91" s="97">
        <f t="shared" si="15"/>
        <v>0</v>
      </c>
      <c r="P91" s="86">
        <f t="shared" si="21"/>
        <v>230</v>
      </c>
      <c r="Q91" s="47">
        <f t="shared" si="22"/>
        <v>0</v>
      </c>
      <c r="R91" s="87">
        <f t="shared" si="16"/>
        <v>1E-3</v>
      </c>
      <c r="S91" s="47">
        <f t="shared" si="23"/>
        <v>0.10654353870927605</v>
      </c>
      <c r="T91" s="88">
        <f t="shared" si="24"/>
        <v>-0.26056254537098056</v>
      </c>
      <c r="U91" s="88">
        <f t="shared" si="25"/>
        <v>106.54353870927605</v>
      </c>
      <c r="V91" s="88">
        <f t="shared" si="26"/>
        <v>-11.354790755267686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ABEA-E4D1-4E23-BCD3-68F052AF8EDF}">
  <sheetPr codeName="Лист12"/>
  <dimension ref="A1:AU91"/>
  <sheetViews>
    <sheetView topLeftCell="E1" zoomScale="55" zoomScaleNormal="55" workbookViewId="0">
      <selection activeCell="AV40" sqref="AV40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NF1500</v>
      </c>
      <c r="C1" s="64"/>
      <c r="D1" s="64"/>
      <c r="E1" s="65">
        <v>161</v>
      </c>
      <c r="G1" s="64" t="s">
        <v>424</v>
      </c>
      <c r="H1" s="66">
        <f>VLOOKUP(num,'tnav 254'!A1:Q263,7,1)</f>
        <v>200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[0,30,60,90,120,150,180,210,240,270,300]</v>
      </c>
    </row>
    <row r="2" spans="1:47" x14ac:dyDescent="0.2">
      <c r="A2" s="67" t="s">
        <v>144</v>
      </c>
      <c r="B2" s="68" t="str">
        <f>"ЭЦН"&amp;L1&amp;"-"&amp;H1&amp;"@"&amp;f_nom&amp;"Гц"</f>
        <v>ЭЦН5-200@50Гц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[0,30,60,90,120,150,180,210,240,270,300]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5.7498930829999999</v>
      </c>
      <c r="C5" s="73">
        <f>Напор0*(f_50_hz/f_nom)^2</f>
        <v>5.7498930829999999</v>
      </c>
      <c r="R5" s="47">
        <f>S1+num</f>
        <v>2161</v>
      </c>
      <c r="S5" s="47" t="s">
        <v>478</v>
      </c>
      <c r="T5" s="47" t="s">
        <v>479</v>
      </c>
      <c r="U5" s="47" t="str">
        <f>B2</f>
        <v>ЭЦН5-200@50Гц</v>
      </c>
      <c r="V5" s="47">
        <v>1000</v>
      </c>
      <c r="W5" s="47">
        <f>q_nom</f>
        <v>200</v>
      </c>
      <c r="X5" s="47">
        <f>VLOOKUP(num,'tnav 254'!A1:Q263,10,1)</f>
        <v>140</v>
      </c>
      <c r="Y5" s="47">
        <f>VLOOKUP(num,'tnav 254'!A1:Q263,11,1)</f>
        <v>250</v>
      </c>
      <c r="Z5" s="47">
        <f>VLOOKUP(num,'tnav 254'!A1:Q263,9,1)</f>
        <v>300</v>
      </c>
      <c r="AA5" s="47">
        <f>VLOOKUP(num,'tnav 254'!A1:Q263,15,1)</f>
        <v>2910</v>
      </c>
      <c r="AB5" s="47">
        <f>f_nom</f>
        <v>50</v>
      </c>
      <c r="AC5" s="87">
        <f>MAX(КПД)</f>
        <v>0.52561566014959404</v>
      </c>
      <c r="AE5" s="47">
        <f>L1</f>
        <v>5</v>
      </c>
      <c r="AF5" s="47">
        <f>VLOOKUP(num,'tnav 254'!A1:Q263,12,1)*1000</f>
        <v>92</v>
      </c>
      <c r="AQ5" s="98">
        <f>$R$5</f>
        <v>2161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5.7498930829999999</v>
      </c>
      <c r="AT5" s="104" cm="1">
        <f t="array" ref="AT5">[1]!crv_interpolation(Подача_пласт_м3_сут,$I$42:$I$91,AR5,2)</f>
        <v>0.12499232840000001</v>
      </c>
      <c r="AU5" s="105">
        <v>0</v>
      </c>
    </row>
    <row r="6" spans="1:47" x14ac:dyDescent="0.2">
      <c r="A6" s="74" t="s">
        <v>431</v>
      </c>
      <c r="B6" s="75">
        <v>1.670340964E-3</v>
      </c>
      <c r="C6" s="76">
        <f>Напор1/(f_50_hz/f_nom)*(f_50_hz/f_nom)^2</f>
        <v>1.670340964E-3</v>
      </c>
      <c r="R6" s="47">
        <f>T1+num</f>
        <v>3161</v>
      </c>
      <c r="S6" s="47" t="s">
        <v>480</v>
      </c>
      <c r="T6" s="47" t="s">
        <v>481</v>
      </c>
      <c r="U6" s="47" t="str">
        <f>"ЭЦН"&amp;L1&amp;"-"&amp;H1&amp;"@"&amp;f_50_hz&amp;"Гц"</f>
        <v>ЭЦН5-200@50Гц</v>
      </c>
      <c r="V6" s="47">
        <v>1000</v>
      </c>
      <c r="W6" s="47">
        <f>W5*f_50_hz/f_nom</f>
        <v>200</v>
      </c>
      <c r="X6" s="47">
        <f>X5*f_50_hz/f_nom</f>
        <v>140</v>
      </c>
      <c r="Y6" s="47">
        <f>Y5*f_50_hz/f_nom</f>
        <v>250</v>
      </c>
      <c r="Z6" s="47">
        <f>Z5*f_50_hz/f_nom</f>
        <v>300</v>
      </c>
      <c r="AA6" s="47">
        <f>AA5*f_50_hz/f_nom</f>
        <v>2910</v>
      </c>
      <c r="AB6" s="47">
        <f>f_50_hz</f>
        <v>50</v>
      </c>
      <c r="AC6" s="87">
        <f>AC5</f>
        <v>0.52561566014959404</v>
      </c>
      <c r="AE6" s="47">
        <f>AE5</f>
        <v>5</v>
      </c>
      <c r="AF6" s="47">
        <f>AF5</f>
        <v>92</v>
      </c>
      <c r="AQ6" s="100">
        <f t="shared" ref="AQ6:AQ15" si="0">$R$5</f>
        <v>2161</v>
      </c>
      <c r="AR6" s="101">
        <v>30</v>
      </c>
      <c r="AS6" s="106" cm="1">
        <f t="array" ref="AS6">[1]!crv_interpolation(Подача_пласт_м3_сут,Напор_м,AR6,2)</f>
        <v>5.7795053279968656</v>
      </c>
      <c r="AT6" s="106" cm="1">
        <f t="array" ref="AT6">[1]!crv_interpolation(Подача_пласт_м3_сут,$I$42:$I$91,AR6,2)</f>
        <v>0.13790463851742552</v>
      </c>
      <c r="AU6" s="107" cm="1">
        <f t="array" ref="AU6">[1]!crv_interpolation(Подача_пласт_м3_сут,КПД,AR6,2)</f>
        <v>0.13876748085381568</v>
      </c>
    </row>
    <row r="7" spans="1:47" x14ac:dyDescent="0.2">
      <c r="A7" s="74" t="s">
        <v>432</v>
      </c>
      <c r="B7" s="75">
        <v>-2.5873699079999998E-5</v>
      </c>
      <c r="C7" s="76">
        <f>Напор2/((f_50_hz/f_nom)^2)*(f_50_hz/f_nom)^2</f>
        <v>-2.5873699079999998E-5</v>
      </c>
      <c r="AQ7" s="100">
        <f t="shared" si="0"/>
        <v>2161</v>
      </c>
      <c r="AR7" s="101">
        <v>60</v>
      </c>
      <c r="AS7" s="106" cm="1">
        <f t="array" ref="AS7">[1]!crv_interpolation(Подача_пласт_м3_сут,Напор_м,AR7,2)</f>
        <v>5.7699731370642269</v>
      </c>
      <c r="AT7" s="106" cm="1">
        <f t="array" ref="AT7">[1]!crv_interpolation(Подача_пласт_м3_сут,$I$42:$I$91,AR7,2)</f>
        <v>0.15103577174833904</v>
      </c>
      <c r="AU7" s="107" cm="1">
        <f t="array" ref="AU7">[1]!crv_interpolation(Подача_пласт_м3_сут,КПД,AR7,2)</f>
        <v>0.25806517186220451</v>
      </c>
    </row>
    <row r="8" spans="1:47" x14ac:dyDescent="0.2">
      <c r="A8" s="74" t="s">
        <v>433</v>
      </c>
      <c r="B8" s="75">
        <v>1.6012882360000001E-7</v>
      </c>
      <c r="C8" s="76">
        <f>Напор3/((f_50_hz/f_nom)^3)*(f_50_hz/f_nom)^2</f>
        <v>1.6012882360000001E-7</v>
      </c>
      <c r="AQ8" s="100">
        <f t="shared" si="0"/>
        <v>2161</v>
      </c>
      <c r="AR8" s="101">
        <v>90</v>
      </c>
      <c r="AS8" s="106" cm="1">
        <f t="array" ref="AS8">[1]!crv_interpolation(Подача_пласт_м3_сут,Напор_м,AR8,2)</f>
        <v>5.7110046942918045</v>
      </c>
      <c r="AT8" s="106" cm="1">
        <f t="array" ref="AT8">[1]!crv_interpolation(Подача_пласт_м3_сут,$I$42:$I$91,AR8,2)</f>
        <v>0.16670043544887025</v>
      </c>
      <c r="AU8" s="107" cm="1">
        <f t="array" ref="AU8">[1]!crv_interpolation(Подача_пласт_м3_сут,КПД,AR8,2)</f>
        <v>0.35073941286903748</v>
      </c>
    </row>
    <row r="9" spans="1:47" x14ac:dyDescent="0.2">
      <c r="A9" s="74" t="s">
        <v>434</v>
      </c>
      <c r="B9" s="75">
        <v>-2.1560852630000002E-9</v>
      </c>
      <c r="C9" s="76">
        <f>Напор4/((f_50_hz/f_nom)^4)*(f_50_hz/f_nom)^2</f>
        <v>-2.1560852630000002E-9</v>
      </c>
      <c r="Y9" s="119" t="s">
        <v>489</v>
      </c>
      <c r="Z9" s="47">
        <f>Z5</f>
        <v>300</v>
      </c>
      <c r="AQ9" s="100">
        <f t="shared" si="0"/>
        <v>2161</v>
      </c>
      <c r="AR9" s="101">
        <v>120</v>
      </c>
      <c r="AS9" s="106" cm="1">
        <f t="array" ref="AS9">[1]!crv_interpolation(Подача_пласт_м3_сут,Напор_м,AR9,2)</f>
        <v>5.5837150326468787</v>
      </c>
      <c r="AT9" s="106" cm="1">
        <f t="array" ref="AT9">[1]!crv_interpolation(Подача_пласт_м3_сут,$I$42:$I$91,AR9,2)</f>
        <v>0.18218781766174588</v>
      </c>
      <c r="AU9" s="107" cm="1">
        <f t="array" ref="AU9">[1]!crv_interpolation(Подача_пласт_м3_сут,КПД,AR9,2)</f>
        <v>0.41906083379925896</v>
      </c>
    </row>
    <row r="10" spans="1:47" x14ac:dyDescent="0.2">
      <c r="A10" s="74" t="s">
        <v>435</v>
      </c>
      <c r="B10" s="75">
        <v>9.2827756179999999E-12</v>
      </c>
      <c r="C10" s="76">
        <f>Напор5/((f_50_hz/f_nom)^5)*(f_50_hz/f_nom)^2</f>
        <v>9.2827756179999999E-12</v>
      </c>
      <c r="AQ10" s="100">
        <f t="shared" si="0"/>
        <v>2161</v>
      </c>
      <c r="AR10" s="101">
        <v>150</v>
      </c>
      <c r="AS10" s="106" cm="1">
        <f t="array" ref="AS10">[1]!crv_interpolation(Подача_пласт_м3_сут,Напор_м,AR10,2)</f>
        <v>5.3636947885120794</v>
      </c>
      <c r="AT10" s="106" cm="1">
        <f t="array" ref="AT10">[1]!crv_interpolation(Подача_пласт_м3_сут,$I$42:$I$91,AR10,2)</f>
        <v>0.194227692780476</v>
      </c>
      <c r="AU10" s="107" cm="1">
        <f t="array" ref="AU10">[1]!crv_interpolation(Подача_пласт_м3_сут,КПД,AR10,2)</f>
        <v>0.46981442456743722</v>
      </c>
    </row>
    <row r="11" spans="1:47" x14ac:dyDescent="0.2">
      <c r="A11" s="74" t="s">
        <v>436</v>
      </c>
      <c r="B11" s="75">
        <v>-1.829722296E-14</v>
      </c>
      <c r="C11" s="76">
        <f>Напор6/((f_50_hz/f_nom)^6)*(f_50_hz/f_nom)^2</f>
        <v>-1.829722296E-14</v>
      </c>
      <c r="AQ11" s="100">
        <f t="shared" si="0"/>
        <v>2161</v>
      </c>
      <c r="AR11" s="101">
        <v>180</v>
      </c>
      <c r="AS11" s="106" cm="1">
        <f t="array" ref="AS11">[1]!crv_interpolation(Подача_пласт_м3_сут,Напор_м,AR11,2)</f>
        <v>5.0144682995872678</v>
      </c>
      <c r="AT11" s="106" cm="1">
        <f t="array" ref="AT11">[1]!crv_interpolation(Подача_пласт_м3_сут,$I$42:$I$91,AR11,2)</f>
        <v>0.20119752743933586</v>
      </c>
      <c r="AU11" s="107" cm="1">
        <f t="array" ref="AU11">[1]!crv_interpolation(Подача_пласт_м3_сут,КПД,AR11,2)</f>
        <v>0.50753071768391766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2161</v>
      </c>
      <c r="AR12" s="101">
        <v>210</v>
      </c>
      <c r="AS12" s="106" cm="1">
        <f t="array" ref="AS12">[1]!crv_interpolation(Подача_пласт_м3_сут,Напор_м,AR12,2)</f>
        <v>4.47134098539797</v>
      </c>
      <c r="AT12" s="106" cm="1">
        <f t="array" ref="AT12">[1]!crv_interpolation(Подача_пласт_м3_сут,$I$42:$I$91,AR12,2)</f>
        <v>0.20310714411308972</v>
      </c>
      <c r="AU12" s="107" cm="1">
        <f t="array" ref="AU12">[1]!crv_interpolation(Подача_пласт_м3_сут,КПД,AR12,2)</f>
        <v>0.52580479799658131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2161</v>
      </c>
      <c r="AR13" s="101">
        <v>240</v>
      </c>
      <c r="AS13" s="106" cm="1">
        <f t="array" ref="AS13">[1]!crv_interpolation(Подача_пласт_м3_сут,Напор_м,AR13,2)</f>
        <v>3.6156360630475346</v>
      </c>
      <c r="AT13" s="106" cm="1">
        <f t="array" ref="AT13">[1]!crv_interpolation(Подача_пласт_м3_сут,$I$42:$I$91,AR13,2)</f>
        <v>0.19933895377965691</v>
      </c>
      <c r="AU13" s="107" cm="1">
        <f t="array" ref="AU13">[1]!crv_interpolation(Подача_пласт_м3_сут,КПД,AR13,2)</f>
        <v>0.49670259030278524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2161</v>
      </c>
      <c r="AR14" s="101">
        <v>270</v>
      </c>
      <c r="AS14" s="106" cm="1">
        <f t="array" ref="AS14">[1]!crv_interpolation(Подача_пласт_м3_сут,Напор_м,AR14,2)</f>
        <v>2.2393203576025869</v>
      </c>
      <c r="AT14" s="106" cm="1">
        <f t="array" ref="AT14">[1]!crv_interpolation(Подача_пласт_м3_сут,$I$42:$I$91,AR14,2)</f>
        <v>0.18415151101669239</v>
      </c>
      <c r="AU14" s="107" cm="1">
        <f t="array" ref="AU14">[1]!crv_interpolation(Подача_пласт_м3_сут,КПД,AR14,2)</f>
        <v>0.35825373429073432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2161</v>
      </c>
      <c r="AR15" s="103">
        <v>300</v>
      </c>
      <c r="AS15" s="108">
        <v>0</v>
      </c>
      <c r="AT15" s="108" cm="1">
        <f t="array" ref="AT15">[1]!crv_interpolation(Подача_пласт_м3_сут,$I$42:$I$91,AR15,2)</f>
        <v>0.13994452698799842</v>
      </c>
      <c r="AU15" s="109">
        <v>0</v>
      </c>
    </row>
    <row r="16" spans="1:47" x14ac:dyDescent="0.2">
      <c r="A16" s="71" t="s">
        <v>441</v>
      </c>
      <c r="B16" s="72">
        <v>124.99232840000001</v>
      </c>
      <c r="C16" s="73">
        <f>Мощность0*(f_50_hz/f_nom)^3</f>
        <v>124.99232840000001</v>
      </c>
      <c r="AQ16" s="98">
        <f>$R$6</f>
        <v>3161</v>
      </c>
      <c r="AR16" s="99">
        <f t="array" ref="AR16:AR26">[1]!decode_json($AR$2)</f>
        <v>0</v>
      </c>
      <c r="AS16" s="104" cm="1">
        <f t="array" ref="AS16">[1]!crv_interpolation(Подача_f50_,$Q$42:$Q$91,AR16,2)</f>
        <v>5.7498930829999999</v>
      </c>
      <c r="AT16" s="104" cm="1">
        <f t="array" ref="AT16">[1]!crv_interpolation(Подача_f50_,$S$42:$S$91,AR16,2)</f>
        <v>0.12499232840000001</v>
      </c>
      <c r="AU16" s="105">
        <v>0</v>
      </c>
    </row>
    <row r="17" spans="1:47" x14ac:dyDescent="0.2">
      <c r="A17" s="74" t="s">
        <v>442</v>
      </c>
      <c r="B17" s="75">
        <v>0.53624553590000001</v>
      </c>
      <c r="C17" s="76">
        <f>Мощность1/(f_50_hz/f_nom)*(f_50_hz/f_nom)^3</f>
        <v>0.53624553590000001</v>
      </c>
      <c r="AQ17" s="100">
        <f t="shared" ref="AQ17:AQ26" si="1">$R$6</f>
        <v>3161</v>
      </c>
      <c r="AR17" s="101">
        <v>30</v>
      </c>
      <c r="AS17" s="106" cm="1">
        <f t="array" ref="AS17">[1]!crv_interpolation(Подача_f50_,$Q$42:$Q$91,AR17,2)</f>
        <v>5.7795053279968656</v>
      </c>
      <c r="AT17" s="106" cm="1">
        <f t="array" ref="AT17">[1]!crv_interpolation(Подача_f50_,$S$42:$S$91,AR17,2)</f>
        <v>0.13790463851742552</v>
      </c>
      <c r="AU17" s="107" cm="1">
        <f t="array" ref="AU17">[1]!crv_interpolation(Подача_f50_,$R$42:$R$91,AR17,2)</f>
        <v>0.13876748085381571</v>
      </c>
    </row>
    <row r="18" spans="1:47" x14ac:dyDescent="0.2">
      <c r="A18" s="74" t="s">
        <v>443</v>
      </c>
      <c r="B18" s="75">
        <v>-6.7213566279999996E-3</v>
      </c>
      <c r="C18" s="76">
        <f>Мощность2/((f_50_hz/f_nom)^2)*(f_50_hz/f_nom)^3</f>
        <v>-6.7213566279999996E-3</v>
      </c>
      <c r="AQ18" s="100">
        <f t="shared" si="1"/>
        <v>3161</v>
      </c>
      <c r="AR18" s="101">
        <v>60</v>
      </c>
      <c r="AS18" s="106" cm="1">
        <f t="array" ref="AS18">[1]!crv_interpolation(Подача_f50_,$Q$42:$Q$91,AR18,2)</f>
        <v>5.7699731370642269</v>
      </c>
      <c r="AT18" s="106" cm="1">
        <f t="array" ref="AT18">[1]!crv_interpolation(Подача_f50_,$S$42:$S$91,AR18,2)</f>
        <v>0.15103577174833904</v>
      </c>
      <c r="AU18" s="107" cm="1">
        <f t="array" ref="AU18">[1]!crv_interpolation(Подача_f50_,$R$42:$R$91,AR18,2)</f>
        <v>0.25806517186220457</v>
      </c>
    </row>
    <row r="19" spans="1:47" x14ac:dyDescent="0.2">
      <c r="A19" s="74" t="s">
        <v>444</v>
      </c>
      <c r="B19" s="75">
        <v>1.3468374209999999E-4</v>
      </c>
      <c r="C19" s="76">
        <f>Мощность3/((f_50_hz/f_nom)^3)*(f_50_hz/f_nom)^3</f>
        <v>1.3468374209999999E-4</v>
      </c>
      <c r="AQ19" s="100">
        <f t="shared" si="1"/>
        <v>3161</v>
      </c>
      <c r="AR19" s="101">
        <v>90</v>
      </c>
      <c r="AS19" s="106" cm="1">
        <f t="array" ref="AS19">[1]!crv_interpolation(Подача_f50_,$Q$42:$Q$91,AR19,2)</f>
        <v>5.7110046942918045</v>
      </c>
      <c r="AT19" s="106" cm="1">
        <f t="array" ref="AT19">[1]!crv_interpolation(Подача_f50_,$S$42:$S$91,AR19,2)</f>
        <v>0.16670043544887025</v>
      </c>
      <c r="AU19" s="107" cm="1">
        <f t="array" ref="AU19">[1]!crv_interpolation(Подача_f50_,$R$42:$R$91,AR19,2)</f>
        <v>0.35073941286903754</v>
      </c>
    </row>
    <row r="20" spans="1:47" x14ac:dyDescent="0.2">
      <c r="A20" s="74" t="s">
        <v>445</v>
      </c>
      <c r="B20" s="75">
        <v>-1.0420451100000001E-6</v>
      </c>
      <c r="C20" s="76">
        <f>Мощность4/((f_50_hz/f_nom)^4)*(f_50_hz/f_nom)^3</f>
        <v>-1.0420451100000001E-6</v>
      </c>
      <c r="AQ20" s="100">
        <f t="shared" si="1"/>
        <v>3161</v>
      </c>
      <c r="AR20" s="101">
        <v>120</v>
      </c>
      <c r="AS20" s="106" cm="1">
        <f t="array" ref="AS20">[1]!crv_interpolation(Подача_f50_,$Q$42:$Q$91,AR20,2)</f>
        <v>5.5837150326468787</v>
      </c>
      <c r="AT20" s="106" cm="1">
        <f t="array" ref="AT20">[1]!crv_interpolation(Подача_f50_,$S$42:$S$91,AR20,2)</f>
        <v>0.18218781766174588</v>
      </c>
      <c r="AU20" s="107" cm="1">
        <f t="array" ref="AU20">[1]!crv_interpolation(Подача_f50_,$R$42:$R$91,AR20,2)</f>
        <v>0.41906083379925896</v>
      </c>
    </row>
    <row r="21" spans="1:47" x14ac:dyDescent="0.2">
      <c r="A21" s="74" t="s">
        <v>446</v>
      </c>
      <c r="B21" s="75">
        <v>3.4441643439999999E-9</v>
      </c>
      <c r="C21" s="76">
        <f>Мощность5/((f_50_hz/f_nom)^5)*(f_50_hz/f_nom)^3</f>
        <v>3.4441643439999999E-9</v>
      </c>
      <c r="AQ21" s="100">
        <f t="shared" si="1"/>
        <v>3161</v>
      </c>
      <c r="AR21" s="101">
        <v>150</v>
      </c>
      <c r="AS21" s="106" cm="1">
        <f t="array" ref="AS21">[1]!crv_interpolation(Подача_f50_,$Q$42:$Q$91,AR21,2)</f>
        <v>5.3636947885120794</v>
      </c>
      <c r="AT21" s="106" cm="1">
        <f t="array" ref="AT21">[1]!crv_interpolation(Подача_f50_,$S$42:$S$91,AR21,2)</f>
        <v>0.194227692780476</v>
      </c>
      <c r="AU21" s="107" cm="1">
        <f t="array" ref="AU21">[1]!crv_interpolation(Подача_f50_,$R$42:$R$91,AR21,2)</f>
        <v>0.46981442456743722</v>
      </c>
    </row>
    <row r="22" spans="1:47" x14ac:dyDescent="0.2">
      <c r="A22" s="74" t="s">
        <v>447</v>
      </c>
      <c r="B22" s="75">
        <v>-4.2609250579999998E-12</v>
      </c>
      <c r="C22" s="76">
        <f>Мощность6/((f_50_hz/f_nom)^6)*(f_50_hz/f_nom)^3</f>
        <v>-4.2609250579999998E-12</v>
      </c>
      <c r="AQ22" s="100">
        <f t="shared" si="1"/>
        <v>3161</v>
      </c>
      <c r="AR22" s="101">
        <v>180</v>
      </c>
      <c r="AS22" s="106" cm="1">
        <f t="array" ref="AS22">[1]!crv_interpolation(Подача_f50_,$Q$42:$Q$91,AR22,2)</f>
        <v>5.0144682995872678</v>
      </c>
      <c r="AT22" s="106" cm="1">
        <f t="array" ref="AT22">[1]!crv_interpolation(Подача_f50_,$S$42:$S$91,AR22,2)</f>
        <v>0.20119752743933586</v>
      </c>
      <c r="AU22" s="107" cm="1">
        <f t="array" ref="AU22">[1]!crv_interpolation(Подача_f50_,$R$42:$R$91,AR22,2)</f>
        <v>0.50753071768391766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3161</v>
      </c>
      <c r="AR23" s="101">
        <v>210</v>
      </c>
      <c r="AS23" s="106" cm="1">
        <f t="array" ref="AS23">[1]!crv_interpolation(Подача_f50_,$Q$42:$Q$91,AR23,2)</f>
        <v>4.47134098539797</v>
      </c>
      <c r="AT23" s="106" cm="1">
        <f t="array" ref="AT23">[1]!crv_interpolation(Подача_f50_,$S$42:$S$91,AR23,2)</f>
        <v>0.20310714411308972</v>
      </c>
      <c r="AU23" s="107" cm="1">
        <f t="array" ref="AU23">[1]!crv_interpolation(Подача_f50_,$R$42:$R$91,AR23,2)</f>
        <v>0.52580479799658131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3161</v>
      </c>
      <c r="AR24" s="101">
        <v>240</v>
      </c>
      <c r="AS24" s="106" cm="1">
        <f t="array" ref="AS24">[1]!crv_interpolation(Подача_f50_,$Q$42:$Q$91,AR24,2)</f>
        <v>3.6156360630475346</v>
      </c>
      <c r="AT24" s="106" cm="1">
        <f t="array" ref="AT24">[1]!crv_interpolation(Подача_f50_,$S$42:$S$91,AR24,2)</f>
        <v>0.19933895377965691</v>
      </c>
      <c r="AU24" s="107" cm="1">
        <f t="array" ref="AU24">[1]!crv_interpolation(Подача_f50_,$R$42:$R$91,AR24,2)</f>
        <v>0.49670259030278524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3161</v>
      </c>
      <c r="AR25" s="101">
        <v>270</v>
      </c>
      <c r="AS25" s="106" cm="1">
        <f t="array" ref="AS25">[1]!crv_interpolation(Подача_f50_,$Q$42:$Q$91,AR25,2)</f>
        <v>2.2393203576025869</v>
      </c>
      <c r="AT25" s="106" cm="1">
        <f t="array" ref="AT25">[1]!crv_interpolation(Подача_f50_,$S$42:$S$91,AR25,2)</f>
        <v>0.18415151101669239</v>
      </c>
      <c r="AU25" s="107" cm="1">
        <f t="array" ref="AU25">[1]!crv_interpolation(Подача_f50_,$R$42:$R$91,AR25,2)</f>
        <v>0.35825373429073432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3161</v>
      </c>
      <c r="AR26" s="103">
        <v>300</v>
      </c>
      <c r="AS26" s="108">
        <v>0</v>
      </c>
      <c r="AT26" s="108" cm="1">
        <f t="array" ref="AT26">[1]!crv_interpolation(Подача_f50_,$S$42:$S$91,AR26,2)</f>
        <v>0.13994452698799842</v>
      </c>
      <c r="AU26" s="109">
        <v>0</v>
      </c>
    </row>
    <row r="27" spans="1:47" x14ac:dyDescent="0.2">
      <c r="A27" s="74" t="s">
        <v>452</v>
      </c>
      <c r="B27" s="75">
        <v>-5.4016438620000003E-3</v>
      </c>
      <c r="C27" s="73">
        <f>К.П.Д.0</f>
        <v>-5.4016438620000003E-3</v>
      </c>
    </row>
    <row r="28" spans="1:47" x14ac:dyDescent="0.2">
      <c r="A28" s="74" t="s">
        <v>453</v>
      </c>
      <c r="B28" s="75">
        <v>0.47743149750000002</v>
      </c>
      <c r="C28" s="76">
        <f>К.П.Д.1/(f_50_hz/f_nom)</f>
        <v>0.47743149750000002</v>
      </c>
    </row>
    <row r="29" spans="1:47" x14ac:dyDescent="0.2">
      <c r="A29" s="74" t="s">
        <v>454</v>
      </c>
      <c r="B29" s="75">
        <v>-6.9820943679999993E-5</v>
      </c>
      <c r="C29" s="76">
        <f>К.П.Д.2/((f_50_hz/f_nom)^2)</f>
        <v>-6.9820943679999993E-5</v>
      </c>
    </row>
    <row r="30" spans="1:47" x14ac:dyDescent="0.2">
      <c r="A30" s="74" t="s">
        <v>455</v>
      </c>
      <c r="B30" s="75">
        <v>-1.6085224050000001E-5</v>
      </c>
      <c r="C30" s="76">
        <f>К.П.Д.3/((f_50_hz/f_nom)^3)</f>
        <v>-1.6085224050000001E-5</v>
      </c>
    </row>
    <row r="31" spans="1:47" x14ac:dyDescent="0.2">
      <c r="A31" s="74" t="s">
        <v>456</v>
      </c>
      <c r="B31" s="75">
        <v>7.0282756210000005E-8</v>
      </c>
      <c r="C31" s="76">
        <f>К.П.Д.4/((f_50_hz/f_nom)^4)</f>
        <v>7.0282756210000005E-8</v>
      </c>
    </row>
    <row r="32" spans="1:47" x14ac:dyDescent="0.2">
      <c r="A32" s="74" t="s">
        <v>457</v>
      </c>
      <c r="B32" s="75">
        <v>-2.660247548E-12</v>
      </c>
      <c r="C32" s="76">
        <f>К.П.Д.5/((f_50_hz/f_nom)^5)</f>
        <v>-2.660247548E-12</v>
      </c>
    </row>
    <row r="33" spans="1:22" x14ac:dyDescent="0.2">
      <c r="A33" s="74" t="s">
        <v>458</v>
      </c>
      <c r="B33" s="75">
        <v>-3.6414512299999999E-13</v>
      </c>
      <c r="C33" s="76">
        <f>К.П.Д.6/((f_50_hz/f_nom)^6)</f>
        <v>-3.6414512299999999E-13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5.7498930829999999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5.7498930829999999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124.99232840000001</v>
      </c>
      <c r="I42" s="84">
        <f>H42/1000</f>
        <v>0.12499232840000001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-5.4016438620000003E-3</v>
      </c>
      <c r="K42" s="84">
        <f>J42/100</f>
        <v>-5.401643862E-5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5.7498930829999999</v>
      </c>
      <c r="R42" s="87">
        <f>D42</f>
        <v>1E-3</v>
      </c>
      <c r="S42" s="47">
        <f t="shared" ref="S42:S73" si="8">I42*(f_50_hz/f_nom)^3</f>
        <v>0.12499232840000001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5.7498930829999999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124.99232840000001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-5.4016438620000003E-3</v>
      </c>
    </row>
    <row r="43" spans="1:22" x14ac:dyDescent="0.2">
      <c r="A43" s="80">
        <v>2</v>
      </c>
      <c r="B43" s="81">
        <v>6.1224489795918302</v>
      </c>
      <c r="C43" s="82">
        <v>5.7591835991037303</v>
      </c>
      <c r="D43" s="82">
        <v>2.91143835868292E-2</v>
      </c>
      <c r="E43" s="75">
        <v>0.137374251192067</v>
      </c>
      <c r="G43" s="89">
        <f t="shared" si="2"/>
        <v>5.7591835991037312</v>
      </c>
      <c r="H43" s="90">
        <f t="shared" si="3"/>
        <v>128.05299309533143</v>
      </c>
      <c r="I43" s="90">
        <f t="shared" ref="I43:I91" si="12">H43/1000</f>
        <v>0.12805299309533144</v>
      </c>
      <c r="J43" s="90">
        <f t="shared" si="4"/>
        <v>2.9114383586829264</v>
      </c>
      <c r="K43" s="90">
        <f t="shared" ref="K43:K91" si="13">J43/100</f>
        <v>2.9114383586829263E-2</v>
      </c>
      <c r="L43" s="90">
        <f t="shared" si="5"/>
        <v>4.0035141090708288</v>
      </c>
      <c r="M43" s="90">
        <f t="shared" ref="M43:M91" si="14">IF(K43&gt;0,L43/K43,0)/1000</f>
        <v>0.13750983589025512</v>
      </c>
      <c r="N43" s="91">
        <f t="shared" ref="N43:N91" si="15">L43/H43</f>
        <v>3.1264510202353012E-2</v>
      </c>
      <c r="P43" s="86">
        <f t="shared" si="6"/>
        <v>6.1224489795918302</v>
      </c>
      <c r="Q43" s="47">
        <f t="shared" si="7"/>
        <v>5.7591835991037303</v>
      </c>
      <c r="R43" s="87">
        <f t="shared" ref="R43:R91" si="16">D43</f>
        <v>2.91143835868292E-2</v>
      </c>
      <c r="S43" s="47">
        <f t="shared" si="8"/>
        <v>0.12805299309533144</v>
      </c>
      <c r="T43" s="88">
        <f t="shared" si="9"/>
        <v>5.7591835991037312</v>
      </c>
      <c r="U43" s="88">
        <f t="shared" si="10"/>
        <v>128.05299309533143</v>
      </c>
      <c r="V43" s="88">
        <f t="shared" si="11"/>
        <v>2.9114383586829264</v>
      </c>
    </row>
    <row r="44" spans="1:22" x14ac:dyDescent="0.2">
      <c r="A44" s="80">
        <v>3</v>
      </c>
      <c r="B44" s="81">
        <v>12.2448979591836</v>
      </c>
      <c r="C44" s="82">
        <v>5.7667148130775798</v>
      </c>
      <c r="D44" s="82">
        <v>5.8022756471535999E-2</v>
      </c>
      <c r="E44" s="75">
        <v>0.13804228106677299</v>
      </c>
      <c r="G44" s="89">
        <f t="shared" si="2"/>
        <v>5.7667148130775852</v>
      </c>
      <c r="H44" s="90">
        <f t="shared" si="3"/>
        <v>130.77559921491178</v>
      </c>
      <c r="I44" s="90">
        <f t="shared" si="12"/>
        <v>0.13077559921491178</v>
      </c>
      <c r="J44" s="90">
        <f t="shared" si="4"/>
        <v>5.8022756471535688</v>
      </c>
      <c r="K44" s="90">
        <f t="shared" si="13"/>
        <v>5.8022756471535687E-2</v>
      </c>
      <c r="L44" s="90">
        <f t="shared" si="5"/>
        <v>8.0174989110389348</v>
      </c>
      <c r="M44" s="90">
        <f t="shared" si="14"/>
        <v>0.13817852509251422</v>
      </c>
      <c r="N44" s="91">
        <f t="shared" si="15"/>
        <v>6.1307300132215595E-2</v>
      </c>
      <c r="P44" s="86">
        <f t="shared" si="6"/>
        <v>12.2448979591836</v>
      </c>
      <c r="Q44" s="47">
        <f t="shared" si="7"/>
        <v>5.7667148130775798</v>
      </c>
      <c r="R44" s="87">
        <f t="shared" si="16"/>
        <v>5.8022756471535999E-2</v>
      </c>
      <c r="S44" s="47">
        <f t="shared" si="8"/>
        <v>0.13077559921491178</v>
      </c>
      <c r="T44" s="88">
        <f t="shared" si="9"/>
        <v>5.7667148130775852</v>
      </c>
      <c r="U44" s="88">
        <f t="shared" si="10"/>
        <v>130.77559921491178</v>
      </c>
      <c r="V44" s="88">
        <f t="shared" si="11"/>
        <v>5.8022756471535688</v>
      </c>
    </row>
    <row r="45" spans="1:22" x14ac:dyDescent="0.2">
      <c r="A45" s="80">
        <v>4</v>
      </c>
      <c r="B45" s="81">
        <v>18.367346938775501</v>
      </c>
      <c r="C45" s="82">
        <v>5.7726096156633098</v>
      </c>
      <c r="D45" s="82">
        <v>8.6485025454464501E-2</v>
      </c>
      <c r="E45" s="75">
        <v>0.13906074110976099</v>
      </c>
      <c r="G45" s="89">
        <f t="shared" si="2"/>
        <v>5.7726096156633151</v>
      </c>
      <c r="H45" s="90">
        <f t="shared" si="3"/>
        <v>133.29721670251593</v>
      </c>
      <c r="I45" s="90">
        <f t="shared" si="12"/>
        <v>0.13329721670251593</v>
      </c>
      <c r="J45" s="90">
        <f t="shared" si="4"/>
        <v>8.6485025454464548</v>
      </c>
      <c r="K45" s="90">
        <f t="shared" si="13"/>
        <v>8.6485025454464542E-2</v>
      </c>
      <c r="L45" s="90">
        <f t="shared" si="5"/>
        <v>12.038541736746819</v>
      </c>
      <c r="M45" s="90">
        <f t="shared" si="14"/>
        <v>0.13919799032822464</v>
      </c>
      <c r="N45" s="91">
        <f t="shared" si="15"/>
        <v>9.0313526677857456E-2</v>
      </c>
      <c r="P45" s="86">
        <f t="shared" si="6"/>
        <v>18.367346938775501</v>
      </c>
      <c r="Q45" s="47">
        <f t="shared" si="7"/>
        <v>5.7726096156633098</v>
      </c>
      <c r="R45" s="87">
        <f t="shared" si="16"/>
        <v>8.6485025454464501E-2</v>
      </c>
      <c r="S45" s="47">
        <f t="shared" si="8"/>
        <v>0.13329721670251593</v>
      </c>
      <c r="T45" s="88">
        <f t="shared" si="9"/>
        <v>5.7726096156633151</v>
      </c>
      <c r="U45" s="88">
        <f t="shared" si="10"/>
        <v>133.29721670251593</v>
      </c>
      <c r="V45" s="88">
        <f t="shared" si="11"/>
        <v>8.6485025454464548</v>
      </c>
    </row>
    <row r="46" spans="1:22" x14ac:dyDescent="0.2">
      <c r="A46" s="80">
        <v>5</v>
      </c>
      <c r="B46" s="81">
        <v>24.4897959183673</v>
      </c>
      <c r="C46" s="82">
        <v>5.7769358522457104</v>
      </c>
      <c r="D46" s="82">
        <v>0.11433846033438499</v>
      </c>
      <c r="E46" s="75">
        <v>0.14035154917342799</v>
      </c>
      <c r="G46" s="89">
        <f t="shared" si="2"/>
        <v>5.7769358522457104</v>
      </c>
      <c r="H46" s="90">
        <f t="shared" si="3"/>
        <v>135.72653652002359</v>
      </c>
      <c r="I46" s="90">
        <f t="shared" si="12"/>
        <v>0.13572653652002359</v>
      </c>
      <c r="J46" s="90">
        <f t="shared" si="4"/>
        <v>11.433846033438531</v>
      </c>
      <c r="K46" s="90">
        <f t="shared" si="13"/>
        <v>0.11433846033438531</v>
      </c>
      <c r="L46" s="90">
        <f t="shared" si="5"/>
        <v>16.063418568744421</v>
      </c>
      <c r="M46" s="90">
        <f t="shared" si="14"/>
        <v>0.14049007238480038</v>
      </c>
      <c r="N46" s="91">
        <f t="shared" si="15"/>
        <v>0.11835134809009587</v>
      </c>
      <c r="P46" s="86">
        <f t="shared" si="6"/>
        <v>24.4897959183673</v>
      </c>
      <c r="Q46" s="47">
        <f t="shared" si="7"/>
        <v>5.7769358522457104</v>
      </c>
      <c r="R46" s="87">
        <f t="shared" si="16"/>
        <v>0.11433846033438499</v>
      </c>
      <c r="S46" s="47">
        <f t="shared" si="8"/>
        <v>0.13572653652002359</v>
      </c>
      <c r="T46" s="88">
        <f t="shared" si="9"/>
        <v>5.7769358522457104</v>
      </c>
      <c r="U46" s="88">
        <f t="shared" si="10"/>
        <v>135.72653652002359</v>
      </c>
      <c r="V46" s="88">
        <f t="shared" si="11"/>
        <v>11.433846033438531</v>
      </c>
    </row>
    <row r="47" spans="1:22" x14ac:dyDescent="0.2">
      <c r="A47" s="80">
        <v>6</v>
      </c>
      <c r="B47" s="81">
        <v>30.612244897959101</v>
      </c>
      <c r="C47" s="82">
        <v>5.7797141708506601</v>
      </c>
      <c r="D47" s="82">
        <v>0.141443304786393</v>
      </c>
      <c r="E47" s="75">
        <v>0.141888103786042</v>
      </c>
      <c r="G47" s="89">
        <f t="shared" si="2"/>
        <v>5.7797141708506645</v>
      </c>
      <c r="H47" s="90">
        <f t="shared" si="3"/>
        <v>138.1470221181842</v>
      </c>
      <c r="I47" s="90">
        <f t="shared" si="12"/>
        <v>0.13814702211818419</v>
      </c>
      <c r="J47" s="90">
        <f t="shared" si="4"/>
        <v>14.144330478639295</v>
      </c>
      <c r="K47" s="90">
        <f t="shared" si="13"/>
        <v>0.14144330478639294</v>
      </c>
      <c r="L47" s="90">
        <f t="shared" si="5"/>
        <v>20.088929994346948</v>
      </c>
      <c r="M47" s="90">
        <f t="shared" si="14"/>
        <v>0.14202814353556825</v>
      </c>
      <c r="N47" s="91">
        <f t="shared" si="15"/>
        <v>0.14541703242188567</v>
      </c>
      <c r="P47" s="86">
        <f t="shared" si="6"/>
        <v>30.612244897959098</v>
      </c>
      <c r="Q47" s="47">
        <f t="shared" si="7"/>
        <v>5.7797141708506601</v>
      </c>
      <c r="R47" s="87">
        <f t="shared" si="16"/>
        <v>0.141443304786393</v>
      </c>
      <c r="S47" s="47">
        <f t="shared" si="8"/>
        <v>0.13814702211818419</v>
      </c>
      <c r="T47" s="88">
        <f t="shared" si="9"/>
        <v>5.7797141708506645</v>
      </c>
      <c r="U47" s="88">
        <f t="shared" si="10"/>
        <v>138.1470221181842</v>
      </c>
      <c r="V47" s="88">
        <f t="shared" si="11"/>
        <v>14.144330478639294</v>
      </c>
    </row>
    <row r="48" spans="1:22" x14ac:dyDescent="0.2">
      <c r="A48" s="80">
        <v>7</v>
      </c>
      <c r="B48" s="81">
        <v>36.734693877551003</v>
      </c>
      <c r="C48" s="82">
        <v>5.7809251762882203</v>
      </c>
      <c r="D48" s="82">
        <v>0.16768226558975499</v>
      </c>
      <c r="E48" s="75">
        <v>0.143652596242416</v>
      </c>
      <c r="G48" s="89">
        <f t="shared" si="2"/>
        <v>5.7809251762882257</v>
      </c>
      <c r="H48" s="90">
        <f t="shared" si="3"/>
        <v>140.61989932744115</v>
      </c>
      <c r="I48" s="90">
        <f t="shared" si="12"/>
        <v>0.14061989932744115</v>
      </c>
      <c r="J48" s="90">
        <f t="shared" si="4"/>
        <v>16.768226558975517</v>
      </c>
      <c r="K48" s="90">
        <f t="shared" si="13"/>
        <v>0.16768226558975516</v>
      </c>
      <c r="L48" s="90">
        <f t="shared" si="5"/>
        <v>24.111766998038867</v>
      </c>
      <c r="M48" s="90">
        <f t="shared" si="14"/>
        <v>0.14379437749863047</v>
      </c>
      <c r="N48" s="91">
        <f t="shared" si="15"/>
        <v>0.17146767358930684</v>
      </c>
      <c r="P48" s="86">
        <f t="shared" si="6"/>
        <v>36.734693877551003</v>
      </c>
      <c r="Q48" s="47">
        <f t="shared" si="7"/>
        <v>5.7809251762882203</v>
      </c>
      <c r="R48" s="87">
        <f t="shared" si="16"/>
        <v>0.16768226558975499</v>
      </c>
      <c r="S48" s="47">
        <f t="shared" si="8"/>
        <v>0.14061989932744115</v>
      </c>
      <c r="T48" s="88">
        <f t="shared" si="9"/>
        <v>5.7809251762882257</v>
      </c>
      <c r="U48" s="88">
        <f t="shared" si="10"/>
        <v>140.61989932744115</v>
      </c>
      <c r="V48" s="88">
        <f t="shared" si="11"/>
        <v>16.768226558975517</v>
      </c>
    </row>
    <row r="49" spans="1:22" x14ac:dyDescent="0.2">
      <c r="A49" s="80">
        <v>8</v>
      </c>
      <c r="B49" s="81">
        <v>42.857142857142797</v>
      </c>
      <c r="C49" s="82">
        <v>5.7805158904406602</v>
      </c>
      <c r="D49" s="82">
        <v>0.19295986376709101</v>
      </c>
      <c r="E49" s="75">
        <v>0.14562960432653899</v>
      </c>
      <c r="G49" s="89">
        <f t="shared" si="2"/>
        <v>5.7805158904406611</v>
      </c>
      <c r="H49" s="90">
        <f t="shared" si="3"/>
        <v>143.18698466881764</v>
      </c>
      <c r="I49" s="90">
        <f t="shared" si="12"/>
        <v>0.14318698466881766</v>
      </c>
      <c r="J49" s="90">
        <f t="shared" si="4"/>
        <v>19.295986376709159</v>
      </c>
      <c r="K49" s="90">
        <f t="shared" si="13"/>
        <v>0.19295986376709159</v>
      </c>
      <c r="L49" s="90">
        <f t="shared" si="5"/>
        <v>28.128403216876386</v>
      </c>
      <c r="M49" s="90">
        <f t="shared" si="14"/>
        <v>0.14577333683666061</v>
      </c>
      <c r="N49" s="91">
        <f t="shared" si="15"/>
        <v>0.19644525151455342</v>
      </c>
      <c r="P49" s="86">
        <f t="shared" si="6"/>
        <v>42.857142857142797</v>
      </c>
      <c r="Q49" s="47">
        <f t="shared" si="7"/>
        <v>5.7805158904406602</v>
      </c>
      <c r="R49" s="87">
        <f t="shared" si="16"/>
        <v>0.19295986376709101</v>
      </c>
      <c r="S49" s="47">
        <f t="shared" si="8"/>
        <v>0.14318698466881766</v>
      </c>
      <c r="T49" s="88">
        <f t="shared" si="9"/>
        <v>5.7805158904406611</v>
      </c>
      <c r="U49" s="88">
        <f t="shared" si="10"/>
        <v>143.18698466881764</v>
      </c>
      <c r="V49" s="88">
        <f t="shared" si="11"/>
        <v>19.295986376709159</v>
      </c>
    </row>
    <row r="50" spans="1:22" x14ac:dyDescent="0.2">
      <c r="A50" s="80">
        <v>9</v>
      </c>
      <c r="B50" s="81">
        <v>48.979591836734599</v>
      </c>
      <c r="C50" s="82">
        <v>5.7784055186955099</v>
      </c>
      <c r="D50" s="82">
        <v>0.217201647634888</v>
      </c>
      <c r="E50" s="75">
        <v>0.14780424325494801</v>
      </c>
      <c r="G50" s="89">
        <f t="shared" si="2"/>
        <v>5.7784055186955152</v>
      </c>
      <c r="H50" s="90">
        <f t="shared" si="3"/>
        <v>145.87335208486351</v>
      </c>
      <c r="I50" s="90">
        <f t="shared" si="12"/>
        <v>0.14587335208486352</v>
      </c>
      <c r="J50" s="90">
        <f t="shared" si="4"/>
        <v>21.720164763488828</v>
      </c>
      <c r="K50" s="90">
        <f t="shared" si="13"/>
        <v>0.21720164763488828</v>
      </c>
      <c r="L50" s="90">
        <f t="shared" si="5"/>
        <v>32.135010282541295</v>
      </c>
      <c r="M50" s="90">
        <f t="shared" si="14"/>
        <v>0.1479501220753151</v>
      </c>
      <c r="N50" s="91">
        <f t="shared" si="15"/>
        <v>0.22029390442639846</v>
      </c>
      <c r="P50" s="86">
        <f t="shared" si="6"/>
        <v>48.979591836734599</v>
      </c>
      <c r="Q50" s="47">
        <f t="shared" si="7"/>
        <v>5.7784055186955099</v>
      </c>
      <c r="R50" s="87">
        <f t="shared" si="16"/>
        <v>0.217201647634888</v>
      </c>
      <c r="S50" s="47">
        <f t="shared" si="8"/>
        <v>0.14587335208486352</v>
      </c>
      <c r="T50" s="88">
        <f t="shared" si="9"/>
        <v>5.7784055186955152</v>
      </c>
      <c r="U50" s="88">
        <f t="shared" si="10"/>
        <v>145.87335208486351</v>
      </c>
      <c r="V50" s="88">
        <f t="shared" si="11"/>
        <v>21.720164763488828</v>
      </c>
    </row>
    <row r="51" spans="1:22" x14ac:dyDescent="0.2">
      <c r="A51" s="80">
        <v>10</v>
      </c>
      <c r="B51" s="81">
        <v>55.1020408163265</v>
      </c>
      <c r="C51" s="82">
        <v>5.7744905225236396</v>
      </c>
      <c r="D51" s="82">
        <v>0.240353267765339</v>
      </c>
      <c r="E51" s="75">
        <v>0.15016135041509199</v>
      </c>
      <c r="G51" s="89">
        <f t="shared" si="2"/>
        <v>5.7744905225236423</v>
      </c>
      <c r="H51" s="90">
        <f t="shared" si="3"/>
        <v>148.68983809066231</v>
      </c>
      <c r="I51" s="90">
        <f t="shared" si="12"/>
        <v>0.1486898380906623</v>
      </c>
      <c r="J51" s="90">
        <f t="shared" si="4"/>
        <v>24.035326776533925</v>
      </c>
      <c r="K51" s="90">
        <f t="shared" si="13"/>
        <v>0.24035326776533925</v>
      </c>
      <c r="L51" s="90">
        <f t="shared" si="5"/>
        <v>36.127392873696984</v>
      </c>
      <c r="M51" s="90">
        <f t="shared" si="14"/>
        <v>0.15030955563694995</v>
      </c>
      <c r="N51" s="91">
        <f t="shared" si="15"/>
        <v>0.24297149917984728</v>
      </c>
      <c r="P51" s="86">
        <f t="shared" si="6"/>
        <v>55.1020408163265</v>
      </c>
      <c r="Q51" s="47">
        <f t="shared" si="7"/>
        <v>5.7744905225236396</v>
      </c>
      <c r="R51" s="87">
        <f t="shared" si="16"/>
        <v>0.240353267765339</v>
      </c>
      <c r="S51" s="47">
        <f t="shared" si="8"/>
        <v>0.1486898380906623</v>
      </c>
      <c r="T51" s="88">
        <f t="shared" si="9"/>
        <v>5.7744905225236423</v>
      </c>
      <c r="U51" s="88">
        <f t="shared" si="10"/>
        <v>148.68983809066231</v>
      </c>
      <c r="V51" s="88">
        <f t="shared" si="11"/>
        <v>24.035326776533925</v>
      </c>
    </row>
    <row r="52" spans="1:22" x14ac:dyDescent="0.2">
      <c r="A52" s="80">
        <v>11</v>
      </c>
      <c r="B52" s="81">
        <v>61.224489795918302</v>
      </c>
      <c r="C52" s="82">
        <v>5.7686489982022602</v>
      </c>
      <c r="D52" s="82">
        <v>0.26237941385952002</v>
      </c>
      <c r="E52" s="75">
        <v>0.152684999124234</v>
      </c>
      <c r="G52" s="89">
        <f t="shared" si="2"/>
        <v>5.7686489982022673</v>
      </c>
      <c r="H52" s="90">
        <f t="shared" si="3"/>
        <v>151.63538534489919</v>
      </c>
      <c r="I52" s="90">
        <f t="shared" si="12"/>
        <v>0.1516353853448992</v>
      </c>
      <c r="J52" s="90">
        <f t="shared" si="4"/>
        <v>26.237941385951991</v>
      </c>
      <c r="K52" s="90">
        <f t="shared" si="13"/>
        <v>0.26237941385951991</v>
      </c>
      <c r="L52" s="90">
        <f t="shared" si="5"/>
        <v>40.100940102298836</v>
      </c>
      <c r="M52" s="90">
        <f t="shared" si="14"/>
        <v>0.1528356951196225</v>
      </c>
      <c r="N52" s="91">
        <f t="shared" si="15"/>
        <v>0.26445634711903199</v>
      </c>
      <c r="P52" s="86">
        <f t="shared" si="6"/>
        <v>61.224489795918295</v>
      </c>
      <c r="Q52" s="47">
        <f t="shared" si="7"/>
        <v>5.7686489982022602</v>
      </c>
      <c r="R52" s="87">
        <f t="shared" si="16"/>
        <v>0.26237941385952002</v>
      </c>
      <c r="S52" s="47">
        <f t="shared" si="8"/>
        <v>0.1516353853448992</v>
      </c>
      <c r="T52" s="88">
        <f t="shared" si="9"/>
        <v>5.7686489982022673</v>
      </c>
      <c r="U52" s="88">
        <f t="shared" si="10"/>
        <v>151.63538534489916</v>
      </c>
      <c r="V52" s="88">
        <f t="shared" si="11"/>
        <v>26.237941385951988</v>
      </c>
    </row>
    <row r="53" spans="1:22" x14ac:dyDescent="0.2">
      <c r="A53" s="80">
        <v>12</v>
      </c>
      <c r="B53" s="81">
        <v>67.346938775510196</v>
      </c>
      <c r="C53" s="82">
        <v>5.7607443616830096</v>
      </c>
      <c r="D53" s="82">
        <v>0.28326261353189502</v>
      </c>
      <c r="E53" s="75">
        <v>0.155358151318326</v>
      </c>
      <c r="G53" s="89">
        <f t="shared" si="2"/>
        <v>5.7607443616830167</v>
      </c>
      <c r="H53" s="90">
        <f t="shared" si="3"/>
        <v>154.69922464099022</v>
      </c>
      <c r="I53" s="90">
        <f t="shared" si="12"/>
        <v>0.15469922464099023</v>
      </c>
      <c r="J53" s="90">
        <f t="shared" si="4"/>
        <v>28.326261353189587</v>
      </c>
      <c r="K53" s="90">
        <f t="shared" si="13"/>
        <v>0.28326261353189586</v>
      </c>
      <c r="L53" s="90">
        <f t="shared" si="5"/>
        <v>44.050589857512293</v>
      </c>
      <c r="M53" s="90">
        <f t="shared" si="14"/>
        <v>0.15551148564317022</v>
      </c>
      <c r="N53" s="91">
        <f t="shared" si="15"/>
        <v>0.28474990718111415</v>
      </c>
      <c r="P53" s="86">
        <f t="shared" si="6"/>
        <v>67.346938775510196</v>
      </c>
      <c r="Q53" s="47">
        <f t="shared" si="7"/>
        <v>5.7607443616830096</v>
      </c>
      <c r="R53" s="87">
        <f t="shared" si="16"/>
        <v>0.28326261353189502</v>
      </c>
      <c r="S53" s="47">
        <f t="shared" si="8"/>
        <v>0.15469922464099023</v>
      </c>
      <c r="T53" s="88">
        <f t="shared" si="9"/>
        <v>5.7607443616830167</v>
      </c>
      <c r="U53" s="88">
        <f t="shared" si="10"/>
        <v>154.69922464099022</v>
      </c>
      <c r="V53" s="88">
        <f t="shared" si="11"/>
        <v>28.326261353189587</v>
      </c>
    </row>
    <row r="54" spans="1:22" x14ac:dyDescent="0.2">
      <c r="A54" s="80">
        <v>13</v>
      </c>
      <c r="B54" s="81">
        <v>73.469387755102005</v>
      </c>
      <c r="C54" s="82">
        <v>5.75062833960496</v>
      </c>
      <c r="D54" s="82">
        <v>0.30300189300615699</v>
      </c>
      <c r="E54" s="75">
        <v>0.158162389825141</v>
      </c>
      <c r="G54" s="89">
        <f t="shared" si="2"/>
        <v>5.7506283396049627</v>
      </c>
      <c r="H54" s="90">
        <f t="shared" si="3"/>
        <v>157.86289531827174</v>
      </c>
      <c r="I54" s="90">
        <f t="shared" si="12"/>
        <v>0.15786289531827175</v>
      </c>
      <c r="J54" s="90">
        <f t="shared" si="4"/>
        <v>30.300189300615699</v>
      </c>
      <c r="K54" s="90">
        <f t="shared" si="13"/>
        <v>0.30300189300615699</v>
      </c>
      <c r="L54" s="90">
        <f t="shared" si="5"/>
        <v>47.970802730888288</v>
      </c>
      <c r="M54" s="90">
        <f t="shared" si="14"/>
        <v>0.15831849185811364</v>
      </c>
      <c r="N54" s="91">
        <f t="shared" si="15"/>
        <v>0.30387636457682488</v>
      </c>
      <c r="P54" s="86">
        <f t="shared" si="6"/>
        <v>73.469387755102005</v>
      </c>
      <c r="Q54" s="47">
        <f t="shared" si="7"/>
        <v>5.75062833960496</v>
      </c>
      <c r="R54" s="87">
        <f t="shared" si="16"/>
        <v>0.30300189300615699</v>
      </c>
      <c r="S54" s="47">
        <f t="shared" si="8"/>
        <v>0.15786289531827175</v>
      </c>
      <c r="T54" s="88">
        <f t="shared" si="9"/>
        <v>5.7506283396049627</v>
      </c>
      <c r="U54" s="88">
        <f t="shared" si="10"/>
        <v>157.86289531827174</v>
      </c>
      <c r="V54" s="88">
        <f t="shared" si="11"/>
        <v>30.300189300615699</v>
      </c>
    </row>
    <row r="55" spans="1:22" x14ac:dyDescent="0.2">
      <c r="A55" s="80">
        <v>14</v>
      </c>
      <c r="B55" s="81">
        <v>79.5918367346938</v>
      </c>
      <c r="C55" s="82">
        <v>5.7381432664526404</v>
      </c>
      <c r="D55" s="82">
        <v>0.321611299722388</v>
      </c>
      <c r="E55" s="75">
        <v>0.16107771283723801</v>
      </c>
      <c r="G55" s="89">
        <f t="shared" si="2"/>
        <v>5.7381432664526448</v>
      </c>
      <c r="H55" s="90">
        <f t="shared" si="3"/>
        <v>161.10210409325094</v>
      </c>
      <c r="I55" s="90">
        <f t="shared" si="12"/>
        <v>0.16110210409325093</v>
      </c>
      <c r="J55" s="90">
        <f t="shared" si="4"/>
        <v>32.161129972238861</v>
      </c>
      <c r="K55" s="90">
        <f t="shared" si="13"/>
        <v>0.32161129972238861</v>
      </c>
      <c r="L55" s="90">
        <f t="shared" si="5"/>
        <v>51.855542146450155</v>
      </c>
      <c r="M55" s="90">
        <f t="shared" si="14"/>
        <v>0.16123669221576262</v>
      </c>
      <c r="N55" s="91">
        <f t="shared" si="15"/>
        <v>0.32187998063907686</v>
      </c>
      <c r="P55" s="86">
        <f t="shared" si="6"/>
        <v>79.5918367346938</v>
      </c>
      <c r="Q55" s="47">
        <f t="shared" si="7"/>
        <v>5.7381432664526404</v>
      </c>
      <c r="R55" s="87">
        <f t="shared" si="16"/>
        <v>0.321611299722388</v>
      </c>
      <c r="S55" s="47">
        <f t="shared" si="8"/>
        <v>0.16110210409325093</v>
      </c>
      <c r="T55" s="88">
        <f t="shared" si="9"/>
        <v>5.7381432664526448</v>
      </c>
      <c r="U55" s="88">
        <f t="shared" si="10"/>
        <v>161.10210409325094</v>
      </c>
      <c r="V55" s="88">
        <f t="shared" si="11"/>
        <v>32.161129972238861</v>
      </c>
    </row>
    <row r="56" spans="1:22" x14ac:dyDescent="0.2">
      <c r="A56" s="80">
        <v>15</v>
      </c>
      <c r="B56" s="81">
        <v>85.714285714285694</v>
      </c>
      <c r="C56" s="82">
        <v>5.7231236878591103</v>
      </c>
      <c r="D56" s="82">
        <v>0.33911828685556999</v>
      </c>
      <c r="E56" s="75">
        <v>0.16408238952128301</v>
      </c>
      <c r="G56" s="89">
        <f t="shared" si="2"/>
        <v>5.7231236878591103</v>
      </c>
      <c r="H56" s="90">
        <f t="shared" si="3"/>
        <v>164.38842231091749</v>
      </c>
      <c r="I56" s="90">
        <f t="shared" si="12"/>
        <v>0.16438842231091749</v>
      </c>
      <c r="J56" s="90">
        <f t="shared" si="4"/>
        <v>33.911828685557069</v>
      </c>
      <c r="K56" s="90">
        <f t="shared" si="13"/>
        <v>0.33911828685557066</v>
      </c>
      <c r="L56" s="90">
        <f t="shared" si="5"/>
        <v>55.698257319343114</v>
      </c>
      <c r="M56" s="90">
        <f t="shared" si="14"/>
        <v>0.16424433443503689</v>
      </c>
      <c r="N56" s="91">
        <f t="shared" si="15"/>
        <v>0.33882104674012703</v>
      </c>
      <c r="P56" s="86">
        <f t="shared" si="6"/>
        <v>85.714285714285694</v>
      </c>
      <c r="Q56" s="47">
        <f t="shared" si="7"/>
        <v>5.7231236878591103</v>
      </c>
      <c r="R56" s="87">
        <f t="shared" si="16"/>
        <v>0.33911828685556999</v>
      </c>
      <c r="S56" s="47">
        <f t="shared" si="8"/>
        <v>0.16438842231091749</v>
      </c>
      <c r="T56" s="88">
        <f t="shared" si="9"/>
        <v>5.7231236878591103</v>
      </c>
      <c r="U56" s="88">
        <f t="shared" si="10"/>
        <v>164.38842231091749</v>
      </c>
      <c r="V56" s="88">
        <f t="shared" si="11"/>
        <v>33.911828685557069</v>
      </c>
    </row>
    <row r="57" spans="1:22" x14ac:dyDescent="0.2">
      <c r="A57" s="80">
        <v>16</v>
      </c>
      <c r="B57" s="81">
        <v>91.836734693877503</v>
      </c>
      <c r="C57" s="82">
        <v>5.7053972700539299</v>
      </c>
      <c r="D57" s="82">
        <v>0.355561959745407</v>
      </c>
      <c r="E57" s="75">
        <v>0.16715288308599099</v>
      </c>
      <c r="G57" s="89">
        <f t="shared" si="2"/>
        <v>5.7053972700539344</v>
      </c>
      <c r="H57" s="90">
        <f t="shared" si="3"/>
        <v>167.69082161611476</v>
      </c>
      <c r="I57" s="90">
        <f t="shared" si="12"/>
        <v>0.16769082161611476</v>
      </c>
      <c r="J57" s="90">
        <f t="shared" si="4"/>
        <v>35.556195974540763</v>
      </c>
      <c r="K57" s="90">
        <f t="shared" si="13"/>
        <v>0.35556195974540761</v>
      </c>
      <c r="L57" s="90">
        <f t="shared" si="5"/>
        <v>59.491865666697514</v>
      </c>
      <c r="M57" s="90">
        <f t="shared" si="14"/>
        <v>0.16731785849446709</v>
      </c>
      <c r="N57" s="91">
        <f t="shared" si="15"/>
        <v>0.35477115022364741</v>
      </c>
      <c r="P57" s="86">
        <f t="shared" si="6"/>
        <v>91.836734693877503</v>
      </c>
      <c r="Q57" s="47">
        <f t="shared" si="7"/>
        <v>5.7053972700539299</v>
      </c>
      <c r="R57" s="87">
        <f t="shared" si="16"/>
        <v>0.355561959745407</v>
      </c>
      <c r="S57" s="47">
        <f t="shared" si="8"/>
        <v>0.16769082161611476</v>
      </c>
      <c r="T57" s="88">
        <f t="shared" si="9"/>
        <v>5.7053972700539344</v>
      </c>
      <c r="U57" s="88">
        <f t="shared" si="10"/>
        <v>167.69082161611476</v>
      </c>
      <c r="V57" s="88">
        <f t="shared" si="11"/>
        <v>35.556195974540763</v>
      </c>
    </row>
    <row r="58" spans="1:22" x14ac:dyDescent="0.2">
      <c r="A58" s="80">
        <v>17</v>
      </c>
      <c r="B58" s="81">
        <v>97.959183673469298</v>
      </c>
      <c r="C58" s="82">
        <v>5.6847850154562298</v>
      </c>
      <c r="D58" s="82">
        <v>0.370991184237494</v>
      </c>
      <c r="E58" s="75">
        <v>0.17026385113471301</v>
      </c>
      <c r="G58" s="89">
        <f t="shared" si="2"/>
        <v>5.6847850154562343</v>
      </c>
      <c r="H58" s="90">
        <f t="shared" si="3"/>
        <v>170.9770480449736</v>
      </c>
      <c r="I58" s="90">
        <f t="shared" si="12"/>
        <v>0.1709770480449736</v>
      </c>
      <c r="J58" s="90">
        <f t="shared" si="4"/>
        <v>37.099118423749424</v>
      </c>
      <c r="K58" s="90">
        <f t="shared" si="13"/>
        <v>0.37099118423749422</v>
      </c>
      <c r="L58" s="90">
        <f t="shared" si="5"/>
        <v>63.22873129436006</v>
      </c>
      <c r="M58" s="90">
        <f t="shared" si="14"/>
        <v>0.17043189698514094</v>
      </c>
      <c r="N58" s="91">
        <f t="shared" si="15"/>
        <v>0.36980829893453565</v>
      </c>
      <c r="P58" s="86">
        <f t="shared" si="6"/>
        <v>97.959183673469312</v>
      </c>
      <c r="Q58" s="47">
        <f t="shared" si="7"/>
        <v>5.6847850154562298</v>
      </c>
      <c r="R58" s="87">
        <f t="shared" si="16"/>
        <v>0.370991184237494</v>
      </c>
      <c r="S58" s="47">
        <f t="shared" si="8"/>
        <v>0.1709770480449736</v>
      </c>
      <c r="T58" s="88">
        <f t="shared" si="9"/>
        <v>5.6847850154562343</v>
      </c>
      <c r="U58" s="88">
        <f t="shared" si="10"/>
        <v>170.97704804497366</v>
      </c>
      <c r="V58" s="88">
        <f t="shared" si="11"/>
        <v>37.099118423749424</v>
      </c>
    </row>
    <row r="59" spans="1:22" x14ac:dyDescent="0.2">
      <c r="A59" s="80">
        <v>18</v>
      </c>
      <c r="B59" s="81">
        <v>104.08163265306101</v>
      </c>
      <c r="C59" s="82">
        <v>5.6611007844126897</v>
      </c>
      <c r="D59" s="82">
        <v>0.385462556935807</v>
      </c>
      <c r="E59" s="75">
        <v>0.17338823435189299</v>
      </c>
      <c r="G59" s="89">
        <f t="shared" si="2"/>
        <v>5.6611007844126915</v>
      </c>
      <c r="H59" s="90">
        <f t="shared" si="3"/>
        <v>174.21483453640568</v>
      </c>
      <c r="I59" s="90">
        <f t="shared" si="12"/>
        <v>0.17421483453640568</v>
      </c>
      <c r="J59" s="90">
        <f t="shared" si="4"/>
        <v>38.546255693580662</v>
      </c>
      <c r="K59" s="90">
        <f t="shared" si="13"/>
        <v>0.38546255693580661</v>
      </c>
      <c r="L59" s="90">
        <f t="shared" si="5"/>
        <v>66.900636183142169</v>
      </c>
      <c r="M59" s="90">
        <f t="shared" si="14"/>
        <v>0.17355936388468346</v>
      </c>
      <c r="N59" s="91">
        <f t="shared" si="15"/>
        <v>0.38401228208360144</v>
      </c>
      <c r="P59" s="86">
        <f t="shared" si="6"/>
        <v>104.08163265306101</v>
      </c>
      <c r="Q59" s="47">
        <f t="shared" si="7"/>
        <v>5.6611007844126897</v>
      </c>
      <c r="R59" s="87">
        <f t="shared" si="16"/>
        <v>0.385462556935807</v>
      </c>
      <c r="S59" s="47">
        <f t="shared" si="8"/>
        <v>0.17421483453640568</v>
      </c>
      <c r="T59" s="88">
        <f t="shared" si="9"/>
        <v>5.6611007844126915</v>
      </c>
      <c r="U59" s="88">
        <f t="shared" si="10"/>
        <v>174.21483453640568</v>
      </c>
      <c r="V59" s="88">
        <f t="shared" si="11"/>
        <v>38.546255693580662</v>
      </c>
    </row>
    <row r="60" spans="1:22" x14ac:dyDescent="0.2">
      <c r="A60" s="80">
        <v>19</v>
      </c>
      <c r="B60" s="81">
        <v>110.204081632653</v>
      </c>
      <c r="C60" s="82">
        <v>5.63415012308056</v>
      </c>
      <c r="D60" s="82">
        <v>0.39903823736653099</v>
      </c>
      <c r="E60" s="75">
        <v>0.17649744396605199</v>
      </c>
      <c r="G60" s="89">
        <f t="shared" si="2"/>
        <v>5.634150123080568</v>
      </c>
      <c r="H60" s="90">
        <f t="shared" si="3"/>
        <v>177.37295186365782</v>
      </c>
      <c r="I60" s="90">
        <f t="shared" si="12"/>
        <v>0.17737295186365781</v>
      </c>
      <c r="J60" s="90">
        <f t="shared" si="4"/>
        <v>39.903823736653081</v>
      </c>
      <c r="K60" s="90">
        <f t="shared" si="13"/>
        <v>0.39903823736653082</v>
      </c>
      <c r="L60" s="90">
        <f t="shared" si="5"/>
        <v>70.498740698240141</v>
      </c>
      <c r="M60" s="90">
        <f t="shared" si="14"/>
        <v>0.17667164220526702</v>
      </c>
      <c r="N60" s="91">
        <f t="shared" si="15"/>
        <v>0.39746049190426042</v>
      </c>
      <c r="P60" s="86">
        <f t="shared" si="6"/>
        <v>110.204081632653</v>
      </c>
      <c r="Q60" s="47">
        <f t="shared" si="7"/>
        <v>5.63415012308056</v>
      </c>
      <c r="R60" s="87">
        <f t="shared" si="16"/>
        <v>0.39903823736653099</v>
      </c>
      <c r="S60" s="47">
        <f t="shared" si="8"/>
        <v>0.17737295186365781</v>
      </c>
      <c r="T60" s="88">
        <f t="shared" si="9"/>
        <v>5.634150123080568</v>
      </c>
      <c r="U60" s="88">
        <f t="shared" si="10"/>
        <v>177.37295186365782</v>
      </c>
      <c r="V60" s="88">
        <f t="shared" si="11"/>
        <v>39.903823736653081</v>
      </c>
    </row>
    <row r="61" spans="1:22" x14ac:dyDescent="0.2">
      <c r="A61" s="80">
        <v>20</v>
      </c>
      <c r="B61" s="81">
        <v>116.326530612244</v>
      </c>
      <c r="C61" s="82">
        <v>5.6037283974556997</v>
      </c>
      <c r="D61" s="82">
        <v>0.41178364205321599</v>
      </c>
      <c r="E61" s="75">
        <v>0.17956165605844099</v>
      </c>
      <c r="G61" s="89">
        <f t="shared" si="2"/>
        <v>5.6037283974557068</v>
      </c>
      <c r="H61" s="90">
        <f t="shared" si="3"/>
        <v>180.42209798592668</v>
      </c>
      <c r="I61" s="90">
        <f t="shared" si="12"/>
        <v>0.18042209798592668</v>
      </c>
      <c r="J61" s="90">
        <f t="shared" si="4"/>
        <v>41.178364205321486</v>
      </c>
      <c r="K61" s="90">
        <f t="shared" si="13"/>
        <v>0.41178364205321488</v>
      </c>
      <c r="L61" s="90">
        <f t="shared" si="5"/>
        <v>74.013530045476173</v>
      </c>
      <c r="M61" s="90">
        <f t="shared" si="14"/>
        <v>0.17973887859273291</v>
      </c>
      <c r="N61" s="91">
        <f t="shared" si="15"/>
        <v>0.41022430662151699</v>
      </c>
      <c r="P61" s="86">
        <f t="shared" si="6"/>
        <v>116.326530612244</v>
      </c>
      <c r="Q61" s="47">
        <f t="shared" si="7"/>
        <v>5.6037283974556997</v>
      </c>
      <c r="R61" s="87">
        <f t="shared" si="16"/>
        <v>0.41178364205321599</v>
      </c>
      <c r="S61" s="47">
        <f t="shared" si="8"/>
        <v>0.18042209798592668</v>
      </c>
      <c r="T61" s="88">
        <f t="shared" si="9"/>
        <v>5.6037283974557068</v>
      </c>
      <c r="U61" s="88">
        <f t="shared" si="10"/>
        <v>180.42209798592668</v>
      </c>
      <c r="V61" s="88">
        <f t="shared" si="11"/>
        <v>41.178364205321486</v>
      </c>
    </row>
    <row r="62" spans="1:22" x14ac:dyDescent="0.2">
      <c r="A62" s="80">
        <v>21</v>
      </c>
      <c r="B62" s="81">
        <v>122.44897959183599</v>
      </c>
      <c r="C62" s="82">
        <v>5.56961823354552</v>
      </c>
      <c r="D62" s="82">
        <v>0.42376500050326699</v>
      </c>
      <c r="E62" s="75">
        <v>0.18255021662773999</v>
      </c>
      <c r="G62" s="89">
        <f t="shared" si="2"/>
        <v>5.5696182335455289</v>
      </c>
      <c r="H62" s="90">
        <f t="shared" si="3"/>
        <v>183.33562582003719</v>
      </c>
      <c r="I62" s="90">
        <f t="shared" si="12"/>
        <v>0.18333562582003721</v>
      </c>
      <c r="J62" s="90">
        <f t="shared" si="4"/>
        <v>42.376500050326641</v>
      </c>
      <c r="K62" s="90">
        <f t="shared" si="13"/>
        <v>0.42376500050326643</v>
      </c>
      <c r="L62" s="90">
        <f t="shared" si="5"/>
        <v>77.434743298017594</v>
      </c>
      <c r="M62" s="90">
        <f t="shared" si="14"/>
        <v>0.18273038879108827</v>
      </c>
      <c r="N62" s="91">
        <f t="shared" si="15"/>
        <v>0.42236604561531194</v>
      </c>
      <c r="P62" s="86">
        <f t="shared" si="6"/>
        <v>122.44897959183599</v>
      </c>
      <c r="Q62" s="47">
        <f t="shared" si="7"/>
        <v>5.56961823354552</v>
      </c>
      <c r="R62" s="87">
        <f t="shared" si="16"/>
        <v>0.42376500050326699</v>
      </c>
      <c r="S62" s="47">
        <f t="shared" si="8"/>
        <v>0.18333562582003721</v>
      </c>
      <c r="T62" s="88">
        <f t="shared" si="9"/>
        <v>5.5696182335455289</v>
      </c>
      <c r="U62" s="88">
        <f t="shared" si="10"/>
        <v>183.33562582003719</v>
      </c>
      <c r="V62" s="88">
        <f t="shared" si="11"/>
        <v>42.376500050326641</v>
      </c>
    </row>
    <row r="63" spans="1:22" x14ac:dyDescent="0.2">
      <c r="A63" s="80">
        <v>22</v>
      </c>
      <c r="B63" s="81">
        <v>128.57142857142799</v>
      </c>
      <c r="C63" s="82">
        <v>5.5315862636870499</v>
      </c>
      <c r="D63" s="82">
        <v>0.43504677310576101</v>
      </c>
      <c r="E63" s="75">
        <v>0.18543215543844699</v>
      </c>
      <c r="G63" s="89">
        <f t="shared" si="2"/>
        <v>5.531586263687057</v>
      </c>
      <c r="H63" s="90">
        <f t="shared" si="3"/>
        <v>186.09010943217618</v>
      </c>
      <c r="I63" s="90">
        <f t="shared" si="12"/>
        <v>0.18609010943217619</v>
      </c>
      <c r="J63" s="90">
        <f t="shared" si="4"/>
        <v>43.504677310576064</v>
      </c>
      <c r="K63" s="90">
        <f t="shared" si="13"/>
        <v>0.43504677310576062</v>
      </c>
      <c r="L63" s="90">
        <f t="shared" si="5"/>
        <v>80.751281617216833</v>
      </c>
      <c r="M63" s="90">
        <f t="shared" si="14"/>
        <v>0.18561517199803723</v>
      </c>
      <c r="N63" s="91">
        <f t="shared" si="15"/>
        <v>0.43393645080663495</v>
      </c>
      <c r="P63" s="86">
        <f t="shared" si="6"/>
        <v>128.57142857142799</v>
      </c>
      <c r="Q63" s="47">
        <f t="shared" si="7"/>
        <v>5.5315862636870499</v>
      </c>
      <c r="R63" s="87">
        <f t="shared" si="16"/>
        <v>0.43504677310576101</v>
      </c>
      <c r="S63" s="47">
        <f t="shared" si="8"/>
        <v>0.18609010943217619</v>
      </c>
      <c r="T63" s="88">
        <f t="shared" si="9"/>
        <v>5.531586263687057</v>
      </c>
      <c r="U63" s="88">
        <f t="shared" si="10"/>
        <v>186.09010943217618</v>
      </c>
      <c r="V63" s="88">
        <f t="shared" si="11"/>
        <v>43.504677310576064</v>
      </c>
    </row>
    <row r="64" spans="1:22" x14ac:dyDescent="0.2">
      <c r="A64" s="80">
        <v>23</v>
      </c>
      <c r="B64" s="81">
        <v>134.69387755101999</v>
      </c>
      <c r="C64" s="82">
        <v>5.48937917900989</v>
      </c>
      <c r="D64" s="82">
        <v>0.44568893094059903</v>
      </c>
      <c r="E64" s="75">
        <v>0.188176799314349</v>
      </c>
      <c r="G64" s="89">
        <f t="shared" si="2"/>
        <v>5.4893791790098918</v>
      </c>
      <c r="H64" s="90">
        <f t="shared" si="3"/>
        <v>188.66574864969201</v>
      </c>
      <c r="I64" s="90">
        <f t="shared" si="12"/>
        <v>0.18866574864969202</v>
      </c>
      <c r="J64" s="90">
        <f t="shared" si="4"/>
        <v>44.568893094059874</v>
      </c>
      <c r="K64" s="90">
        <f t="shared" si="13"/>
        <v>0.44568893094059875</v>
      </c>
      <c r="L64" s="90">
        <f t="shared" si="5"/>
        <v>83.951092291235184</v>
      </c>
      <c r="M64" s="90">
        <f t="shared" si="14"/>
        <v>0.18836252476376658</v>
      </c>
      <c r="N64" s="91">
        <f t="shared" si="15"/>
        <v>0.44497261899462554</v>
      </c>
      <c r="P64" s="86">
        <f t="shared" si="6"/>
        <v>134.69387755101999</v>
      </c>
      <c r="Q64" s="47">
        <f t="shared" si="7"/>
        <v>5.48937917900989</v>
      </c>
      <c r="R64" s="87">
        <f t="shared" si="16"/>
        <v>0.44568893094059903</v>
      </c>
      <c r="S64" s="47">
        <f t="shared" si="8"/>
        <v>0.18866574864969202</v>
      </c>
      <c r="T64" s="88">
        <f t="shared" si="9"/>
        <v>5.4893791790098918</v>
      </c>
      <c r="U64" s="88">
        <f t="shared" si="10"/>
        <v>188.66574864969201</v>
      </c>
      <c r="V64" s="88">
        <f t="shared" si="11"/>
        <v>44.568893094059874</v>
      </c>
    </row>
    <row r="65" spans="1:22" x14ac:dyDescent="0.2">
      <c r="A65" s="80">
        <v>24</v>
      </c>
      <c r="B65" s="81">
        <v>140.816326530612</v>
      </c>
      <c r="C65" s="82">
        <v>5.4427190880441998</v>
      </c>
      <c r="D65" s="82">
        <v>0.45574409749898898</v>
      </c>
      <c r="E65" s="75">
        <v>0.19075446716986799</v>
      </c>
      <c r="G65" s="89">
        <f t="shared" si="2"/>
        <v>5.4427190880442096</v>
      </c>
      <c r="H65" s="90">
        <f t="shared" si="3"/>
        <v>191.04661209295227</v>
      </c>
      <c r="I65" s="90">
        <f t="shared" si="12"/>
        <v>0.19104661209295226</v>
      </c>
      <c r="J65" s="90">
        <f t="shared" si="4"/>
        <v>45.574409749898891</v>
      </c>
      <c r="K65" s="90">
        <f t="shared" si="13"/>
        <v>0.45574409749898892</v>
      </c>
      <c r="L65" s="90">
        <f t="shared" si="5"/>
        <v>87.021025215094284</v>
      </c>
      <c r="M65" s="90">
        <f t="shared" si="14"/>
        <v>0.19094273670826278</v>
      </c>
      <c r="N65" s="91">
        <f t="shared" si="15"/>
        <v>0.45549630146152431</v>
      </c>
      <c r="P65" s="86">
        <f t="shared" si="6"/>
        <v>140.816326530612</v>
      </c>
      <c r="Q65" s="47">
        <f t="shared" si="7"/>
        <v>5.4427190880441998</v>
      </c>
      <c r="R65" s="87">
        <f t="shared" si="16"/>
        <v>0.45574409749898898</v>
      </c>
      <c r="S65" s="47">
        <f t="shared" si="8"/>
        <v>0.19104661209295226</v>
      </c>
      <c r="T65" s="88">
        <f t="shared" si="9"/>
        <v>5.4427190880442096</v>
      </c>
      <c r="U65" s="88">
        <f t="shared" si="10"/>
        <v>191.04661209295227</v>
      </c>
      <c r="V65" s="88">
        <f t="shared" si="11"/>
        <v>45.574409749898891</v>
      </c>
    </row>
    <row r="66" spans="1:22" x14ac:dyDescent="0.2">
      <c r="A66" s="80">
        <v>25</v>
      </c>
      <c r="B66" s="81">
        <v>146.93877551020401</v>
      </c>
      <c r="C66" s="82">
        <v>5.39129818147374</v>
      </c>
      <c r="D66" s="82">
        <v>0.46525455231525997</v>
      </c>
      <c r="E66" s="75">
        <v>0.19313722043864201</v>
      </c>
      <c r="G66" s="89">
        <f t="shared" si="2"/>
        <v>5.3912981814737435</v>
      </c>
      <c r="H66" s="90">
        <f t="shared" si="3"/>
        <v>193.22071862726384</v>
      </c>
      <c r="I66" s="90">
        <f t="shared" si="12"/>
        <v>0.19322071862726384</v>
      </c>
      <c r="J66" s="90">
        <f t="shared" si="4"/>
        <v>46.525455231525974</v>
      </c>
      <c r="K66" s="90">
        <f t="shared" si="13"/>
        <v>0.46525455231525975</v>
      </c>
      <c r="L66" s="90">
        <f t="shared" si="5"/>
        <v>89.946658435811841</v>
      </c>
      <c r="M66" s="90">
        <f t="shared" si="14"/>
        <v>0.19332784169054912</v>
      </c>
      <c r="N66" s="91">
        <f t="shared" si="15"/>
        <v>0.46551249304338416</v>
      </c>
      <c r="P66" s="86">
        <f t="shared" si="6"/>
        <v>146.93877551020401</v>
      </c>
      <c r="Q66" s="47">
        <f t="shared" si="7"/>
        <v>5.39129818147374</v>
      </c>
      <c r="R66" s="87">
        <f t="shared" si="16"/>
        <v>0.46525455231525997</v>
      </c>
      <c r="S66" s="47">
        <f t="shared" si="8"/>
        <v>0.19322071862726384</v>
      </c>
      <c r="T66" s="88">
        <f t="shared" si="9"/>
        <v>5.3912981814737435</v>
      </c>
      <c r="U66" s="88">
        <f t="shared" si="10"/>
        <v>193.22071862726384</v>
      </c>
      <c r="V66" s="88">
        <f t="shared" si="11"/>
        <v>46.525455231525974</v>
      </c>
    </row>
    <row r="67" spans="1:22" x14ac:dyDescent="0.2">
      <c r="A67" s="80">
        <v>26</v>
      </c>
      <c r="B67" s="81">
        <v>153.06122448979499</v>
      </c>
      <c r="C67" s="82">
        <v>5.3347727030337797</v>
      </c>
      <c r="D67" s="82">
        <v>0.47424909651000502</v>
      </c>
      <c r="E67" s="75">
        <v>0.19529963461760699</v>
      </c>
      <c r="G67" s="89">
        <f t="shared" si="2"/>
        <v>5.3347727030337921</v>
      </c>
      <c r="H67" s="90">
        <f t="shared" si="3"/>
        <v>195.17995723485171</v>
      </c>
      <c r="I67" s="90">
        <f t="shared" si="12"/>
        <v>0.19517995723485171</v>
      </c>
      <c r="J67" s="90">
        <f t="shared" si="4"/>
        <v>47.424909651000398</v>
      </c>
      <c r="K67" s="90">
        <f t="shared" si="13"/>
        <v>0.47424909651000396</v>
      </c>
      <c r="L67" s="90">
        <f t="shared" si="5"/>
        <v>92.7120893862689</v>
      </c>
      <c r="M67" s="90">
        <f t="shared" si="14"/>
        <v>0.1954923901142597</v>
      </c>
      <c r="N67" s="91">
        <f t="shared" si="15"/>
        <v>0.47500824725928392</v>
      </c>
      <c r="P67" s="86">
        <f t="shared" si="6"/>
        <v>153.06122448979499</v>
      </c>
      <c r="Q67" s="47">
        <f t="shared" si="7"/>
        <v>5.3347727030337797</v>
      </c>
      <c r="R67" s="87">
        <f t="shared" si="16"/>
        <v>0.47424909651000502</v>
      </c>
      <c r="S67" s="47">
        <f t="shared" si="8"/>
        <v>0.19517995723485171</v>
      </c>
      <c r="T67" s="88">
        <f t="shared" si="9"/>
        <v>5.3347727030337921</v>
      </c>
      <c r="U67" s="88">
        <f t="shared" si="10"/>
        <v>195.17995723485171</v>
      </c>
      <c r="V67" s="88">
        <f t="shared" si="11"/>
        <v>47.424909651000398</v>
      </c>
    </row>
    <row r="68" spans="1:22" x14ac:dyDescent="0.2">
      <c r="A68" s="80">
        <v>27</v>
      </c>
      <c r="B68" s="81">
        <v>159.183673469387</v>
      </c>
      <c r="C68" s="82">
        <v>5.2727562265541303</v>
      </c>
      <c r="D68" s="82">
        <v>0.48273978024456099</v>
      </c>
      <c r="E68" s="75">
        <v>0.197219551474386</v>
      </c>
      <c r="G68" s="89">
        <f t="shared" si="2"/>
        <v>5.2727562265541446</v>
      </c>
      <c r="H68" s="90">
        <f t="shared" si="3"/>
        <v>196.91984530690144</v>
      </c>
      <c r="I68" s="90">
        <f t="shared" si="12"/>
        <v>0.19691984530690143</v>
      </c>
      <c r="J68" s="90">
        <f t="shared" si="4"/>
        <v>48.273978024456071</v>
      </c>
      <c r="K68" s="90">
        <f t="shared" si="13"/>
        <v>0.48273978024456071</v>
      </c>
      <c r="L68" s="90">
        <f t="shared" si="5"/>
        <v>95.299688431468979</v>
      </c>
      <c r="M68" s="90">
        <f t="shared" si="14"/>
        <v>0.19741420187743636</v>
      </c>
      <c r="N68" s="91">
        <f t="shared" si="15"/>
        <v>0.48395167222959939</v>
      </c>
      <c r="P68" s="86">
        <f t="shared" si="6"/>
        <v>159.183673469387</v>
      </c>
      <c r="Q68" s="47">
        <f t="shared" si="7"/>
        <v>5.2727562265541303</v>
      </c>
      <c r="R68" s="87">
        <f t="shared" si="16"/>
        <v>0.48273978024456099</v>
      </c>
      <c r="S68" s="47">
        <f t="shared" si="8"/>
        <v>0.19691984530690143</v>
      </c>
      <c r="T68" s="88">
        <f t="shared" si="9"/>
        <v>5.2727562265541446</v>
      </c>
      <c r="U68" s="88">
        <f t="shared" si="10"/>
        <v>196.91984530690144</v>
      </c>
      <c r="V68" s="88">
        <f t="shared" si="11"/>
        <v>48.273978024456071</v>
      </c>
    </row>
    <row r="69" spans="1:22" x14ac:dyDescent="0.2">
      <c r="A69" s="80">
        <v>28</v>
      </c>
      <c r="B69" s="81">
        <v>165.30612244897901</v>
      </c>
      <c r="C69" s="82">
        <v>5.2048122391471097</v>
      </c>
      <c r="D69" s="82">
        <v>0.490718492086816</v>
      </c>
      <c r="E69" s="75">
        <v>0.19887876811369701</v>
      </c>
      <c r="G69" s="89">
        <f t="shared" si="2"/>
        <v>5.2048122391471239</v>
      </c>
      <c r="H69" s="90">
        <f t="shared" si="3"/>
        <v>198.439125355659</v>
      </c>
      <c r="I69" s="90">
        <f t="shared" si="12"/>
        <v>0.198439125355659</v>
      </c>
      <c r="J69" s="90">
        <f t="shared" si="4"/>
        <v>49.071849208681527</v>
      </c>
      <c r="K69" s="90">
        <f t="shared" si="13"/>
        <v>0.49071849208681528</v>
      </c>
      <c r="L69" s="90">
        <f t="shared" si="5"/>
        <v>97.689811350828393</v>
      </c>
      <c r="M69" s="90">
        <f t="shared" si="14"/>
        <v>0.1990750561190297</v>
      </c>
      <c r="N69" s="91">
        <f t="shared" si="15"/>
        <v>0.49229108007677741</v>
      </c>
      <c r="P69" s="86">
        <f t="shared" si="6"/>
        <v>165.30612244897901</v>
      </c>
      <c r="Q69" s="47">
        <f t="shared" si="7"/>
        <v>5.2048122391471097</v>
      </c>
      <c r="R69" s="87">
        <f t="shared" si="16"/>
        <v>0.490718492086816</v>
      </c>
      <c r="S69" s="47">
        <f t="shared" si="8"/>
        <v>0.198439125355659</v>
      </c>
      <c r="T69" s="88">
        <f t="shared" si="9"/>
        <v>5.2048122391471239</v>
      </c>
      <c r="U69" s="88">
        <f t="shared" si="10"/>
        <v>198.439125355659</v>
      </c>
      <c r="V69" s="88">
        <f t="shared" si="11"/>
        <v>49.071849208681527</v>
      </c>
    </row>
    <row r="70" spans="1:22" x14ac:dyDescent="0.2">
      <c r="A70" s="80">
        <v>29</v>
      </c>
      <c r="B70" s="81">
        <v>171.42857142857099</v>
      </c>
      <c r="C70" s="82">
        <v>5.1304460305405</v>
      </c>
      <c r="D70" s="82">
        <v>0.49815341028834298</v>
      </c>
      <c r="E70" s="75">
        <v>0.20026361939704801</v>
      </c>
      <c r="G70" s="89">
        <f t="shared" si="2"/>
        <v>5.1304460305405133</v>
      </c>
      <c r="H70" s="90">
        <f t="shared" si="3"/>
        <v>199.73920014659458</v>
      </c>
      <c r="I70" s="90">
        <f t="shared" si="12"/>
        <v>0.19973920014659458</v>
      </c>
      <c r="J70" s="90">
        <f t="shared" si="4"/>
        <v>49.815341028834339</v>
      </c>
      <c r="K70" s="90">
        <f t="shared" si="13"/>
        <v>0.49815341028834337</v>
      </c>
      <c r="L70" s="90">
        <f t="shared" si="5"/>
        <v>99.860467380163044</v>
      </c>
      <c r="M70" s="90">
        <f t="shared" si="14"/>
        <v>0.20046127421342225</v>
      </c>
      <c r="N70" s="91">
        <f t="shared" si="15"/>
        <v>0.49995427691145483</v>
      </c>
      <c r="P70" s="86">
        <f t="shared" si="6"/>
        <v>171.42857142857099</v>
      </c>
      <c r="Q70" s="47">
        <f t="shared" si="7"/>
        <v>5.1304460305405</v>
      </c>
      <c r="R70" s="87">
        <f t="shared" si="16"/>
        <v>0.49815341028834298</v>
      </c>
      <c r="S70" s="47">
        <f t="shared" si="8"/>
        <v>0.19973920014659458</v>
      </c>
      <c r="T70" s="88">
        <f t="shared" si="9"/>
        <v>5.1304460305405133</v>
      </c>
      <c r="U70" s="88">
        <f t="shared" si="10"/>
        <v>199.73920014659458</v>
      </c>
      <c r="V70" s="88">
        <f t="shared" si="11"/>
        <v>49.815341028834339</v>
      </c>
    </row>
    <row r="71" spans="1:22" x14ac:dyDescent="0.2">
      <c r="A71" s="80">
        <v>30</v>
      </c>
      <c r="B71" s="81">
        <v>177.551020408163</v>
      </c>
      <c r="C71" s="82">
        <v>5.0490958885555299</v>
      </c>
      <c r="D71" s="82">
        <v>0.50498531597288099</v>
      </c>
      <c r="E71" s="75">
        <v>0.201365414593939</v>
      </c>
      <c r="G71" s="89">
        <f t="shared" si="2"/>
        <v>5.0490958885555397</v>
      </c>
      <c r="H71" s="90">
        <f t="shared" si="3"/>
        <v>200.8234062506248</v>
      </c>
      <c r="I71" s="90">
        <f t="shared" si="12"/>
        <v>0.20082340625062481</v>
      </c>
      <c r="J71" s="90">
        <f t="shared" si="4"/>
        <v>50.498531597288142</v>
      </c>
      <c r="K71" s="90">
        <f t="shared" si="13"/>
        <v>0.50498531597288143</v>
      </c>
      <c r="L71" s="90">
        <f t="shared" si="5"/>
        <v>101.78693943701533</v>
      </c>
      <c r="M71" s="90">
        <f t="shared" si="14"/>
        <v>0.20156415685259543</v>
      </c>
      <c r="N71" s="91">
        <f t="shared" si="15"/>
        <v>0.50684798817716825</v>
      </c>
      <c r="P71" s="86">
        <f t="shared" si="6"/>
        <v>177.551020408163</v>
      </c>
      <c r="Q71" s="47">
        <f t="shared" si="7"/>
        <v>5.0490958885555299</v>
      </c>
      <c r="R71" s="87">
        <f t="shared" si="16"/>
        <v>0.50498531597288099</v>
      </c>
      <c r="S71" s="47">
        <f t="shared" si="8"/>
        <v>0.20082340625062481</v>
      </c>
      <c r="T71" s="88">
        <f t="shared" si="9"/>
        <v>5.0490958885555397</v>
      </c>
      <c r="U71" s="88">
        <f t="shared" si="10"/>
        <v>200.8234062506248</v>
      </c>
      <c r="V71" s="88">
        <f t="shared" si="11"/>
        <v>50.498531597288142</v>
      </c>
    </row>
    <row r="72" spans="1:22" x14ac:dyDescent="0.2">
      <c r="A72" s="80">
        <v>31</v>
      </c>
      <c r="B72" s="81">
        <v>183.67346938775501</v>
      </c>
      <c r="C72" s="82">
        <v>4.9601236007298199</v>
      </c>
      <c r="D72" s="82">
        <v>0.51112376823612804</v>
      </c>
      <c r="E72" s="75">
        <v>0.202180697515569</v>
      </c>
      <c r="G72" s="89">
        <f t="shared" si="2"/>
        <v>4.9601236007298262</v>
      </c>
      <c r="H72" s="90">
        <f t="shared" si="3"/>
        <v>201.69612601639705</v>
      </c>
      <c r="I72" s="90">
        <f t="shared" si="12"/>
        <v>0.20169612601639705</v>
      </c>
      <c r="J72" s="90">
        <f t="shared" si="4"/>
        <v>51.112376823612799</v>
      </c>
      <c r="K72" s="90">
        <f t="shared" si="13"/>
        <v>0.51112376823612804</v>
      </c>
      <c r="L72" s="90">
        <f t="shared" si="5"/>
        <v>103.44135315297514</v>
      </c>
      <c r="M72" s="90">
        <f t="shared" si="14"/>
        <v>0.20238024443658328</v>
      </c>
      <c r="N72" s="91">
        <f t="shared" si="15"/>
        <v>0.51285741177084276</v>
      </c>
      <c r="P72" s="86">
        <f t="shared" si="6"/>
        <v>183.67346938775501</v>
      </c>
      <c r="Q72" s="47">
        <f t="shared" si="7"/>
        <v>4.9601236007298199</v>
      </c>
      <c r="R72" s="87">
        <f t="shared" si="16"/>
        <v>0.51112376823612804</v>
      </c>
      <c r="S72" s="47">
        <f t="shared" si="8"/>
        <v>0.20169612601639705</v>
      </c>
      <c r="T72" s="88">
        <f t="shared" si="9"/>
        <v>4.9601236007298262</v>
      </c>
      <c r="U72" s="88">
        <f t="shared" si="10"/>
        <v>201.69612601639705</v>
      </c>
      <c r="V72" s="88">
        <f t="shared" si="11"/>
        <v>51.112376823612799</v>
      </c>
    </row>
    <row r="73" spans="1:22" x14ac:dyDescent="0.2">
      <c r="A73" s="80">
        <v>32</v>
      </c>
      <c r="B73" s="81">
        <v>189.79591836734599</v>
      </c>
      <c r="C73" s="82">
        <v>4.86280426208537</v>
      </c>
      <c r="D73" s="82">
        <v>0.51644314115687595</v>
      </c>
      <c r="E73" s="75">
        <v>0.20271131106800699</v>
      </c>
      <c r="G73" s="89">
        <f t="shared" si="2"/>
        <v>4.8628042620853869</v>
      </c>
      <c r="H73" s="90">
        <f t="shared" si="3"/>
        <v>202.36173796263552</v>
      </c>
      <c r="I73" s="90">
        <f t="shared" si="12"/>
        <v>0.20236173796263551</v>
      </c>
      <c r="J73" s="90">
        <f t="shared" si="4"/>
        <v>51.644314115687621</v>
      </c>
      <c r="K73" s="90">
        <f t="shared" si="13"/>
        <v>0.51644314115687617</v>
      </c>
      <c r="L73" s="90">
        <f t="shared" si="5"/>
        <v>104.79219133664787</v>
      </c>
      <c r="M73" s="90">
        <f t="shared" si="14"/>
        <v>0.20291138169035325</v>
      </c>
      <c r="N73" s="91">
        <f t="shared" si="15"/>
        <v>0.51784587536996207</v>
      </c>
      <c r="P73" s="86">
        <f t="shared" si="6"/>
        <v>189.79591836734599</v>
      </c>
      <c r="Q73" s="47">
        <f t="shared" si="7"/>
        <v>4.86280426208537</v>
      </c>
      <c r="R73" s="87">
        <f t="shared" si="16"/>
        <v>0.51644314115687595</v>
      </c>
      <c r="S73" s="47">
        <f t="shared" si="8"/>
        <v>0.20236173796263551</v>
      </c>
      <c r="T73" s="88">
        <f t="shared" si="9"/>
        <v>4.8628042620853869</v>
      </c>
      <c r="U73" s="88">
        <f t="shared" si="10"/>
        <v>202.36173796263552</v>
      </c>
      <c r="V73" s="88">
        <f t="shared" si="11"/>
        <v>51.644314115687621</v>
      </c>
    </row>
    <row r="74" spans="1:22" x14ac:dyDescent="0.2">
      <c r="A74" s="80">
        <v>33</v>
      </c>
      <c r="B74" s="81">
        <v>195.918367346938</v>
      </c>
      <c r="C74" s="82">
        <v>4.75631538904147</v>
      </c>
      <c r="D74" s="82">
        <v>0.520778522719482</v>
      </c>
      <c r="E74" s="75">
        <v>0.20296426097025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4.756315389041494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202.82340559054472</v>
      </c>
      <c r="I74" s="90">
        <f t="shared" si="12"/>
        <v>0.20282340559054474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52.07785227194821</v>
      </c>
      <c r="K74" s="90">
        <f t="shared" si="13"/>
        <v>0.52077852271948211</v>
      </c>
      <c r="L74" s="90">
        <f t="shared" ref="L74:L91" si="20">Подача_пласт_м3_сут*Напор_м*9.81*1000/86400</f>
        <v>105.80375049092207</v>
      </c>
      <c r="M74" s="90">
        <f t="shared" si="14"/>
        <v>0.20316458124735948</v>
      </c>
      <c r="N74" s="91">
        <f t="shared" si="15"/>
        <v>0.52165454072157857</v>
      </c>
      <c r="P74" s="86">
        <f t="shared" ref="P74:P91" si="21">Подача_пласт_м3_сут*f_50_hz/f_nom</f>
        <v>195.918367346938</v>
      </c>
      <c r="Q74" s="47">
        <f t="shared" ref="Q74:Q91" si="22">Напор_м*(f_50_hz/f_nom)^2</f>
        <v>4.75631538904147</v>
      </c>
      <c r="R74" s="87">
        <f t="shared" si="16"/>
        <v>0.520778522719482</v>
      </c>
      <c r="S74" s="47">
        <f t="shared" ref="S74:S91" si="23">I74*(f_50_hz/f_nom)^3</f>
        <v>0.20282340559054474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4.756315389041494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202.82340559054472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52.07785227194821</v>
      </c>
    </row>
    <row r="75" spans="1:22" x14ac:dyDescent="0.2">
      <c r="A75" s="80">
        <v>34</v>
      </c>
      <c r="B75" s="81">
        <v>202.04081632653001</v>
      </c>
      <c r="C75" s="82">
        <v>4.6397253394727196</v>
      </c>
      <c r="D75" s="82">
        <v>0.52392147564765601</v>
      </c>
      <c r="E75" s="75">
        <v>0.20295138777855601</v>
      </c>
      <c r="G75" s="89">
        <f t="shared" si="17"/>
        <v>4.6397253394727391</v>
      </c>
      <c r="H75" s="90">
        <f t="shared" si="18"/>
        <v>203.08170461627657</v>
      </c>
      <c r="I75" s="90">
        <f t="shared" si="12"/>
        <v>0.20308170461627656</v>
      </c>
      <c r="J75" s="90">
        <f t="shared" si="19"/>
        <v>52.392147564765637</v>
      </c>
      <c r="K75" s="90">
        <f t="shared" si="13"/>
        <v>0.52392147564765634</v>
      </c>
      <c r="L75" s="90">
        <f t="shared" si="20"/>
        <v>106.43553600818444</v>
      </c>
      <c r="M75" s="90">
        <f t="shared" si="14"/>
        <v>0.2031516953501705</v>
      </c>
      <c r="N75" s="91">
        <f t="shared" si="15"/>
        <v>0.52410204163538354</v>
      </c>
      <c r="P75" s="86">
        <f t="shared" si="21"/>
        <v>202.04081632653001</v>
      </c>
      <c r="Q75" s="47">
        <f t="shared" si="22"/>
        <v>4.6397253394727196</v>
      </c>
      <c r="R75" s="87">
        <f t="shared" si="16"/>
        <v>0.52392147564765601</v>
      </c>
      <c r="S75" s="47">
        <f t="shared" si="23"/>
        <v>0.20308170461627656</v>
      </c>
      <c r="T75" s="88">
        <f t="shared" si="24"/>
        <v>4.6397253394727391</v>
      </c>
      <c r="U75" s="88">
        <f t="shared" si="25"/>
        <v>203.08170461627657</v>
      </c>
      <c r="V75" s="88">
        <f t="shared" si="26"/>
        <v>52.392147564765637</v>
      </c>
    </row>
    <row r="76" spans="1:22" x14ac:dyDescent="0.2">
      <c r="A76" s="80">
        <v>35</v>
      </c>
      <c r="B76" s="81">
        <v>208.16326530612201</v>
      </c>
      <c r="C76" s="82">
        <v>4.5119810389118999</v>
      </c>
      <c r="D76" s="82">
        <v>0.52561566014959404</v>
      </c>
      <c r="E76" s="75">
        <v>0.20268886970842701</v>
      </c>
      <c r="G76" s="89">
        <f t="shared" si="17"/>
        <v>4.5119810389119195</v>
      </c>
      <c r="H76" s="90">
        <f t="shared" si="18"/>
        <v>203.13308862345963</v>
      </c>
      <c r="I76" s="90">
        <f t="shared" si="12"/>
        <v>0.20313308862345963</v>
      </c>
      <c r="J76" s="90">
        <f t="shared" si="19"/>
        <v>52.561566014959475</v>
      </c>
      <c r="K76" s="90">
        <f t="shared" si="13"/>
        <v>0.52561566014959471</v>
      </c>
      <c r="L76" s="90">
        <f t="shared" si="20"/>
        <v>106.64159266713946</v>
      </c>
      <c r="M76" s="90">
        <f t="shared" si="14"/>
        <v>0.20288891818175347</v>
      </c>
      <c r="N76" s="91">
        <f t="shared" si="15"/>
        <v>0.52498385856189622</v>
      </c>
      <c r="P76" s="86">
        <f t="shared" si="21"/>
        <v>208.16326530612201</v>
      </c>
      <c r="Q76" s="47">
        <f t="shared" si="22"/>
        <v>4.5119810389118999</v>
      </c>
      <c r="R76" s="87">
        <f t="shared" si="16"/>
        <v>0.52561566014959404</v>
      </c>
      <c r="S76" s="47">
        <f t="shared" si="23"/>
        <v>0.20313308862345963</v>
      </c>
      <c r="T76" s="88">
        <f t="shared" si="24"/>
        <v>4.5119810389119195</v>
      </c>
      <c r="U76" s="88">
        <f t="shared" si="25"/>
        <v>203.13308862345963</v>
      </c>
      <c r="V76" s="88">
        <f t="shared" si="26"/>
        <v>52.561566014959475</v>
      </c>
    </row>
    <row r="77" spans="1:22" x14ac:dyDescent="0.2">
      <c r="A77" s="80">
        <v>36</v>
      </c>
      <c r="B77" s="81">
        <v>214.28571428571399</v>
      </c>
      <c r="C77" s="82">
        <v>4.3718950128979701</v>
      </c>
      <c r="D77" s="82">
        <v>0.52555231857443496</v>
      </c>
      <c r="E77" s="75">
        <v>0.20219658958562201</v>
      </c>
      <c r="G77" s="89">
        <f t="shared" si="17"/>
        <v>4.3718950128979834</v>
      </c>
      <c r="H77" s="90">
        <f t="shared" si="18"/>
        <v>202.96819313578351</v>
      </c>
      <c r="I77" s="90">
        <f t="shared" si="12"/>
        <v>0.20296819313578351</v>
      </c>
      <c r="J77" s="90">
        <f t="shared" si="19"/>
        <v>52.555231857443523</v>
      </c>
      <c r="K77" s="90">
        <f t="shared" si="13"/>
        <v>0.52555231857443518</v>
      </c>
      <c r="L77" s="90">
        <f t="shared" si="20"/>
        <v>106.36976705488352</v>
      </c>
      <c r="M77" s="90">
        <f t="shared" si="14"/>
        <v>0.20239615219168353</v>
      </c>
      <c r="N77" s="91">
        <f t="shared" si="15"/>
        <v>0.5240711138603048</v>
      </c>
      <c r="P77" s="86">
        <f t="shared" si="21"/>
        <v>214.28571428571399</v>
      </c>
      <c r="Q77" s="47">
        <f t="shared" si="22"/>
        <v>4.3718950128979701</v>
      </c>
      <c r="R77" s="87">
        <f t="shared" si="16"/>
        <v>0.52555231857443496</v>
      </c>
      <c r="S77" s="47">
        <f t="shared" si="23"/>
        <v>0.20296819313578351</v>
      </c>
      <c r="T77" s="88">
        <f t="shared" si="24"/>
        <v>4.3718950128979834</v>
      </c>
      <c r="U77" s="88">
        <f t="shared" si="25"/>
        <v>202.96819313578351</v>
      </c>
      <c r="V77" s="88">
        <f t="shared" si="26"/>
        <v>52.555231857443523</v>
      </c>
    </row>
    <row r="78" spans="1:22" x14ac:dyDescent="0.2">
      <c r="A78" s="80">
        <v>37</v>
      </c>
      <c r="B78" s="81">
        <v>220.408163265306</v>
      </c>
      <c r="C78" s="82">
        <v>4.2181317254689699</v>
      </c>
      <c r="D78" s="82">
        <v>0.52336562198005099</v>
      </c>
      <c r="E78" s="75">
        <v>0.201497406522328</v>
      </c>
      <c r="G78" s="89">
        <f t="shared" si="17"/>
        <v>4.2181317254689805</v>
      </c>
      <c r="H78" s="90">
        <f t="shared" si="18"/>
        <v>202.56997810965038</v>
      </c>
      <c r="I78" s="90">
        <f t="shared" si="12"/>
        <v>0.20256997810965038</v>
      </c>
      <c r="J78" s="90">
        <f t="shared" si="19"/>
        <v>52.336562198005119</v>
      </c>
      <c r="K78" s="90">
        <f t="shared" si="13"/>
        <v>0.52336562198005121</v>
      </c>
      <c r="L78" s="90">
        <f t="shared" si="20"/>
        <v>105.56089853788411</v>
      </c>
      <c r="M78" s="90">
        <f t="shared" si="14"/>
        <v>0.20169627905347537</v>
      </c>
      <c r="N78" s="91">
        <f t="shared" si="15"/>
        <v>0.52110830796824392</v>
      </c>
      <c r="P78" s="86">
        <f t="shared" si="21"/>
        <v>220.408163265306</v>
      </c>
      <c r="Q78" s="47">
        <f t="shared" si="22"/>
        <v>4.2181317254689699</v>
      </c>
      <c r="R78" s="87">
        <f t="shared" si="16"/>
        <v>0.52336562198005099</v>
      </c>
      <c r="S78" s="47">
        <f t="shared" si="23"/>
        <v>0.20256997810965038</v>
      </c>
      <c r="T78" s="88">
        <f t="shared" si="24"/>
        <v>4.2181317254689805</v>
      </c>
      <c r="U78" s="88">
        <f t="shared" si="25"/>
        <v>202.56997810965038</v>
      </c>
      <c r="V78" s="88">
        <f t="shared" si="26"/>
        <v>52.336562198005119</v>
      </c>
    </row>
    <row r="79" spans="1:22" x14ac:dyDescent="0.2">
      <c r="A79" s="80">
        <v>38</v>
      </c>
      <c r="B79" s="81">
        <v>226.53061224489699</v>
      </c>
      <c r="C79" s="82">
        <v>4.0491932237999801</v>
      </c>
      <c r="D79" s="82">
        <v>0.51862787861216997</v>
      </c>
      <c r="E79" s="75">
        <v>0.200616376079956</v>
      </c>
      <c r="G79" s="89">
        <f t="shared" si="17"/>
        <v>4.0491932238000174</v>
      </c>
      <c r="H79" s="90">
        <f t="shared" si="18"/>
        <v>201.91170884688415</v>
      </c>
      <c r="I79" s="90">
        <f t="shared" si="12"/>
        <v>0.20191170884688414</v>
      </c>
      <c r="J79" s="90">
        <f t="shared" si="19"/>
        <v>51.86278786121715</v>
      </c>
      <c r="K79" s="90">
        <f t="shared" si="13"/>
        <v>0.51862787861217152</v>
      </c>
      <c r="L79" s="90">
        <f t="shared" si="20"/>
        <v>104.14793540551818</v>
      </c>
      <c r="M79" s="90">
        <f t="shared" si="14"/>
        <v>0.2008143790577053</v>
      </c>
      <c r="N79" s="91">
        <f t="shared" si="15"/>
        <v>0.51580929110206664</v>
      </c>
      <c r="P79" s="86">
        <f t="shared" si="21"/>
        <v>226.53061224489699</v>
      </c>
      <c r="Q79" s="47">
        <f t="shared" si="22"/>
        <v>4.0491932237999801</v>
      </c>
      <c r="R79" s="87">
        <f t="shared" si="16"/>
        <v>0.51862787861216997</v>
      </c>
      <c r="S79" s="47">
        <f t="shared" si="23"/>
        <v>0.20191170884688414</v>
      </c>
      <c r="T79" s="88">
        <f t="shared" si="24"/>
        <v>4.0491932238000174</v>
      </c>
      <c r="U79" s="88">
        <f t="shared" si="25"/>
        <v>201.91170884688415</v>
      </c>
      <c r="V79" s="88">
        <f t="shared" si="26"/>
        <v>51.86278786121715</v>
      </c>
    </row>
    <row r="80" spans="1:22" x14ac:dyDescent="0.2">
      <c r="A80" s="80">
        <v>39</v>
      </c>
      <c r="B80" s="81">
        <v>232.65306122448899</v>
      </c>
      <c r="C80" s="82">
        <v>3.8634040889860501</v>
      </c>
      <c r="D80" s="82">
        <v>0.51084460429482803</v>
      </c>
      <c r="E80" s="75">
        <v>0.19957996179165</v>
      </c>
      <c r="G80" s="89">
        <f t="shared" si="17"/>
        <v>3.8634040889860866</v>
      </c>
      <c r="H80" s="90">
        <f t="shared" si="18"/>
        <v>200.95477532749919</v>
      </c>
      <c r="I80" s="90">
        <f t="shared" si="12"/>
        <v>0.2009547753274992</v>
      </c>
      <c r="J80" s="90">
        <f t="shared" si="19"/>
        <v>51.084460429482952</v>
      </c>
      <c r="K80" s="90">
        <f t="shared" si="13"/>
        <v>0.51084460429482947</v>
      </c>
      <c r="L80" s="90">
        <f t="shared" si="20"/>
        <v>102.05497280982247</v>
      </c>
      <c r="M80" s="90">
        <f t="shared" si="14"/>
        <v>0.19977694185631906</v>
      </c>
      <c r="N80" s="91">
        <f t="shared" si="15"/>
        <v>0.50785044865692719</v>
      </c>
      <c r="P80" s="86">
        <f t="shared" si="21"/>
        <v>232.65306122448899</v>
      </c>
      <c r="Q80" s="47">
        <f t="shared" si="22"/>
        <v>3.8634040889860501</v>
      </c>
      <c r="R80" s="87">
        <f t="shared" si="16"/>
        <v>0.51084460429482803</v>
      </c>
      <c r="S80" s="47">
        <f t="shared" si="23"/>
        <v>0.2009547753274992</v>
      </c>
      <c r="T80" s="88">
        <f t="shared" si="24"/>
        <v>3.8634040889860866</v>
      </c>
      <c r="U80" s="88">
        <f t="shared" si="25"/>
        <v>200.95477532749919</v>
      </c>
      <c r="V80" s="88">
        <f t="shared" si="26"/>
        <v>51.084460429482952</v>
      </c>
    </row>
    <row r="81" spans="1:22" x14ac:dyDescent="0.2">
      <c r="A81" s="80">
        <v>40</v>
      </c>
      <c r="B81" s="81">
        <v>238.775510204081</v>
      </c>
      <c r="C81" s="82">
        <v>3.6588956929701202</v>
      </c>
      <c r="D81" s="82">
        <v>0.49944945473215302</v>
      </c>
      <c r="E81" s="75">
        <v>0.19841527650891</v>
      </c>
      <c r="G81" s="89">
        <f t="shared" si="17"/>
        <v>3.6588956929701464</v>
      </c>
      <c r="H81" s="90">
        <f t="shared" si="18"/>
        <v>199.64634996253426</v>
      </c>
      <c r="I81" s="90">
        <f t="shared" si="12"/>
        <v>0.19964634996253425</v>
      </c>
      <c r="J81" s="90">
        <f t="shared" si="19"/>
        <v>49.944945473215569</v>
      </c>
      <c r="K81" s="90">
        <f t="shared" si="13"/>
        <v>0.49944945473215568</v>
      </c>
      <c r="L81" s="90">
        <f t="shared" si="20"/>
        <v>99.19620912510166</v>
      </c>
      <c r="M81" s="90">
        <f t="shared" si="14"/>
        <v>0.19861110706047022</v>
      </c>
      <c r="N81" s="91">
        <f t="shared" si="15"/>
        <v>0.49685961773764897</v>
      </c>
      <c r="P81" s="86">
        <f t="shared" si="21"/>
        <v>238.775510204081</v>
      </c>
      <c r="Q81" s="47">
        <f t="shared" si="22"/>
        <v>3.6588956929701202</v>
      </c>
      <c r="R81" s="87">
        <f t="shared" si="16"/>
        <v>0.49944945473215302</v>
      </c>
      <c r="S81" s="47">
        <f t="shared" si="23"/>
        <v>0.19964634996253425</v>
      </c>
      <c r="T81" s="88">
        <f t="shared" si="24"/>
        <v>3.6588956929701464</v>
      </c>
      <c r="U81" s="88">
        <f t="shared" si="25"/>
        <v>199.64634996253426</v>
      </c>
      <c r="V81" s="88">
        <f t="shared" si="26"/>
        <v>49.944945473215569</v>
      </c>
    </row>
    <row r="82" spans="1:22" x14ac:dyDescent="0.2">
      <c r="A82" s="80">
        <v>41</v>
      </c>
      <c r="B82" s="81">
        <v>244.89795918367301</v>
      </c>
      <c r="C82" s="82">
        <v>3.4335897616159201</v>
      </c>
      <c r="D82" s="82">
        <v>0.48379901972148498</v>
      </c>
      <c r="E82" s="75">
        <v>0.19714938495753001</v>
      </c>
      <c r="G82" s="89">
        <f t="shared" si="17"/>
        <v>3.433589761615941</v>
      </c>
      <c r="H82" s="90">
        <f t="shared" si="18"/>
        <v>197.91688376694208</v>
      </c>
      <c r="I82" s="90">
        <f t="shared" si="12"/>
        <v>0.19791688376694208</v>
      </c>
      <c r="J82" s="90">
        <f t="shared" si="19"/>
        <v>48.379901972148701</v>
      </c>
      <c r="K82" s="90">
        <f t="shared" si="13"/>
        <v>0.48379901972148703</v>
      </c>
      <c r="L82" s="90">
        <f t="shared" si="20"/>
        <v>95.474817351054739</v>
      </c>
      <c r="M82" s="90">
        <f t="shared" si="14"/>
        <v>0.19734396610811158</v>
      </c>
      <c r="N82" s="91">
        <f t="shared" si="15"/>
        <v>0.48239854798583803</v>
      </c>
      <c r="P82" s="86">
        <f t="shared" si="21"/>
        <v>244.89795918367301</v>
      </c>
      <c r="Q82" s="47">
        <f t="shared" si="22"/>
        <v>3.4335897616159201</v>
      </c>
      <c r="R82" s="87">
        <f t="shared" si="16"/>
        <v>0.48379901972148498</v>
      </c>
      <c r="S82" s="47">
        <f t="shared" si="23"/>
        <v>0.19791688376694208</v>
      </c>
      <c r="T82" s="88">
        <f t="shared" si="24"/>
        <v>3.433589761615941</v>
      </c>
      <c r="U82" s="88">
        <f t="shared" si="25"/>
        <v>197.91688376694208</v>
      </c>
      <c r="V82" s="88">
        <f t="shared" si="26"/>
        <v>48.379901972148701</v>
      </c>
    </row>
    <row r="83" spans="1:22" x14ac:dyDescent="0.2">
      <c r="A83" s="80">
        <v>42</v>
      </c>
      <c r="B83" s="81">
        <v>251.02040816326499</v>
      </c>
      <c r="C83" s="82">
        <v>3.1851812439259302</v>
      </c>
      <c r="D83" s="82">
        <v>0.46316747927781599</v>
      </c>
      <c r="E83" s="75">
        <v>0.19580869006711901</v>
      </c>
      <c r="G83" s="89">
        <f t="shared" si="17"/>
        <v>3.1851812439259461</v>
      </c>
      <c r="H83" s="90">
        <f t="shared" si="18"/>
        <v>195.67744095254216</v>
      </c>
      <c r="I83" s="90">
        <f t="shared" si="12"/>
        <v>0.19567744095254216</v>
      </c>
      <c r="J83" s="90">
        <f t="shared" si="19"/>
        <v>46.316747927781776</v>
      </c>
      <c r="K83" s="90">
        <f t="shared" si="13"/>
        <v>0.46316747927781776</v>
      </c>
      <c r="L83" s="90">
        <f t="shared" si="20"/>
        <v>90.781728183067358</v>
      </c>
      <c r="M83" s="90">
        <f t="shared" si="14"/>
        <v>0.19600194798783474</v>
      </c>
      <c r="N83" s="91">
        <f t="shared" si="15"/>
        <v>0.46393558573307764</v>
      </c>
      <c r="P83" s="86">
        <f t="shared" si="21"/>
        <v>251.02040816326499</v>
      </c>
      <c r="Q83" s="47">
        <f t="shared" si="22"/>
        <v>3.1851812439259302</v>
      </c>
      <c r="R83" s="87">
        <f t="shared" si="16"/>
        <v>0.46316747927781599</v>
      </c>
      <c r="S83" s="47">
        <f t="shared" si="23"/>
        <v>0.19567744095254216</v>
      </c>
      <c r="T83" s="88">
        <f t="shared" si="24"/>
        <v>3.1851812439259461</v>
      </c>
      <c r="U83" s="88">
        <f t="shared" si="25"/>
        <v>195.67744095254216</v>
      </c>
      <c r="V83" s="88">
        <f t="shared" si="26"/>
        <v>46.316747927781776</v>
      </c>
    </row>
    <row r="84" spans="1:22" x14ac:dyDescent="0.2">
      <c r="A84" s="80">
        <v>43</v>
      </c>
      <c r="B84" s="81">
        <v>257.142857142857</v>
      </c>
      <c r="C84" s="82">
        <v>2.9111204874042702</v>
      </c>
      <c r="D84" s="82">
        <v>0.43674112166957402</v>
      </c>
      <c r="E84" s="75">
        <v>0.19441841576046401</v>
      </c>
      <c r="G84" s="89">
        <f t="shared" si="17"/>
        <v>2.9111204874042782</v>
      </c>
      <c r="H84" s="90">
        <f t="shared" si="18"/>
        <v>192.81687194103756</v>
      </c>
      <c r="I84" s="90">
        <f t="shared" si="12"/>
        <v>0.19281687194103755</v>
      </c>
      <c r="J84" s="90">
        <f t="shared" si="19"/>
        <v>43.67411216695757</v>
      </c>
      <c r="K84" s="90">
        <f t="shared" si="13"/>
        <v>0.43674112166957568</v>
      </c>
      <c r="L84" s="90">
        <f t="shared" si="20"/>
        <v>84.994321373321071</v>
      </c>
      <c r="M84" s="90">
        <f t="shared" si="14"/>
        <v>0.19461030151776054</v>
      </c>
      <c r="N84" s="91">
        <f t="shared" si="15"/>
        <v>0.44080334110653924</v>
      </c>
      <c r="P84" s="86">
        <f t="shared" si="21"/>
        <v>257.142857142857</v>
      </c>
      <c r="Q84" s="47">
        <f t="shared" si="22"/>
        <v>2.9111204874042702</v>
      </c>
      <c r="R84" s="87">
        <f t="shared" si="16"/>
        <v>0.43674112166957402</v>
      </c>
      <c r="S84" s="47">
        <f t="shared" si="23"/>
        <v>0.19281687194103755</v>
      </c>
      <c r="T84" s="88">
        <f t="shared" si="24"/>
        <v>2.9111204874042782</v>
      </c>
      <c r="U84" s="88">
        <f t="shared" si="25"/>
        <v>192.81687194103756</v>
      </c>
      <c r="V84" s="88">
        <f t="shared" si="26"/>
        <v>43.67411216695757</v>
      </c>
    </row>
    <row r="85" spans="1:22" x14ac:dyDescent="0.2">
      <c r="A85" s="80">
        <v>44</v>
      </c>
      <c r="B85" s="81">
        <v>263.26530612244898</v>
      </c>
      <c r="C85" s="82">
        <v>2.6085947195646102</v>
      </c>
      <c r="D85" s="82">
        <v>0.40361272336573301</v>
      </c>
      <c r="E85" s="75">
        <v>0.19300218780290401</v>
      </c>
      <c r="G85" s="89">
        <f t="shared" si="17"/>
        <v>2.6085947195646151</v>
      </c>
      <c r="H85" s="90">
        <f t="shared" si="18"/>
        <v>189.19882479708667</v>
      </c>
      <c r="I85" s="90">
        <f t="shared" si="12"/>
        <v>0.18919882479708666</v>
      </c>
      <c r="J85" s="90">
        <f t="shared" si="19"/>
        <v>40.361272336573307</v>
      </c>
      <c r="K85" s="90">
        <f t="shared" si="13"/>
        <v>0.40361272336573306</v>
      </c>
      <c r="L85" s="90">
        <f t="shared" si="20"/>
        <v>77.97502200637328</v>
      </c>
      <c r="M85" s="90">
        <f t="shared" si="14"/>
        <v>0.1931926757812249</v>
      </c>
      <c r="N85" s="91">
        <f t="shared" si="15"/>
        <v>0.41213269738858316</v>
      </c>
      <c r="P85" s="86">
        <f t="shared" si="21"/>
        <v>263.26530612244898</v>
      </c>
      <c r="Q85" s="47">
        <f t="shared" si="22"/>
        <v>2.6085947195646102</v>
      </c>
      <c r="R85" s="87">
        <f t="shared" si="16"/>
        <v>0.40361272336573301</v>
      </c>
      <c r="S85" s="47">
        <f t="shared" si="23"/>
        <v>0.18919882479708666</v>
      </c>
      <c r="T85" s="88">
        <f t="shared" si="24"/>
        <v>2.6085947195646151</v>
      </c>
      <c r="U85" s="88">
        <f t="shared" si="25"/>
        <v>189.19882479708667</v>
      </c>
      <c r="V85" s="88">
        <f t="shared" si="26"/>
        <v>40.361272336573307</v>
      </c>
    </row>
    <row r="86" spans="1:22" x14ac:dyDescent="0.2">
      <c r="A86" s="80">
        <v>45</v>
      </c>
      <c r="B86" s="81">
        <v>269.38775510203999</v>
      </c>
      <c r="C86" s="82">
        <v>2.2745088355831</v>
      </c>
      <c r="D86" s="82">
        <v>0.36277579089424999</v>
      </c>
      <c r="E86" s="75">
        <v>0.191581699320129</v>
      </c>
      <c r="G86" s="89">
        <f t="shared" si="17"/>
        <v>2.2745088355831493</v>
      </c>
      <c r="H86" s="90">
        <f t="shared" si="18"/>
        <v>184.65859508143421</v>
      </c>
      <c r="I86" s="90">
        <f t="shared" si="12"/>
        <v>0.1846585950814342</v>
      </c>
      <c r="J86" s="90">
        <f t="shared" si="19"/>
        <v>36.277579089425672</v>
      </c>
      <c r="K86" s="90">
        <f t="shared" si="13"/>
        <v>0.36277579089425671</v>
      </c>
      <c r="L86" s="90">
        <f t="shared" si="20"/>
        <v>69.569798312860428</v>
      </c>
      <c r="M86" s="90">
        <f t="shared" si="14"/>
        <v>0.19177078531444483</v>
      </c>
      <c r="N86" s="91">
        <f t="shared" si="15"/>
        <v>0.376748227084584</v>
      </c>
      <c r="P86" s="86">
        <f t="shared" si="21"/>
        <v>269.38775510203999</v>
      </c>
      <c r="Q86" s="47">
        <f t="shared" si="22"/>
        <v>2.2745088355831</v>
      </c>
      <c r="R86" s="87">
        <f t="shared" si="16"/>
        <v>0.36277579089424999</v>
      </c>
      <c r="S86" s="47">
        <f t="shared" si="23"/>
        <v>0.1846585950814342</v>
      </c>
      <c r="T86" s="88">
        <f t="shared" si="24"/>
        <v>2.2745088355831493</v>
      </c>
      <c r="U86" s="88">
        <f t="shared" si="25"/>
        <v>184.65859508143421</v>
      </c>
      <c r="V86" s="88">
        <f t="shared" si="26"/>
        <v>36.277579089425672</v>
      </c>
    </row>
    <row r="87" spans="1:22" x14ac:dyDescent="0.2">
      <c r="A87" s="80">
        <v>46</v>
      </c>
      <c r="B87" s="81">
        <v>275.51020408163203</v>
      </c>
      <c r="C87" s="82">
        <v>1.90546549209622</v>
      </c>
      <c r="D87" s="82">
        <v>0.31311866461184301</v>
      </c>
      <c r="E87" s="75">
        <v>0.190176416512745</v>
      </c>
      <c r="G87" s="89">
        <f t="shared" si="17"/>
        <v>1.9054654920962655</v>
      </c>
      <c r="H87" s="90">
        <f t="shared" si="18"/>
        <v>178.99981412411557</v>
      </c>
      <c r="I87" s="90">
        <f t="shared" si="12"/>
        <v>0.17899981412411559</v>
      </c>
      <c r="J87" s="90">
        <f t="shared" si="19"/>
        <v>31.311866461184906</v>
      </c>
      <c r="K87" s="90">
        <f t="shared" si="13"/>
        <v>0.31311866461184906</v>
      </c>
      <c r="L87" s="90">
        <f t="shared" si="20"/>
        <v>59.606557644974089</v>
      </c>
      <c r="M87" s="90">
        <f t="shared" si="14"/>
        <v>0.19036411553065383</v>
      </c>
      <c r="N87" s="91">
        <f t="shared" si="15"/>
        <v>0.33299787453211471</v>
      </c>
      <c r="P87" s="86">
        <f t="shared" si="21"/>
        <v>275.51020408163203</v>
      </c>
      <c r="Q87" s="47">
        <f t="shared" si="22"/>
        <v>1.90546549209622</v>
      </c>
      <c r="R87" s="87">
        <f t="shared" si="16"/>
        <v>0.31311866461184301</v>
      </c>
      <c r="S87" s="47">
        <f t="shared" si="23"/>
        <v>0.17899981412411559</v>
      </c>
      <c r="T87" s="88">
        <f t="shared" si="24"/>
        <v>1.9054654920962655</v>
      </c>
      <c r="U87" s="88">
        <f t="shared" si="25"/>
        <v>178.99981412411557</v>
      </c>
      <c r="V87" s="88">
        <f t="shared" si="26"/>
        <v>31.311866461184906</v>
      </c>
    </row>
    <row r="88" spans="1:22" x14ac:dyDescent="0.2">
      <c r="A88" s="80">
        <v>47</v>
      </c>
      <c r="B88" s="81">
        <v>281.632653061224</v>
      </c>
      <c r="C88" s="82">
        <v>1.4977445071437501</v>
      </c>
      <c r="D88" s="82">
        <v>0.25341848438509201</v>
      </c>
      <c r="E88" s="75">
        <v>0.188803174418571</v>
      </c>
      <c r="G88" s="89">
        <f t="shared" si="17"/>
        <v>1.4977445071437891</v>
      </c>
      <c r="H88" s="90">
        <f t="shared" si="18"/>
        <v>171.99097571771244</v>
      </c>
      <c r="I88" s="90">
        <f t="shared" si="12"/>
        <v>0.17199097571771244</v>
      </c>
      <c r="J88" s="90">
        <f t="shared" si="19"/>
        <v>25.341848438509714</v>
      </c>
      <c r="K88" s="90">
        <f t="shared" si="13"/>
        <v>0.25341848438509712</v>
      </c>
      <c r="L88" s="90">
        <f t="shared" si="20"/>
        <v>47.893437237364473</v>
      </c>
      <c r="M88" s="90">
        <f t="shared" si="14"/>
        <v>0.1889895180833974</v>
      </c>
      <c r="N88" s="91">
        <f t="shared" si="15"/>
        <v>0.2784648266428329</v>
      </c>
      <c r="P88" s="86">
        <f t="shared" si="21"/>
        <v>281.632653061224</v>
      </c>
      <c r="Q88" s="47">
        <f t="shared" si="22"/>
        <v>1.4977445071437501</v>
      </c>
      <c r="R88" s="87">
        <f t="shared" si="16"/>
        <v>0.25341848438509201</v>
      </c>
      <c r="S88" s="47">
        <f t="shared" si="23"/>
        <v>0.17199097571771244</v>
      </c>
      <c r="T88" s="88">
        <f t="shared" si="24"/>
        <v>1.4977445071437891</v>
      </c>
      <c r="U88" s="88">
        <f t="shared" si="25"/>
        <v>171.99097571771244</v>
      </c>
      <c r="V88" s="88">
        <f t="shared" si="26"/>
        <v>25.341848438509714</v>
      </c>
    </row>
    <row r="89" spans="1:22" x14ac:dyDescent="0.2">
      <c r="A89" s="80">
        <v>48</v>
      </c>
      <c r="B89" s="81">
        <v>287.75510204081598</v>
      </c>
      <c r="C89" s="82">
        <v>1.04728156625659</v>
      </c>
      <c r="D89" s="82">
        <v>0.18233501718287501</v>
      </c>
      <c r="E89" s="75">
        <v>0.187474951091091</v>
      </c>
      <c r="G89" s="89">
        <f t="shared" si="17"/>
        <v>1.0472815662566202</v>
      </c>
      <c r="H89" s="90">
        <f t="shared" si="18"/>
        <v>163.36180123065787</v>
      </c>
      <c r="I89" s="90">
        <f t="shared" si="12"/>
        <v>0.16336180123065788</v>
      </c>
      <c r="J89" s="90">
        <f t="shared" si="19"/>
        <v>18.233501718287954</v>
      </c>
      <c r="K89" s="90">
        <f t="shared" si="13"/>
        <v>0.18233501718287953</v>
      </c>
      <c r="L89" s="90">
        <f t="shared" si="20"/>
        <v>34.216986377120556</v>
      </c>
      <c r="M89" s="90">
        <f t="shared" si="14"/>
        <v>0.18765998383514773</v>
      </c>
      <c r="N89" s="91">
        <f t="shared" si="15"/>
        <v>0.2094552466938587</v>
      </c>
      <c r="P89" s="86">
        <f t="shared" si="21"/>
        <v>287.75510204081598</v>
      </c>
      <c r="Q89" s="47">
        <f t="shared" si="22"/>
        <v>1.04728156625659</v>
      </c>
      <c r="R89" s="87">
        <f t="shared" si="16"/>
        <v>0.18233501718287501</v>
      </c>
      <c r="S89" s="47">
        <f t="shared" si="23"/>
        <v>0.16336180123065788</v>
      </c>
      <c r="T89" s="88">
        <f t="shared" si="24"/>
        <v>1.0472815662566202</v>
      </c>
      <c r="U89" s="88">
        <f t="shared" si="25"/>
        <v>163.36180123065787</v>
      </c>
      <c r="V89" s="88">
        <f t="shared" si="26"/>
        <v>18.233501718287954</v>
      </c>
    </row>
    <row r="90" spans="1:22" x14ac:dyDescent="0.2">
      <c r="A90" s="80">
        <v>49</v>
      </c>
      <c r="B90" s="81">
        <v>293.87755102040802</v>
      </c>
      <c r="C90" s="82">
        <v>0.54964623468970997</v>
      </c>
      <c r="D90" s="82">
        <v>9.84043465801374E-2</v>
      </c>
      <c r="E90" s="75">
        <v>0.18619251862282499</v>
      </c>
      <c r="G90" s="89">
        <f t="shared" si="17"/>
        <v>0.5496462346897264</v>
      </c>
      <c r="H90" s="90">
        <f t="shared" si="18"/>
        <v>152.7994431406355</v>
      </c>
      <c r="I90" s="90">
        <f t="shared" si="12"/>
        <v>0.15279944314063551</v>
      </c>
      <c r="J90" s="90">
        <f t="shared" si="19"/>
        <v>9.8404346580137201</v>
      </c>
      <c r="K90" s="90">
        <f t="shared" si="13"/>
        <v>9.8404346580137206E-2</v>
      </c>
      <c r="L90" s="90">
        <f t="shared" si="20"/>
        <v>18.34023660648317</v>
      </c>
      <c r="M90" s="90">
        <f t="shared" si="14"/>
        <v>0.18637628564046707</v>
      </c>
      <c r="N90" s="91">
        <f t="shared" si="15"/>
        <v>0.12002816390896758</v>
      </c>
      <c r="P90" s="86">
        <f t="shared" si="21"/>
        <v>293.87755102040802</v>
      </c>
      <c r="Q90" s="47">
        <f t="shared" si="22"/>
        <v>0.54964623468970997</v>
      </c>
      <c r="R90" s="87">
        <f t="shared" si="16"/>
        <v>9.84043465801374E-2</v>
      </c>
      <c r="S90" s="47">
        <f t="shared" si="23"/>
        <v>0.15279944314063551</v>
      </c>
      <c r="T90" s="88">
        <f t="shared" si="24"/>
        <v>0.5496462346897264</v>
      </c>
      <c r="U90" s="88">
        <f t="shared" si="25"/>
        <v>152.7994431406355</v>
      </c>
      <c r="V90" s="88">
        <f t="shared" si="26"/>
        <v>9.8404346580137201</v>
      </c>
    </row>
    <row r="91" spans="1:22" x14ac:dyDescent="0.2">
      <c r="A91" s="92">
        <v>50</v>
      </c>
      <c r="B91" s="93">
        <v>300</v>
      </c>
      <c r="C91" s="94">
        <v>1.92757999961656E-5</v>
      </c>
      <c r="D91" s="94">
        <v>1E-3</v>
      </c>
      <c r="E91" s="78">
        <v>6.5593454757914701E-4</v>
      </c>
      <c r="G91" s="95">
        <f t="shared" si="17"/>
        <v>1.9275799997942045E-5</v>
      </c>
      <c r="H91" s="96">
        <f t="shared" si="18"/>
        <v>139.94452698799842</v>
      </c>
      <c r="I91" s="96">
        <f t="shared" si="12"/>
        <v>0.13994452698799842</v>
      </c>
      <c r="J91" s="96">
        <f t="shared" si="19"/>
        <v>3.2424172980540789E-3</v>
      </c>
      <c r="K91" s="96">
        <f t="shared" si="13"/>
        <v>3.2424172980540787E-5</v>
      </c>
      <c r="L91" s="96">
        <f t="shared" si="20"/>
        <v>6.5658193736939081E-4</v>
      </c>
      <c r="M91" s="96">
        <f t="shared" si="14"/>
        <v>2.0249766671410104E-2</v>
      </c>
      <c r="N91" s="97">
        <f t="shared" si="15"/>
        <v>4.6917300126049157E-6</v>
      </c>
      <c r="P91" s="86">
        <f t="shared" si="21"/>
        <v>300</v>
      </c>
      <c r="Q91" s="47">
        <f t="shared" si="22"/>
        <v>1.92757999961656E-5</v>
      </c>
      <c r="R91" s="87">
        <f t="shared" si="16"/>
        <v>1E-3</v>
      </c>
      <c r="S91" s="47">
        <f t="shared" si="23"/>
        <v>0.13994452698799842</v>
      </c>
      <c r="T91" s="88">
        <f t="shared" si="24"/>
        <v>1.9275799997942045E-5</v>
      </c>
      <c r="U91" s="88">
        <f t="shared" si="25"/>
        <v>139.94452698799842</v>
      </c>
      <c r="V91" s="88">
        <f t="shared" si="26"/>
        <v>3.2424172980540789E-3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FD81B-069A-4DB2-A347-ECF86158A7C2}">
  <sheetPr codeName="Лист13"/>
  <dimension ref="A1:AU91"/>
  <sheetViews>
    <sheetView zoomScale="85" zoomScaleNormal="85" workbookViewId="0">
      <selection activeCell="O68" sqref="O68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NF(2000-3100)H @ 2910 RPM</v>
      </c>
      <c r="C1" s="64"/>
      <c r="D1" s="64"/>
      <c r="E1" s="65">
        <v>166</v>
      </c>
      <c r="G1" s="64" t="s">
        <v>424</v>
      </c>
      <c r="H1" s="66">
        <f>VLOOKUP(num,'tnav 254'!A1:Q263,7,1)</f>
        <v>320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[0,50,100,150,200,250,300,350,400,450,500]</v>
      </c>
    </row>
    <row r="2" spans="1:47" x14ac:dyDescent="0.2">
      <c r="A2" s="67" t="s">
        <v>144</v>
      </c>
      <c r="B2" s="68" t="str">
        <f>"ЭЦН"&amp;L1&amp;"-"&amp;H1&amp;"@"&amp;f_nom&amp;"Гц"</f>
        <v>ЭЦН5-320@50Гц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[0,50,100,150,200,250,300,350,400,450,500]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5.9361764709999996</v>
      </c>
      <c r="C5" s="73">
        <f>Напор0*(f_50_hz/f_nom)^2</f>
        <v>5.9361764709999996</v>
      </c>
      <c r="R5" s="47">
        <f>S1+num</f>
        <v>2166</v>
      </c>
      <c r="S5" s="47" t="s">
        <v>478</v>
      </c>
      <c r="T5" s="47" t="s">
        <v>479</v>
      </c>
      <c r="U5" s="47" t="str">
        <f>B2</f>
        <v>ЭЦН5-320@50Гц</v>
      </c>
      <c r="V5" s="47">
        <v>1000</v>
      </c>
      <c r="W5" s="47">
        <f>q_nom</f>
        <v>320</v>
      </c>
      <c r="X5" s="47">
        <f>VLOOKUP(num,'tnav 254'!A1:Q263,10,1)</f>
        <v>240</v>
      </c>
      <c r="Y5" s="47">
        <f>VLOOKUP(num,'tnav 254'!A1:Q263,11,1)</f>
        <v>400</v>
      </c>
      <c r="Z5" s="47">
        <f>VLOOKUP(num,'tnav 254'!A1:Q263,9,1)</f>
        <v>500</v>
      </c>
      <c r="AA5" s="47">
        <f>VLOOKUP(num,'tnav 254'!A1:Q263,15,1)</f>
        <v>2910</v>
      </c>
      <c r="AB5" s="47">
        <f>f_nom</f>
        <v>50</v>
      </c>
      <c r="AC5" s="87">
        <f>MAX(КПД)</f>
        <v>0.66692914126930103</v>
      </c>
      <c r="AE5" s="47">
        <f>L1</f>
        <v>5</v>
      </c>
      <c r="AF5" s="47">
        <f>VLOOKUP(num,'tnav 254'!A1:Q263,12,1)*1000</f>
        <v>92</v>
      </c>
      <c r="AQ5" s="98">
        <f>$R$5</f>
        <v>2166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5.9361764709999996</v>
      </c>
      <c r="AT5" s="104" cm="1">
        <f t="array" ref="AT5">[1]!crv_interpolation(Подача_пласт_м3_сут,$I$42:$I$91,AR5,2)</f>
        <v>0.16450795090000001</v>
      </c>
      <c r="AU5" s="105">
        <v>0</v>
      </c>
    </row>
    <row r="6" spans="1:47" x14ac:dyDescent="0.2">
      <c r="A6" s="74" t="s">
        <v>431</v>
      </c>
      <c r="B6" s="75">
        <v>-1.9797418269999999E-3</v>
      </c>
      <c r="C6" s="76">
        <f>Напор1/(f_50_hz/f_nom)*(f_50_hz/f_nom)^2</f>
        <v>-1.9797418269999999E-3</v>
      </c>
      <c r="R6" s="47">
        <f>T1+num</f>
        <v>3166</v>
      </c>
      <c r="S6" s="47" t="s">
        <v>480</v>
      </c>
      <c r="T6" s="47" t="s">
        <v>481</v>
      </c>
      <c r="U6" s="47" t="str">
        <f>"ЭЦН"&amp;L1&amp;"-"&amp;H1&amp;"@"&amp;f_50_hz&amp;"Гц"</f>
        <v>ЭЦН5-320@50Гц</v>
      </c>
      <c r="V6" s="47">
        <v>1000</v>
      </c>
      <c r="W6" s="47">
        <f>W5*f_50_hz/f_nom</f>
        <v>320</v>
      </c>
      <c r="X6" s="47">
        <f>X5*f_50_hz/f_nom</f>
        <v>240</v>
      </c>
      <c r="Y6" s="47">
        <f>Y5*f_50_hz/f_nom</f>
        <v>400</v>
      </c>
      <c r="Z6" s="47">
        <f>Z5*f_50_hz/f_nom</f>
        <v>500</v>
      </c>
      <c r="AA6" s="47">
        <f>AA5*f_50_hz/f_nom</f>
        <v>2910</v>
      </c>
      <c r="AB6" s="47">
        <f>f_50_hz</f>
        <v>50</v>
      </c>
      <c r="AC6" s="87">
        <f>AC5</f>
        <v>0.66692914126930103</v>
      </c>
      <c r="AE6" s="47">
        <f>AE5</f>
        <v>5</v>
      </c>
      <c r="AF6" s="47">
        <f>AF5</f>
        <v>92</v>
      </c>
      <c r="AQ6" s="100">
        <f t="shared" ref="AQ6:AQ15" si="0">$R$5</f>
        <v>2166</v>
      </c>
      <c r="AR6" s="101">
        <v>50</v>
      </c>
      <c r="AS6" s="106" cm="1">
        <f t="array" ref="AS6">[1]!crv_interpolation(Подача_пласт_м3_сут,Напор_м,AR6,2)</f>
        <v>5.7628761625597393</v>
      </c>
      <c r="AT6" s="106" cm="1">
        <f t="array" ref="AT6">[1]!crv_interpolation(Подача_пласт_м3_сут,$I$42:$I$91,AR6,2)</f>
        <v>0.16381763673750055</v>
      </c>
      <c r="AU6" s="107" cm="1">
        <f t="array" ref="AU6">[1]!crv_interpolation(Подача_пласт_м3_сут,КПД,AR6,2)</f>
        <v>0.20180097227331531</v>
      </c>
    </row>
    <row r="7" spans="1:47" x14ac:dyDescent="0.2">
      <c r="A7" s="74" t="s">
        <v>432</v>
      </c>
      <c r="B7" s="75">
        <v>-3.2830264969999998E-5</v>
      </c>
      <c r="C7" s="76">
        <f>Напор2/((f_50_hz/f_nom)^2)*(f_50_hz/f_nom)^2</f>
        <v>-3.2830264969999998E-5</v>
      </c>
      <c r="AQ7" s="100">
        <f t="shared" si="0"/>
        <v>2166</v>
      </c>
      <c r="AR7" s="101">
        <v>100</v>
      </c>
      <c r="AS7" s="106" cm="1">
        <f t="array" ref="AS7">[1]!crv_interpolation(Подача_пласт_м3_сут,Напор_м,AR7,2)</f>
        <v>5.4755452928932202</v>
      </c>
      <c r="AT7" s="106" cm="1">
        <f t="array" ref="AT7">[1]!crv_interpolation(Подача_пласт_м3_сут,$I$42:$I$91,AR7,2)</f>
        <v>0.16783800634990648</v>
      </c>
      <c r="AU7" s="107" cm="1">
        <f t="array" ref="AU7">[1]!crv_interpolation(Подача_пласт_м3_сут,КПД,AR7,2)</f>
        <v>0.36954764818996783</v>
      </c>
    </row>
    <row r="8" spans="1:47" x14ac:dyDescent="0.2">
      <c r="A8" s="74" t="s">
        <v>433</v>
      </c>
      <c r="B8" s="75">
        <v>5.6495125519999999E-8</v>
      </c>
      <c r="C8" s="76">
        <f>Напор3/((f_50_hz/f_nom)^3)*(f_50_hz/f_nom)^2</f>
        <v>5.6495125519999999E-8</v>
      </c>
      <c r="AQ8" s="100">
        <f t="shared" si="0"/>
        <v>2166</v>
      </c>
      <c r="AR8" s="101">
        <v>150</v>
      </c>
      <c r="AS8" s="106" cm="1">
        <f t="array" ref="AS8">[1]!crv_interpolation(Подача_пласт_м3_сут,Напор_м,AR8,2)</f>
        <v>5.1278798915973267</v>
      </c>
      <c r="AT8" s="106" cm="1">
        <f t="array" ref="AT8">[1]!crv_interpolation(Подача_пласт_м3_сут,$I$42:$I$91,AR8,2)</f>
        <v>0.17550085424396453</v>
      </c>
      <c r="AU8" s="107" cm="1">
        <f t="array" ref="AU8">[1]!crv_interpolation(Подача_пласт_м3_сут,КПД,AR8,2)</f>
        <v>0.49534508898955182</v>
      </c>
    </row>
    <row r="9" spans="1:47" x14ac:dyDescent="0.2">
      <c r="A9" s="74" t="s">
        <v>434</v>
      </c>
      <c r="B9" s="75">
        <v>1.2923679530000001E-10</v>
      </c>
      <c r="C9" s="76">
        <f>Напор4/((f_50_hz/f_nom)^4)*(f_50_hz/f_nom)^2</f>
        <v>1.2923679530000001E-10</v>
      </c>
      <c r="Y9" s="119" t="s">
        <v>489</v>
      </c>
      <c r="Z9" s="47">
        <f>Z5</f>
        <v>500</v>
      </c>
      <c r="AQ9" s="100">
        <f t="shared" si="0"/>
        <v>2166</v>
      </c>
      <c r="AR9" s="101">
        <v>200</v>
      </c>
      <c r="AS9" s="106" cm="1">
        <f t="array" ref="AS9">[1]!crv_interpolation(Подача_пласт_м3_сут,Напор_м,AR9,2)</f>
        <v>4.7645678596837486</v>
      </c>
      <c r="AT9" s="106" cm="1">
        <f t="array" ref="AT9">[1]!crv_interpolation(Подача_пласт_м3_сут,$I$42:$I$91,AR9,2)</f>
        <v>0.18559652544240779</v>
      </c>
      <c r="AU9" s="107" cm="1">
        <f t="array" ref="AU9">[1]!crv_interpolation(Подача_пласт_м3_сут,КПД,AR9,2)</f>
        <v>0.5823972374645412</v>
      </c>
    </row>
    <row r="10" spans="1:47" x14ac:dyDescent="0.2">
      <c r="A10" s="74" t="s">
        <v>435</v>
      </c>
      <c r="B10" s="75">
        <v>-3.7871169999999998E-13</v>
      </c>
      <c r="C10" s="76">
        <f>Напор5/((f_50_hz/f_nom)^5)*(f_50_hz/f_nom)^2</f>
        <v>-3.7871169999999998E-13</v>
      </c>
      <c r="AQ10" s="100">
        <f t="shared" si="0"/>
        <v>2166</v>
      </c>
      <c r="AR10" s="101">
        <v>250</v>
      </c>
      <c r="AS10" s="106" cm="1">
        <f t="array" ref="AS10">[1]!crv_interpolation(Подача_пласт_м3_сут,Напор_м,AR10,2)</f>
        <v>4.4070656679505316</v>
      </c>
      <c r="AT10" s="106" cm="1">
        <f t="array" ref="AT10">[1]!crv_interpolation(Подача_пласт_м3_сут,$I$42:$I$91,AR10,2)</f>
        <v>0.1967735837606657</v>
      </c>
      <c r="AU10" s="107" cm="1">
        <f t="array" ref="AU10">[1]!crv_interpolation(Подача_пласт_м3_сут,КПД,AR10,2)</f>
        <v>0.63743549612153461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2166</v>
      </c>
      <c r="AR11" s="101">
        <v>300</v>
      </c>
      <c r="AS11" s="106" cm="1">
        <f t="array" ref="AS11">[1]!crv_interpolation(Подача_пласт_м3_сут,Напор_м,AR11,2)</f>
        <v>4.0394557255784704</v>
      </c>
      <c r="AT11" s="106" cm="1">
        <f t="array" ref="AT11">[1]!crv_interpolation(Подача_пласт_м3_сут,$I$42:$I$91,AR11,2)</f>
        <v>0.207540477510332</v>
      </c>
      <c r="AU11" s="107" cm="1">
        <f t="array" ref="AU11">[1]!crv_interpolation(Подача_пласт_м3_сут,КПД,AR11,2)</f>
        <v>0.6645511896448798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2166</v>
      </c>
      <c r="AR12" s="101">
        <v>350</v>
      </c>
      <c r="AS12" s="106" cm="1">
        <f t="array" ref="AS12">[1]!crv_interpolation(Подача_пласт_м3_сут,Напор_м,AR12,2)</f>
        <v>3.5941188122386101</v>
      </c>
      <c r="AT12" s="106" cm="1">
        <f t="array" ref="AT12">[1]!crv_interpolation(Подача_пласт_м3_сут,$I$42:$I$91,AR12,2)</f>
        <v>0.21626220265422544</v>
      </c>
      <c r="AU12" s="107" cm="1">
        <f t="array" ref="AU12">[1]!crv_interpolation(Подача_пласт_м3_сут,КПД,AR12,2)</f>
        <v>0.65902817826664406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2166</v>
      </c>
      <c r="AR13" s="101">
        <v>400</v>
      </c>
      <c r="AS13" s="106" cm="1">
        <f t="array" ref="AS13">[1]!crv_interpolation(Подача_пласт_м3_сут,Напор_м,AR13,2)</f>
        <v>2.9376463654525566</v>
      </c>
      <c r="AT13" s="106" cm="1">
        <f t="array" ref="AT13">[1]!crv_interpolation(Подача_пласт_м3_сут,$I$42:$I$91,AR13,2)</f>
        <v>0.22116364248061843</v>
      </c>
      <c r="AU13" s="107" cm="1">
        <f t="array" ref="AU13">[1]!crv_interpolation(Подача_пласт_м3_сут,КПД,AR13,2)</f>
        <v>0.6011755184964156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2166</v>
      </c>
      <c r="AR14" s="101">
        <v>450</v>
      </c>
      <c r="AS14" s="106" cm="1">
        <f t="array" ref="AS14">[1]!crv_interpolation(Подача_пласт_м3_сут,Напор_м,AR14,2)</f>
        <v>1.8565744915970883</v>
      </c>
      <c r="AT14" s="106" cm="1">
        <f t="array" ref="AT14">[1]!crv_interpolation(Подача_пласт_м3_сут,$I$42:$I$91,AR14,2)</f>
        <v>0.22032789707165432</v>
      </c>
      <c r="AU14" s="107" cm="1">
        <f t="array" ref="AU14">[1]!crv_interpolation(Подача_пласт_м3_сут,КПД,AR14,2)</f>
        <v>0.45015984717538848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2166</v>
      </c>
      <c r="AR15" s="103">
        <v>500</v>
      </c>
      <c r="AS15" s="108">
        <v>0</v>
      </c>
      <c r="AT15" s="108" cm="1">
        <f t="array" ref="AT15">[1]!crv_interpolation(Подача_пласт_м3_сут,$I$42:$I$91,AR15,2)</f>
        <v>0.21169661736750003</v>
      </c>
      <c r="AU15" s="109">
        <v>0</v>
      </c>
    </row>
    <row r="16" spans="1:47" x14ac:dyDescent="0.2">
      <c r="A16" s="71" t="s">
        <v>441</v>
      </c>
      <c r="B16" s="72">
        <v>164.5079509</v>
      </c>
      <c r="C16" s="73">
        <f>Мощность0*(f_50_hz/f_nom)^3</f>
        <v>164.5079509</v>
      </c>
      <c r="AQ16" s="98">
        <f>$R$6</f>
        <v>3166</v>
      </c>
      <c r="AR16" s="99">
        <f t="array" ref="AR16:AR26">[1]!decode_json($AR$2)</f>
        <v>0</v>
      </c>
      <c r="AS16" s="104" cm="1">
        <f t="array" ref="AS16">[1]!crv_interpolation(Подача_f50_,$Q$42:$Q$91,AR16,2)</f>
        <v>5.9361764709999996</v>
      </c>
      <c r="AT16" s="104" cm="1">
        <f t="array" ref="AT16">[1]!crv_interpolation(Подача_f50_,$S$42:$S$91,AR16,2)</f>
        <v>0.16450795090000001</v>
      </c>
      <c r="AU16" s="105">
        <v>0</v>
      </c>
    </row>
    <row r="17" spans="1:47" x14ac:dyDescent="0.2">
      <c r="A17" s="74" t="s">
        <v>442</v>
      </c>
      <c r="B17" s="75">
        <v>-6.7322390489999995E-2</v>
      </c>
      <c r="C17" s="76">
        <f>Мощность1/(f_50_hz/f_nom)*(f_50_hz/f_nom)^3</f>
        <v>-6.7322390489999995E-2</v>
      </c>
      <c r="AQ17" s="100">
        <f t="shared" ref="AQ17:AQ26" si="1">$R$6</f>
        <v>3166</v>
      </c>
      <c r="AR17" s="101">
        <v>50</v>
      </c>
      <c r="AS17" s="106" cm="1">
        <f t="array" ref="AS17">[1]!crv_interpolation(Подача_f50_,$Q$42:$Q$91,AR17,2)</f>
        <v>5.7628761625597393</v>
      </c>
      <c r="AT17" s="106" cm="1">
        <f t="array" ref="AT17">[1]!crv_interpolation(Подача_f50_,$S$42:$S$91,AR17,2)</f>
        <v>0.16381763673750055</v>
      </c>
      <c r="AU17" s="107" cm="1">
        <f t="array" ref="AU17">[1]!crv_interpolation(Подача_f50_,$R$42:$R$91,AR17,2)</f>
        <v>0.20180097227331531</v>
      </c>
    </row>
    <row r="18" spans="1:47" x14ac:dyDescent="0.2">
      <c r="A18" s="74" t="s">
        <v>443</v>
      </c>
      <c r="B18" s="75">
        <v>1.129833052E-3</v>
      </c>
      <c r="C18" s="76">
        <f>Мощность2/((f_50_hz/f_nom)^2)*(f_50_hz/f_nom)^3</f>
        <v>1.129833052E-3</v>
      </c>
      <c r="AQ18" s="100">
        <f t="shared" si="1"/>
        <v>3166</v>
      </c>
      <c r="AR18" s="101">
        <v>100</v>
      </c>
      <c r="AS18" s="106" cm="1">
        <f t="array" ref="AS18">[1]!crv_interpolation(Подача_f50_,$Q$42:$Q$91,AR18,2)</f>
        <v>5.4755452928932202</v>
      </c>
      <c r="AT18" s="106" cm="1">
        <f t="array" ref="AT18">[1]!crv_interpolation(Подача_f50_,$S$42:$S$91,AR18,2)</f>
        <v>0.16783800634990648</v>
      </c>
      <c r="AU18" s="107" cm="1">
        <f t="array" ref="AU18">[1]!crv_interpolation(Подача_f50_,$R$42:$R$91,AR18,2)</f>
        <v>0.36954764818996783</v>
      </c>
    </row>
    <row r="19" spans="1:47" x14ac:dyDescent="0.2">
      <c r="A19" s="74" t="s">
        <v>444</v>
      </c>
      <c r="B19" s="75">
        <v>-1.141435595E-6</v>
      </c>
      <c r="C19" s="76">
        <f>Мощность3/((f_50_hz/f_nom)^3)*(f_50_hz/f_nom)^3</f>
        <v>-1.141435595E-6</v>
      </c>
      <c r="AQ19" s="100">
        <f t="shared" si="1"/>
        <v>3166</v>
      </c>
      <c r="AR19" s="101">
        <v>150</v>
      </c>
      <c r="AS19" s="106" cm="1">
        <f t="array" ref="AS19">[1]!crv_interpolation(Подача_f50_,$Q$42:$Q$91,AR19,2)</f>
        <v>5.1278798915973267</v>
      </c>
      <c r="AT19" s="106" cm="1">
        <f t="array" ref="AT19">[1]!crv_interpolation(Подача_f50_,$S$42:$S$91,AR19,2)</f>
        <v>0.17550085424396453</v>
      </c>
      <c r="AU19" s="107" cm="1">
        <f t="array" ref="AU19">[1]!crv_interpolation(Подача_f50_,$R$42:$R$91,AR19,2)</f>
        <v>0.49534508898955182</v>
      </c>
    </row>
    <row r="20" spans="1:47" x14ac:dyDescent="0.2">
      <c r="A20" s="74" t="s">
        <v>445</v>
      </c>
      <c r="B20" s="75">
        <v>-9.4286323059999991E-10</v>
      </c>
      <c r="C20" s="76">
        <f>Мощность4/((f_50_hz/f_nom)^4)*(f_50_hz/f_nom)^3</f>
        <v>-9.4286323059999991E-10</v>
      </c>
      <c r="AQ20" s="100">
        <f t="shared" si="1"/>
        <v>3166</v>
      </c>
      <c r="AR20" s="101">
        <v>200</v>
      </c>
      <c r="AS20" s="106" cm="1">
        <f t="array" ref="AS20">[1]!crv_interpolation(Подача_f50_,$Q$42:$Q$91,AR20,2)</f>
        <v>4.7645678596837486</v>
      </c>
      <c r="AT20" s="106" cm="1">
        <f t="array" ref="AT20">[1]!crv_interpolation(Подача_f50_,$S$42:$S$91,AR20,2)</f>
        <v>0.18559652544240779</v>
      </c>
      <c r="AU20" s="107" cm="1">
        <f t="array" ref="AU20">[1]!crv_interpolation(Подача_f50_,$R$42:$R$91,AR20,2)</f>
        <v>0.5823972374645412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3166</v>
      </c>
      <c r="AR21" s="101">
        <v>250</v>
      </c>
      <c r="AS21" s="106" cm="1">
        <f t="array" ref="AS21">[1]!crv_interpolation(Подача_f50_,$Q$42:$Q$91,AR21,2)</f>
        <v>4.4070656679505316</v>
      </c>
      <c r="AT21" s="106" cm="1">
        <f t="array" ref="AT21">[1]!crv_interpolation(Подача_f50_,$S$42:$S$91,AR21,2)</f>
        <v>0.1967735837606657</v>
      </c>
      <c r="AU21" s="107" cm="1">
        <f t="array" ref="AU21">[1]!crv_interpolation(Подача_f50_,$R$42:$R$91,AR21,2)</f>
        <v>0.63743549612153461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3166</v>
      </c>
      <c r="AR22" s="101">
        <v>300</v>
      </c>
      <c r="AS22" s="106" cm="1">
        <f t="array" ref="AS22">[1]!crv_interpolation(Подача_f50_,$Q$42:$Q$91,AR22,2)</f>
        <v>4.0394557255784704</v>
      </c>
      <c r="AT22" s="106" cm="1">
        <f t="array" ref="AT22">[1]!crv_interpolation(Подача_f50_,$S$42:$S$91,AR22,2)</f>
        <v>0.207540477510332</v>
      </c>
      <c r="AU22" s="107" cm="1">
        <f t="array" ref="AU22">[1]!crv_interpolation(Подача_f50_,$R$42:$R$91,AR22,2)</f>
        <v>0.6645511896448798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3166</v>
      </c>
      <c r="AR23" s="101">
        <v>350</v>
      </c>
      <c r="AS23" s="106" cm="1">
        <f t="array" ref="AS23">[1]!crv_interpolation(Подача_f50_,$Q$42:$Q$91,AR23,2)</f>
        <v>3.5941188122386101</v>
      </c>
      <c r="AT23" s="106" cm="1">
        <f t="array" ref="AT23">[1]!crv_interpolation(Подача_f50_,$S$42:$S$91,AR23,2)</f>
        <v>0.21626220265422541</v>
      </c>
      <c r="AU23" s="107" cm="1">
        <f t="array" ref="AU23">[1]!crv_interpolation(Подача_f50_,$R$42:$R$91,AR23,2)</f>
        <v>0.65902817826664406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3166</v>
      </c>
      <c r="AR24" s="101">
        <v>400</v>
      </c>
      <c r="AS24" s="106" cm="1">
        <f t="array" ref="AS24">[1]!crv_interpolation(Подача_f50_,$Q$42:$Q$91,AR24,2)</f>
        <v>2.9376463654525566</v>
      </c>
      <c r="AT24" s="106" cm="1">
        <f t="array" ref="AT24">[1]!crv_interpolation(Подача_f50_,$S$42:$S$91,AR24,2)</f>
        <v>0.22116364248061843</v>
      </c>
      <c r="AU24" s="107" cm="1">
        <f t="array" ref="AU24">[1]!crv_interpolation(Подача_f50_,$R$42:$R$91,AR24,2)</f>
        <v>0.6011755184964156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3166</v>
      </c>
      <c r="AR25" s="101">
        <v>450</v>
      </c>
      <c r="AS25" s="106" cm="1">
        <f t="array" ref="AS25">[1]!crv_interpolation(Подача_f50_,$Q$42:$Q$91,AR25,2)</f>
        <v>1.8565744915970883</v>
      </c>
      <c r="AT25" s="106" cm="1">
        <f t="array" ref="AT25">[1]!crv_interpolation(Подача_f50_,$S$42:$S$91,AR25,2)</f>
        <v>0.22032789707165432</v>
      </c>
      <c r="AU25" s="107" cm="1">
        <f t="array" ref="AU25">[1]!crv_interpolation(Подача_f50_,$R$42:$R$91,AR25,2)</f>
        <v>0.45015984717538848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3166</v>
      </c>
      <c r="AR26" s="103">
        <v>500</v>
      </c>
      <c r="AS26" s="108">
        <v>0</v>
      </c>
      <c r="AT26" s="108" cm="1">
        <f t="array" ref="AT26">[1]!crv_interpolation(Подача_f50_,$S$42:$S$91,AR26,2)</f>
        <v>0.21169661736750003</v>
      </c>
      <c r="AU26" s="109">
        <v>0</v>
      </c>
    </row>
    <row r="27" spans="1:47" x14ac:dyDescent="0.2">
      <c r="A27" s="74" t="s">
        <v>452</v>
      </c>
      <c r="B27" s="75">
        <v>-0.1403846154</v>
      </c>
      <c r="C27" s="73">
        <f>К.П.Д.0</f>
        <v>-0.1403846154</v>
      </c>
    </row>
    <row r="28" spans="1:47" x14ac:dyDescent="0.2">
      <c r="A28" s="74" t="s">
        <v>453</v>
      </c>
      <c r="B28" s="75">
        <v>0.43024421660000001</v>
      </c>
      <c r="C28" s="76">
        <f>К.П.Д.1/(f_50_hz/f_nom)</f>
        <v>0.43024421660000001</v>
      </c>
    </row>
    <row r="29" spans="1:47" x14ac:dyDescent="0.2">
      <c r="A29" s="74" t="s">
        <v>454</v>
      </c>
      <c r="B29" s="75">
        <v>-2.9918093110000002E-4</v>
      </c>
      <c r="C29" s="76">
        <f>К.П.Д.2/((f_50_hz/f_nom)^2)</f>
        <v>-2.9918093110000002E-4</v>
      </c>
    </row>
    <row r="30" spans="1:47" x14ac:dyDescent="0.2">
      <c r="A30" s="74" t="s">
        <v>455</v>
      </c>
      <c r="B30" s="75">
        <v>-4.2410890430000001E-6</v>
      </c>
      <c r="C30" s="76">
        <f>К.П.Д.3/((f_50_hz/f_nom)^3)</f>
        <v>-4.2410890430000001E-6</v>
      </c>
    </row>
    <row r="31" spans="1:47" x14ac:dyDescent="0.2">
      <c r="A31" s="74" t="s">
        <v>456</v>
      </c>
      <c r="B31" s="75">
        <v>1.4680112089999999E-8</v>
      </c>
      <c r="C31" s="76">
        <f>К.П.Д.4/((f_50_hz/f_nom)^4)</f>
        <v>1.4680112089999999E-8</v>
      </c>
    </row>
    <row r="32" spans="1:47" x14ac:dyDescent="0.2">
      <c r="A32" s="74" t="s">
        <v>457</v>
      </c>
      <c r="B32" s="75">
        <v>-1.644075437E-11</v>
      </c>
      <c r="C32" s="76">
        <f>К.П.Д.5/((f_50_hz/f_nom)^5)</f>
        <v>-1.644075437E-11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5.9361764709999996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5.9361764709999996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164.5079509</v>
      </c>
      <c r="I42" s="84">
        <f>H42/1000</f>
        <v>0.16450795090000001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-0.1403846154</v>
      </c>
      <c r="K42" s="84">
        <f>J42/100</f>
        <v>-1.4038461539999999E-3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5.9361764709999996</v>
      </c>
      <c r="R42" s="87">
        <f>D42</f>
        <v>1E-3</v>
      </c>
      <c r="S42" s="47">
        <f t="shared" ref="S42:S73" si="8">I42*(f_50_hz/f_nom)^3</f>
        <v>0.16450795090000001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5.9361764709999996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164.5079509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-0.1403846154</v>
      </c>
    </row>
    <row r="43" spans="1:22" x14ac:dyDescent="0.2">
      <c r="A43" s="80">
        <v>2</v>
      </c>
      <c r="B43" s="81">
        <v>10.204081632653001</v>
      </c>
      <c r="C43" s="82">
        <v>5.9126180131742299</v>
      </c>
      <c r="D43" s="82">
        <v>4.2143620474832701E-2</v>
      </c>
      <c r="E43" s="75">
        <v>0.16238605959719199</v>
      </c>
      <c r="G43" s="89">
        <f t="shared" si="2"/>
        <v>5.9126180131742387</v>
      </c>
      <c r="H43" s="90">
        <f t="shared" si="3"/>
        <v>163.9374066796727</v>
      </c>
      <c r="I43" s="90">
        <f t="shared" ref="I43:I91" si="12">H43/1000</f>
        <v>0.16393740667967271</v>
      </c>
      <c r="J43" s="90">
        <f t="shared" si="4"/>
        <v>4.2143620474832542</v>
      </c>
      <c r="K43" s="90">
        <f t="shared" ref="K43:K91" si="13">J43/100</f>
        <v>4.2143620474832541E-2</v>
      </c>
      <c r="L43" s="90">
        <f t="shared" si="5"/>
        <v>6.850290852848504</v>
      </c>
      <c r="M43" s="90">
        <f t="shared" ref="M43:M91" si="14">IF(K43&gt;0,L43/K43,0)/1000</f>
        <v>0.16254633027884688</v>
      </c>
      <c r="N43" s="91">
        <f t="shared" ref="N43:N91" si="15">L43/H43</f>
        <v>4.1786014501459724E-2</v>
      </c>
      <c r="P43" s="86">
        <f t="shared" si="6"/>
        <v>10.204081632653001</v>
      </c>
      <c r="Q43" s="47">
        <f t="shared" si="7"/>
        <v>5.9126180131742299</v>
      </c>
      <c r="R43" s="87">
        <f t="shared" ref="R43:R91" si="16">D43</f>
        <v>4.2143620474832701E-2</v>
      </c>
      <c r="S43" s="47">
        <f t="shared" si="8"/>
        <v>0.16393740667967271</v>
      </c>
      <c r="T43" s="88">
        <f t="shared" si="9"/>
        <v>5.9126180131742387</v>
      </c>
      <c r="U43" s="88">
        <f t="shared" si="10"/>
        <v>163.9374066796727</v>
      </c>
      <c r="V43" s="88">
        <f t="shared" si="11"/>
        <v>4.2143620474832542</v>
      </c>
    </row>
    <row r="44" spans="1:22" x14ac:dyDescent="0.2">
      <c r="A44" s="80">
        <v>3</v>
      </c>
      <c r="B44" s="81">
        <v>20.408163265306101</v>
      </c>
      <c r="C44" s="82">
        <v>5.8826012750371</v>
      </c>
      <c r="D44" s="82">
        <v>8.4819424426521198E-2</v>
      </c>
      <c r="E44" s="75">
        <v>0.16054798194156</v>
      </c>
      <c r="G44" s="89">
        <f t="shared" si="2"/>
        <v>5.8826012750371008</v>
      </c>
      <c r="H44" s="90">
        <f t="shared" si="3"/>
        <v>163.59472666757779</v>
      </c>
      <c r="I44" s="90">
        <f t="shared" si="12"/>
        <v>0.16359472666757779</v>
      </c>
      <c r="J44" s="90">
        <f t="shared" si="4"/>
        <v>8.4819424426521106</v>
      </c>
      <c r="K44" s="90">
        <f t="shared" si="13"/>
        <v>8.4819424426521101E-2</v>
      </c>
      <c r="L44" s="90">
        <f t="shared" si="5"/>
        <v>13.631027614350408</v>
      </c>
      <c r="M44" s="90">
        <f t="shared" si="14"/>
        <v>0.16070643848991148</v>
      </c>
      <c r="N44" s="91">
        <f t="shared" si="15"/>
        <v>8.3321925419078249E-2</v>
      </c>
      <c r="P44" s="86">
        <f t="shared" si="6"/>
        <v>20.408163265306101</v>
      </c>
      <c r="Q44" s="47">
        <f t="shared" si="7"/>
        <v>5.8826012750371</v>
      </c>
      <c r="R44" s="87">
        <f t="shared" si="16"/>
        <v>8.4819424426521198E-2</v>
      </c>
      <c r="S44" s="47">
        <f t="shared" si="8"/>
        <v>0.16359472666757779</v>
      </c>
      <c r="T44" s="88">
        <f t="shared" si="9"/>
        <v>5.8826012750371008</v>
      </c>
      <c r="U44" s="88">
        <f t="shared" si="10"/>
        <v>163.59472666757779</v>
      </c>
      <c r="V44" s="88">
        <f t="shared" si="11"/>
        <v>8.4819424426521106</v>
      </c>
    </row>
    <row r="45" spans="1:22" x14ac:dyDescent="0.2">
      <c r="A45" s="80">
        <v>4</v>
      </c>
      <c r="B45" s="81">
        <v>30.612244897959101</v>
      </c>
      <c r="C45" s="82">
        <v>5.8465305636677796</v>
      </c>
      <c r="D45" s="82">
        <v>0.12640776892616301</v>
      </c>
      <c r="E45" s="75">
        <v>0.160600345968435</v>
      </c>
      <c r="G45" s="89">
        <f t="shared" si="2"/>
        <v>5.8465305636677813</v>
      </c>
      <c r="H45" s="90">
        <f t="shared" si="3"/>
        <v>163.4722663326406</v>
      </c>
      <c r="I45" s="90">
        <f t="shared" si="12"/>
        <v>0.16347226633264061</v>
      </c>
      <c r="J45" s="90">
        <f t="shared" si="4"/>
        <v>12.640776892616335</v>
      </c>
      <c r="K45" s="90">
        <f t="shared" si="13"/>
        <v>0.12640776892616334</v>
      </c>
      <c r="L45" s="90">
        <f t="shared" si="5"/>
        <v>20.321168094380941</v>
      </c>
      <c r="M45" s="90">
        <f t="shared" si="14"/>
        <v>0.16075885419867539</v>
      </c>
      <c r="N45" s="91">
        <f t="shared" si="15"/>
        <v>0.12430957587038359</v>
      </c>
      <c r="P45" s="86">
        <f t="shared" si="6"/>
        <v>30.612244897959098</v>
      </c>
      <c r="Q45" s="47">
        <f t="shared" si="7"/>
        <v>5.8465305636677796</v>
      </c>
      <c r="R45" s="87">
        <f t="shared" si="16"/>
        <v>0.12640776892616301</v>
      </c>
      <c r="S45" s="47">
        <f t="shared" si="8"/>
        <v>0.16347226633264061</v>
      </c>
      <c r="T45" s="88">
        <f t="shared" si="9"/>
        <v>5.8465305636677813</v>
      </c>
      <c r="U45" s="88">
        <f t="shared" si="10"/>
        <v>163.4722663326406</v>
      </c>
      <c r="V45" s="88">
        <f t="shared" si="11"/>
        <v>12.640776892616334</v>
      </c>
    </row>
    <row r="46" spans="1:22" x14ac:dyDescent="0.2">
      <c r="A46" s="80">
        <v>5</v>
      </c>
      <c r="B46" s="81">
        <v>40.816326530612201</v>
      </c>
      <c r="C46" s="82">
        <v>5.8048337583583596</v>
      </c>
      <c r="D46" s="82">
        <v>0.166726689634947</v>
      </c>
      <c r="E46" s="75">
        <v>0.16119271650959699</v>
      </c>
      <c r="G46" s="89">
        <f t="shared" si="2"/>
        <v>5.804833758358364</v>
      </c>
      <c r="H46" s="90">
        <f t="shared" si="3"/>
        <v>163.56213581097305</v>
      </c>
      <c r="I46" s="90">
        <f t="shared" si="12"/>
        <v>0.16356213581097304</v>
      </c>
      <c r="J46" s="90">
        <f t="shared" si="4"/>
        <v>16.672668963494729</v>
      </c>
      <c r="K46" s="90">
        <f t="shared" si="13"/>
        <v>0.1667266896349473</v>
      </c>
      <c r="L46" s="90">
        <f t="shared" si="5"/>
        <v>26.901653046813799</v>
      </c>
      <c r="M46" s="90">
        <f t="shared" si="14"/>
        <v>0.16135180939365923</v>
      </c>
      <c r="N46" s="91">
        <f t="shared" si="15"/>
        <v>0.16447359844887169</v>
      </c>
      <c r="P46" s="86">
        <f t="shared" si="6"/>
        <v>40.816326530612201</v>
      </c>
      <c r="Q46" s="47">
        <f t="shared" si="7"/>
        <v>5.8048337583583596</v>
      </c>
      <c r="R46" s="87">
        <f t="shared" si="16"/>
        <v>0.166726689634947</v>
      </c>
      <c r="S46" s="47">
        <f t="shared" si="8"/>
        <v>0.16356213581097304</v>
      </c>
      <c r="T46" s="88">
        <f t="shared" si="9"/>
        <v>5.804833758358364</v>
      </c>
      <c r="U46" s="88">
        <f t="shared" si="10"/>
        <v>163.56213581097305</v>
      </c>
      <c r="V46" s="88">
        <f t="shared" si="11"/>
        <v>16.672668963494729</v>
      </c>
    </row>
    <row r="47" spans="1:22" x14ac:dyDescent="0.2">
      <c r="A47" s="80">
        <v>6</v>
      </c>
      <c r="B47" s="81">
        <v>51.020408163265301</v>
      </c>
      <c r="C47" s="82">
        <v>5.7579572830268599</v>
      </c>
      <c r="D47" s="82">
        <v>0.20562587205789901</v>
      </c>
      <c r="E47" s="75">
        <v>0.16205463217039301</v>
      </c>
      <c r="G47" s="89">
        <f t="shared" si="2"/>
        <v>5.757957283026867</v>
      </c>
      <c r="H47" s="90">
        <f t="shared" si="3"/>
        <v>163.85619990587423</v>
      </c>
      <c r="I47" s="90">
        <f t="shared" si="12"/>
        <v>0.16385619990587424</v>
      </c>
      <c r="J47" s="90">
        <f t="shared" si="4"/>
        <v>20.562587205789956</v>
      </c>
      <c r="K47" s="90">
        <f t="shared" si="13"/>
        <v>0.20562587205789956</v>
      </c>
      <c r="L47" s="90">
        <f t="shared" si="5"/>
        <v>33.355513597466398</v>
      </c>
      <c r="M47" s="90">
        <f t="shared" si="14"/>
        <v>0.16221457574207515</v>
      </c>
      <c r="N47" s="91">
        <f t="shared" si="15"/>
        <v>0.2035657705758292</v>
      </c>
      <c r="P47" s="86">
        <f t="shared" si="6"/>
        <v>51.020408163265301</v>
      </c>
      <c r="Q47" s="47">
        <f t="shared" si="7"/>
        <v>5.7579572830268599</v>
      </c>
      <c r="R47" s="87">
        <f t="shared" si="16"/>
        <v>0.20562587205789901</v>
      </c>
      <c r="S47" s="47">
        <f t="shared" si="8"/>
        <v>0.16385619990587424</v>
      </c>
      <c r="T47" s="88">
        <f t="shared" si="9"/>
        <v>5.757957283026867</v>
      </c>
      <c r="U47" s="88">
        <f t="shared" si="10"/>
        <v>163.85619990587423</v>
      </c>
      <c r="V47" s="88">
        <f t="shared" si="11"/>
        <v>20.562587205789956</v>
      </c>
    </row>
    <row r="48" spans="1:22" x14ac:dyDescent="0.2">
      <c r="A48" s="80">
        <v>7</v>
      </c>
      <c r="B48" s="81">
        <v>61.224489795918302</v>
      </c>
      <c r="C48" s="82">
        <v>5.7063610786302998</v>
      </c>
      <c r="D48" s="82">
        <v>0.242984468951638</v>
      </c>
      <c r="E48" s="75">
        <v>0.163092033417157</v>
      </c>
      <c r="G48" s="89">
        <f t="shared" si="2"/>
        <v>5.7063610786303007</v>
      </c>
      <c r="H48" s="90">
        <f t="shared" si="3"/>
        <v>164.34607808783014</v>
      </c>
      <c r="I48" s="90">
        <f t="shared" si="12"/>
        <v>0.16434607808783014</v>
      </c>
      <c r="J48" s="90">
        <f t="shared" si="4"/>
        <v>24.298446895163845</v>
      </c>
      <c r="K48" s="90">
        <f t="shared" si="13"/>
        <v>0.24298446895163844</v>
      </c>
      <c r="L48" s="90">
        <f t="shared" si="5"/>
        <v>39.66794372262131</v>
      </c>
      <c r="M48" s="90">
        <f t="shared" si="14"/>
        <v>0.16325300087602093</v>
      </c>
      <c r="N48" s="91">
        <f t="shared" si="15"/>
        <v>0.24136836232515321</v>
      </c>
      <c r="P48" s="86">
        <f t="shared" si="6"/>
        <v>61.224489795918295</v>
      </c>
      <c r="Q48" s="47">
        <f t="shared" si="7"/>
        <v>5.7063610786302998</v>
      </c>
      <c r="R48" s="87">
        <f t="shared" si="16"/>
        <v>0.242984468951638</v>
      </c>
      <c r="S48" s="47">
        <f t="shared" si="8"/>
        <v>0.16434607808783014</v>
      </c>
      <c r="T48" s="88">
        <f t="shared" si="9"/>
        <v>5.7063610786303007</v>
      </c>
      <c r="U48" s="88">
        <f t="shared" si="10"/>
        <v>164.34607808783014</v>
      </c>
      <c r="V48" s="88">
        <f t="shared" si="11"/>
        <v>24.298446895163842</v>
      </c>
    </row>
    <row r="49" spans="1:22" x14ac:dyDescent="0.2">
      <c r="A49" s="80">
        <v>8</v>
      </c>
      <c r="B49" s="81">
        <v>71.428571428571402</v>
      </c>
      <c r="C49" s="82">
        <v>5.6505135755777198</v>
      </c>
      <c r="D49" s="82">
        <v>0.27870891773212603</v>
      </c>
      <c r="E49" s="75">
        <v>0.16426152913081499</v>
      </c>
      <c r="G49" s="89">
        <f t="shared" si="2"/>
        <v>5.6505135755777198</v>
      </c>
      <c r="H49" s="90">
        <f t="shared" si="3"/>
        <v>165.02314449451376</v>
      </c>
      <c r="I49" s="90">
        <f t="shared" si="12"/>
        <v>0.16502314449451375</v>
      </c>
      <c r="J49" s="90">
        <f t="shared" si="4"/>
        <v>27.870891773212627</v>
      </c>
      <c r="K49" s="90">
        <f t="shared" si="13"/>
        <v>0.27870891773212625</v>
      </c>
      <c r="L49" s="90">
        <f t="shared" si="5"/>
        <v>45.826337778122863</v>
      </c>
      <c r="M49" s="90">
        <f t="shared" si="14"/>
        <v>0.16442365085055385</v>
      </c>
      <c r="N49" s="91">
        <f t="shared" si="15"/>
        <v>0.27769642808888767</v>
      </c>
      <c r="P49" s="86">
        <f t="shared" si="6"/>
        <v>71.428571428571402</v>
      </c>
      <c r="Q49" s="47">
        <f t="shared" si="7"/>
        <v>5.6505135755777198</v>
      </c>
      <c r="R49" s="87">
        <f t="shared" si="16"/>
        <v>0.27870891773212603</v>
      </c>
      <c r="S49" s="47">
        <f t="shared" si="8"/>
        <v>0.16502314449451375</v>
      </c>
      <c r="T49" s="88">
        <f t="shared" si="9"/>
        <v>5.6505135755777198</v>
      </c>
      <c r="U49" s="88">
        <f t="shared" si="10"/>
        <v>165.02314449451376</v>
      </c>
      <c r="V49" s="88">
        <f t="shared" si="11"/>
        <v>27.870891773212627</v>
      </c>
    </row>
    <row r="50" spans="1:22" x14ac:dyDescent="0.2">
      <c r="A50" s="80">
        <v>9</v>
      </c>
      <c r="B50" s="81">
        <v>81.632653061224403</v>
      </c>
      <c r="C50" s="82">
        <v>5.5908866661432697</v>
      </c>
      <c r="D50" s="82">
        <v>0.312730757882418</v>
      </c>
      <c r="E50" s="75">
        <v>0.16553919614628099</v>
      </c>
      <c r="G50" s="89">
        <f t="shared" si="2"/>
        <v>5.5908866661432723</v>
      </c>
      <c r="H50" s="90">
        <f t="shared" si="3"/>
        <v>165.878527930785</v>
      </c>
      <c r="I50" s="90">
        <f t="shared" si="12"/>
        <v>0.165878527930785</v>
      </c>
      <c r="J50" s="90">
        <f t="shared" si="4"/>
        <v>31.273075788241822</v>
      </c>
      <c r="K50" s="90">
        <f t="shared" si="13"/>
        <v>0.31273075788241822</v>
      </c>
      <c r="L50" s="90">
        <f t="shared" si="5"/>
        <v>51.820293079048966</v>
      </c>
      <c r="M50" s="90">
        <f t="shared" si="14"/>
        <v>0.16570257888906653</v>
      </c>
      <c r="N50" s="91">
        <f t="shared" si="15"/>
        <v>0.31239904118676326</v>
      </c>
      <c r="P50" s="86">
        <f t="shared" si="6"/>
        <v>81.632653061224403</v>
      </c>
      <c r="Q50" s="47">
        <f t="shared" si="7"/>
        <v>5.5908866661432697</v>
      </c>
      <c r="R50" s="87">
        <f t="shared" si="16"/>
        <v>0.312730757882418</v>
      </c>
      <c r="S50" s="47">
        <f t="shared" si="8"/>
        <v>0.165878527930785</v>
      </c>
      <c r="T50" s="88">
        <f t="shared" si="9"/>
        <v>5.5908866661432723</v>
      </c>
      <c r="U50" s="88">
        <f t="shared" si="10"/>
        <v>165.878527930785</v>
      </c>
      <c r="V50" s="88">
        <f t="shared" si="11"/>
        <v>31.273075788241822</v>
      </c>
    </row>
    <row r="51" spans="1:22" x14ac:dyDescent="0.2">
      <c r="A51" s="80">
        <v>10</v>
      </c>
      <c r="B51" s="81">
        <v>91.836734693877503</v>
      </c>
      <c r="C51" s="82">
        <v>5.5279506768792404</v>
      </c>
      <c r="D51" s="82">
        <v>0.34500444836041599</v>
      </c>
      <c r="E51" s="75">
        <v>0.16691014625514899</v>
      </c>
      <c r="G51" s="89">
        <f t="shared" si="2"/>
        <v>5.5279506768792483</v>
      </c>
      <c r="H51" s="90">
        <f t="shared" si="3"/>
        <v>166.90311186869079</v>
      </c>
      <c r="I51" s="90">
        <f t="shared" si="12"/>
        <v>0.16690311186869078</v>
      </c>
      <c r="J51" s="90">
        <f t="shared" si="4"/>
        <v>34.50044483604168</v>
      </c>
      <c r="K51" s="90">
        <f t="shared" si="13"/>
        <v>0.34500444836041683</v>
      </c>
      <c r="L51" s="90">
        <f t="shared" si="5"/>
        <v>57.641577529958894</v>
      </c>
      <c r="M51" s="90">
        <f t="shared" si="14"/>
        <v>0.16707488208888918</v>
      </c>
      <c r="N51" s="91">
        <f t="shared" si="15"/>
        <v>0.34535951357999711</v>
      </c>
      <c r="P51" s="86">
        <f t="shared" si="6"/>
        <v>91.836734693877503</v>
      </c>
      <c r="Q51" s="47">
        <f t="shared" si="7"/>
        <v>5.5279506768792404</v>
      </c>
      <c r="R51" s="87">
        <f t="shared" si="16"/>
        <v>0.34500444836041599</v>
      </c>
      <c r="S51" s="47">
        <f t="shared" si="8"/>
        <v>0.16690311186869078</v>
      </c>
      <c r="T51" s="88">
        <f t="shared" si="9"/>
        <v>5.5279506768792483</v>
      </c>
      <c r="U51" s="88">
        <f t="shared" si="10"/>
        <v>166.90311186869079</v>
      </c>
      <c r="V51" s="88">
        <f t="shared" si="11"/>
        <v>34.50044483604168</v>
      </c>
    </row>
    <row r="52" spans="1:22" x14ac:dyDescent="0.2">
      <c r="A52" s="80">
        <v>11</v>
      </c>
      <c r="B52" s="81">
        <v>102.04081632653001</v>
      </c>
      <c r="C52" s="82">
        <v>5.4621693410291403</v>
      </c>
      <c r="D52" s="82">
        <v>0.37550518500662</v>
      </c>
      <c r="E52" s="75">
        <v>0.16836429094625599</v>
      </c>
      <c r="G52" s="89">
        <f t="shared" si="2"/>
        <v>5.4621693410291483</v>
      </c>
      <c r="H52" s="90">
        <f t="shared" si="3"/>
        <v>168.08753444746495</v>
      </c>
      <c r="I52" s="90">
        <f t="shared" si="12"/>
        <v>0.16808753444746494</v>
      </c>
      <c r="J52" s="90">
        <f t="shared" si="4"/>
        <v>37.550518500661894</v>
      </c>
      <c r="K52" s="90">
        <f t="shared" si="13"/>
        <v>0.37550518500661895</v>
      </c>
      <c r="L52" s="90">
        <f t="shared" si="5"/>
        <v>63.284062305715644</v>
      </c>
      <c r="M52" s="90">
        <f t="shared" si="14"/>
        <v>0.16853046198177038</v>
      </c>
      <c r="N52" s="91">
        <f t="shared" si="15"/>
        <v>0.37649467888110888</v>
      </c>
      <c r="P52" s="86">
        <f t="shared" si="6"/>
        <v>102.04081632653001</v>
      </c>
      <c r="Q52" s="47">
        <f t="shared" si="7"/>
        <v>5.4621693410291403</v>
      </c>
      <c r="R52" s="87">
        <f t="shared" si="16"/>
        <v>0.37550518500662</v>
      </c>
      <c r="S52" s="47">
        <f t="shared" si="8"/>
        <v>0.16808753444746494</v>
      </c>
      <c r="T52" s="88">
        <f t="shared" si="9"/>
        <v>5.4621693410291483</v>
      </c>
      <c r="U52" s="88">
        <f t="shared" si="10"/>
        <v>168.08753444746495</v>
      </c>
      <c r="V52" s="88">
        <f t="shared" si="11"/>
        <v>37.550518500661894</v>
      </c>
    </row>
    <row r="53" spans="1:22" x14ac:dyDescent="0.2">
      <c r="A53" s="80">
        <v>12</v>
      </c>
      <c r="B53" s="81">
        <v>112.24489795918301</v>
      </c>
      <c r="C53" s="82">
        <v>5.3939947709406999</v>
      </c>
      <c r="D53" s="82">
        <v>0.40422671795187698</v>
      </c>
      <c r="E53" s="75">
        <v>0.169894357112121</v>
      </c>
      <c r="G53" s="89">
        <f t="shared" si="2"/>
        <v>5.3939947709407043</v>
      </c>
      <c r="H53" s="90">
        <f t="shared" si="3"/>
        <v>169.42218847352845</v>
      </c>
      <c r="I53" s="90">
        <f t="shared" si="12"/>
        <v>0.16942218847352844</v>
      </c>
      <c r="J53" s="90">
        <f t="shared" si="4"/>
        <v>40.422671795187576</v>
      </c>
      <c r="K53" s="90">
        <f t="shared" si="13"/>
        <v>0.40422671795187576</v>
      </c>
      <c r="L53" s="90">
        <f t="shared" si="5"/>
        <v>68.74361958288543</v>
      </c>
      <c r="M53" s="90">
        <f t="shared" si="14"/>
        <v>0.17006203828186719</v>
      </c>
      <c r="N53" s="91">
        <f t="shared" si="15"/>
        <v>0.40575334436567234</v>
      </c>
      <c r="P53" s="86">
        <f t="shared" si="6"/>
        <v>112.24489795918299</v>
      </c>
      <c r="Q53" s="47">
        <f t="shared" si="7"/>
        <v>5.3939947709406999</v>
      </c>
      <c r="R53" s="87">
        <f t="shared" si="16"/>
        <v>0.40422671795187698</v>
      </c>
      <c r="S53" s="47">
        <f t="shared" si="8"/>
        <v>0.16942218847352844</v>
      </c>
      <c r="T53" s="88">
        <f t="shared" si="9"/>
        <v>5.3939947709407035</v>
      </c>
      <c r="U53" s="88">
        <f t="shared" si="10"/>
        <v>169.42218847352845</v>
      </c>
      <c r="V53" s="88">
        <f t="shared" si="11"/>
        <v>40.422671795187583</v>
      </c>
    </row>
    <row r="54" spans="1:22" x14ac:dyDescent="0.2">
      <c r="A54" s="80">
        <v>13</v>
      </c>
      <c r="B54" s="81">
        <v>122.44897959183599</v>
      </c>
      <c r="C54" s="82">
        <v>5.3238624304789601</v>
      </c>
      <c r="D54" s="82">
        <v>0.43117916902513498</v>
      </c>
      <c r="E54" s="75">
        <v>0.17149484228416401</v>
      </c>
      <c r="G54" s="89">
        <f t="shared" si="2"/>
        <v>5.3238624304789672</v>
      </c>
      <c r="H54" s="90">
        <f t="shared" si="3"/>
        <v>170.89722142048905</v>
      </c>
      <c r="I54" s="90">
        <f t="shared" si="12"/>
        <v>0.17089722142048905</v>
      </c>
      <c r="J54" s="90">
        <f t="shared" si="4"/>
        <v>43.117916902513372</v>
      </c>
      <c r="K54" s="90">
        <f t="shared" si="13"/>
        <v>0.4311791690251337</v>
      </c>
      <c r="L54" s="90">
        <f t="shared" si="5"/>
        <v>74.017985321709588</v>
      </c>
      <c r="M54" s="90">
        <f t="shared" si="14"/>
        <v>0.171664103089811</v>
      </c>
      <c r="N54" s="91">
        <f t="shared" si="15"/>
        <v>0.43311403606492749</v>
      </c>
      <c r="P54" s="86">
        <f t="shared" si="6"/>
        <v>122.44897959183599</v>
      </c>
      <c r="Q54" s="47">
        <f t="shared" si="7"/>
        <v>5.3238624304789601</v>
      </c>
      <c r="R54" s="87">
        <f t="shared" si="16"/>
        <v>0.43117916902513498</v>
      </c>
      <c r="S54" s="47">
        <f t="shared" si="8"/>
        <v>0.17089722142048905</v>
      </c>
      <c r="T54" s="88">
        <f t="shared" si="9"/>
        <v>5.3238624304789672</v>
      </c>
      <c r="U54" s="88">
        <f t="shared" si="10"/>
        <v>170.89722142048905</v>
      </c>
      <c r="V54" s="88">
        <f t="shared" si="11"/>
        <v>43.117916902513372</v>
      </c>
    </row>
    <row r="55" spans="1:22" x14ac:dyDescent="0.2">
      <c r="A55" s="80">
        <v>14</v>
      </c>
      <c r="B55" s="81">
        <v>132.65306122448899</v>
      </c>
      <c r="C55" s="82">
        <v>5.2521861074393303</v>
      </c>
      <c r="D55" s="82">
        <v>0.45638684916119399</v>
      </c>
      <c r="E55" s="75">
        <v>0.173161404955084</v>
      </c>
      <c r="G55" s="89">
        <f t="shared" si="2"/>
        <v>5.2521861074393366</v>
      </c>
      <c r="H55" s="90">
        <f t="shared" si="3"/>
        <v>172.50253542914146</v>
      </c>
      <c r="I55" s="90">
        <f t="shared" si="12"/>
        <v>0.17250253542914146</v>
      </c>
      <c r="J55" s="90">
        <f t="shared" si="4"/>
        <v>45.638684916119225</v>
      </c>
      <c r="K55" s="90">
        <f t="shared" si="13"/>
        <v>0.45638684916119227</v>
      </c>
      <c r="L55" s="90">
        <f t="shared" si="5"/>
        <v>79.106587098655254</v>
      </c>
      <c r="M55" s="90">
        <f t="shared" si="14"/>
        <v>0.17333231061334858</v>
      </c>
      <c r="N55" s="91">
        <f t="shared" si="15"/>
        <v>0.45858217041192256</v>
      </c>
      <c r="P55" s="86">
        <f t="shared" si="6"/>
        <v>132.65306122448899</v>
      </c>
      <c r="Q55" s="47">
        <f t="shared" si="7"/>
        <v>5.2521861074393303</v>
      </c>
      <c r="R55" s="87">
        <f t="shared" si="16"/>
        <v>0.45638684916119399</v>
      </c>
      <c r="S55" s="47">
        <f t="shared" si="8"/>
        <v>0.17250253542914146</v>
      </c>
      <c r="T55" s="88">
        <f t="shared" si="9"/>
        <v>5.2521861074393366</v>
      </c>
      <c r="U55" s="88">
        <f t="shared" si="10"/>
        <v>172.50253542914146</v>
      </c>
      <c r="V55" s="88">
        <f t="shared" si="11"/>
        <v>45.638684916119225</v>
      </c>
    </row>
    <row r="56" spans="1:22" x14ac:dyDescent="0.2">
      <c r="A56" s="80">
        <v>15</v>
      </c>
      <c r="B56" s="81">
        <v>142.85714285714201</v>
      </c>
      <c r="C56" s="82">
        <v>5.1793528859606104</v>
      </c>
      <c r="D56" s="82">
        <v>0.47988607580845599</v>
      </c>
      <c r="E56" s="75">
        <v>0.17489047302711699</v>
      </c>
      <c r="G56" s="89">
        <f t="shared" si="2"/>
        <v>5.1793528859606175</v>
      </c>
      <c r="H56" s="90">
        <f t="shared" si="3"/>
        <v>174.22778730746757</v>
      </c>
      <c r="I56" s="90">
        <f t="shared" si="12"/>
        <v>0.17422778730746757</v>
      </c>
      <c r="J56" s="90">
        <f t="shared" si="4"/>
        <v>47.988607580845418</v>
      </c>
      <c r="K56" s="90">
        <f t="shared" si="13"/>
        <v>0.47988607580845416</v>
      </c>
      <c r="L56" s="90">
        <f t="shared" si="5"/>
        <v>84.010336989539169</v>
      </c>
      <c r="M56" s="90">
        <f t="shared" si="14"/>
        <v>0.17506308522915295</v>
      </c>
      <c r="N56" s="91">
        <f t="shared" si="15"/>
        <v>0.4821867871241593</v>
      </c>
      <c r="P56" s="86">
        <f t="shared" si="6"/>
        <v>142.85714285714201</v>
      </c>
      <c r="Q56" s="47">
        <f t="shared" si="7"/>
        <v>5.1793528859606104</v>
      </c>
      <c r="R56" s="87">
        <f t="shared" si="16"/>
        <v>0.47988607580845599</v>
      </c>
      <c r="S56" s="47">
        <f t="shared" si="8"/>
        <v>0.17422778730746757</v>
      </c>
      <c r="T56" s="88">
        <f t="shared" si="9"/>
        <v>5.1793528859606175</v>
      </c>
      <c r="U56" s="88">
        <f t="shared" si="10"/>
        <v>174.22778730746757</v>
      </c>
      <c r="V56" s="88">
        <f t="shared" si="11"/>
        <v>47.988607580845418</v>
      </c>
    </row>
    <row r="57" spans="1:22" x14ac:dyDescent="0.2">
      <c r="A57" s="80">
        <v>16</v>
      </c>
      <c r="B57" s="81">
        <v>153.06122448979499</v>
      </c>
      <c r="C57" s="82">
        <v>5.1057181189380696</v>
      </c>
      <c r="D57" s="82">
        <v>0.501722990336678</v>
      </c>
      <c r="E57" s="75">
        <v>0.17667896839587499</v>
      </c>
      <c r="G57" s="89">
        <f t="shared" si="2"/>
        <v>5.1057181189380758</v>
      </c>
      <c r="H57" s="90">
        <f t="shared" si="3"/>
        <v>176.06238853063599</v>
      </c>
      <c r="I57" s="90">
        <f t="shared" si="12"/>
        <v>0.17606238853063599</v>
      </c>
      <c r="J57" s="90">
        <f t="shared" si="4"/>
        <v>50.172299033667656</v>
      </c>
      <c r="K57" s="90">
        <f t="shared" si="13"/>
        <v>0.50172299033667656</v>
      </c>
      <c r="L57" s="90">
        <f t="shared" si="5"/>
        <v>88.731389503228044</v>
      </c>
      <c r="M57" s="90">
        <f t="shared" si="14"/>
        <v>0.17685334579482925</v>
      </c>
      <c r="N57" s="91">
        <f t="shared" si="15"/>
        <v>0.50397697227530347</v>
      </c>
      <c r="P57" s="86">
        <f t="shared" si="6"/>
        <v>153.06122448979499</v>
      </c>
      <c r="Q57" s="47">
        <f t="shared" si="7"/>
        <v>5.1057181189380696</v>
      </c>
      <c r="R57" s="87">
        <f t="shared" si="16"/>
        <v>0.501722990336678</v>
      </c>
      <c r="S57" s="47">
        <f t="shared" si="8"/>
        <v>0.17606238853063599</v>
      </c>
      <c r="T57" s="88">
        <f t="shared" si="9"/>
        <v>5.1057181189380758</v>
      </c>
      <c r="U57" s="88">
        <f t="shared" si="10"/>
        <v>176.06238853063599</v>
      </c>
      <c r="V57" s="88">
        <f t="shared" si="11"/>
        <v>50.172299033667656</v>
      </c>
    </row>
    <row r="58" spans="1:22" x14ac:dyDescent="0.2">
      <c r="A58" s="80">
        <v>17</v>
      </c>
      <c r="B58" s="81">
        <v>163.26530612244801</v>
      </c>
      <c r="C58" s="82">
        <v>5.0316004004364796</v>
      </c>
      <c r="D58" s="82">
        <v>0.52195137544472403</v>
      </c>
      <c r="E58" s="75">
        <v>0.17852409612305001</v>
      </c>
      <c r="G58" s="89">
        <f t="shared" si="2"/>
        <v>5.0316004004364876</v>
      </c>
      <c r="H58" s="90">
        <f t="shared" si="3"/>
        <v>177.99550524100243</v>
      </c>
      <c r="I58" s="90">
        <f t="shared" si="12"/>
        <v>0.17799550524100244</v>
      </c>
      <c r="J58" s="90">
        <f t="shared" si="4"/>
        <v>52.195137544472274</v>
      </c>
      <c r="K58" s="90">
        <f t="shared" si="13"/>
        <v>0.5219513754447227</v>
      </c>
      <c r="L58" s="90">
        <f t="shared" si="5"/>
        <v>93.272864565913778</v>
      </c>
      <c r="M58" s="90">
        <f t="shared" si="14"/>
        <v>0.17870029461353887</v>
      </c>
      <c r="N58" s="91">
        <f t="shared" si="15"/>
        <v>0.52401808933109939</v>
      </c>
      <c r="P58" s="86">
        <f t="shared" si="6"/>
        <v>163.26530612244801</v>
      </c>
      <c r="Q58" s="47">
        <f t="shared" si="7"/>
        <v>5.0316004004364796</v>
      </c>
      <c r="R58" s="87">
        <f t="shared" si="16"/>
        <v>0.52195137544472403</v>
      </c>
      <c r="S58" s="47">
        <f t="shared" si="8"/>
        <v>0.17799550524100244</v>
      </c>
      <c r="T58" s="88">
        <f t="shared" si="9"/>
        <v>5.0316004004364876</v>
      </c>
      <c r="U58" s="88">
        <f t="shared" si="10"/>
        <v>177.99550524100243</v>
      </c>
      <c r="V58" s="88">
        <f t="shared" si="11"/>
        <v>52.195137544472274</v>
      </c>
    </row>
    <row r="59" spans="1:22" x14ac:dyDescent="0.2">
      <c r="A59" s="80">
        <v>18</v>
      </c>
      <c r="B59" s="81">
        <v>173.46938775510199</v>
      </c>
      <c r="C59" s="82">
        <v>4.95727653810318</v>
      </c>
      <c r="D59" s="82">
        <v>0.54063047256831398</v>
      </c>
      <c r="E59" s="75">
        <v>0.18042317055589399</v>
      </c>
      <c r="G59" s="89">
        <f t="shared" si="2"/>
        <v>4.9572765381031809</v>
      </c>
      <c r="H59" s="90">
        <f t="shared" si="3"/>
        <v>180.01605824810977</v>
      </c>
      <c r="I59" s="90">
        <f t="shared" si="12"/>
        <v>0.18001605824810976</v>
      </c>
      <c r="J59" s="90">
        <f t="shared" si="4"/>
        <v>54.063047256831446</v>
      </c>
      <c r="K59" s="90">
        <f t="shared" si="13"/>
        <v>0.54063047256831442</v>
      </c>
      <c r="L59" s="90">
        <f t="shared" si="5"/>
        <v>97.638535555965021</v>
      </c>
      <c r="M59" s="90">
        <f t="shared" si="14"/>
        <v>0.18060124338186903</v>
      </c>
      <c r="N59" s="91">
        <f t="shared" si="15"/>
        <v>0.5423879208675555</v>
      </c>
      <c r="P59" s="86">
        <f t="shared" si="6"/>
        <v>173.46938775510199</v>
      </c>
      <c r="Q59" s="47">
        <f t="shared" si="7"/>
        <v>4.95727653810318</v>
      </c>
      <c r="R59" s="87">
        <f t="shared" si="16"/>
        <v>0.54063047256831398</v>
      </c>
      <c r="S59" s="47">
        <f t="shared" si="8"/>
        <v>0.18001605824810976</v>
      </c>
      <c r="T59" s="88">
        <f t="shared" si="9"/>
        <v>4.9572765381031809</v>
      </c>
      <c r="U59" s="88">
        <f t="shared" si="10"/>
        <v>180.01605824810977</v>
      </c>
      <c r="V59" s="88">
        <f t="shared" si="11"/>
        <v>54.063047256831446</v>
      </c>
    </row>
    <row r="60" spans="1:22" x14ac:dyDescent="0.2">
      <c r="A60" s="80">
        <v>19</v>
      </c>
      <c r="B60" s="81">
        <v>183.67346938775501</v>
      </c>
      <c r="C60" s="82">
        <v>4.8829765255811202</v>
      </c>
      <c r="D60" s="82">
        <v>0.557822799287778</v>
      </c>
      <c r="E60" s="75">
        <v>0.18237346284806799</v>
      </c>
      <c r="G60" s="89">
        <f t="shared" si="2"/>
        <v>4.8829765255811264</v>
      </c>
      <c r="H60" s="90">
        <f t="shared" si="3"/>
        <v>182.11272302868718</v>
      </c>
      <c r="I60" s="90">
        <f t="shared" si="12"/>
        <v>0.1821127230286872</v>
      </c>
      <c r="J60" s="90">
        <f t="shared" si="4"/>
        <v>55.782279928777825</v>
      </c>
      <c r="K60" s="90">
        <f t="shared" si="13"/>
        <v>0.55782279928777823</v>
      </c>
      <c r="L60" s="90">
        <f t="shared" si="5"/>
        <v>101.83248238935111</v>
      </c>
      <c r="M60" s="90">
        <f t="shared" si="14"/>
        <v>0.18255346056018087</v>
      </c>
      <c r="N60" s="91">
        <f t="shared" si="15"/>
        <v>0.55917280624764487</v>
      </c>
      <c r="P60" s="86">
        <f t="shared" si="6"/>
        <v>183.67346938775501</v>
      </c>
      <c r="Q60" s="47">
        <f t="shared" si="7"/>
        <v>4.8829765255811202</v>
      </c>
      <c r="R60" s="87">
        <f t="shared" si="16"/>
        <v>0.557822799287778</v>
      </c>
      <c r="S60" s="47">
        <f t="shared" si="8"/>
        <v>0.1821127230286872</v>
      </c>
      <c r="T60" s="88">
        <f t="shared" si="9"/>
        <v>4.8829765255811264</v>
      </c>
      <c r="U60" s="88">
        <f t="shared" si="10"/>
        <v>182.11272302868718</v>
      </c>
      <c r="V60" s="88">
        <f t="shared" si="11"/>
        <v>55.782279928777825</v>
      </c>
    </row>
    <row r="61" spans="1:22" x14ac:dyDescent="0.2">
      <c r="A61" s="80">
        <v>20</v>
      </c>
      <c r="B61" s="81">
        <v>193.87755102040799</v>
      </c>
      <c r="C61" s="82">
        <v>4.80887851492193</v>
      </c>
      <c r="D61" s="82">
        <v>0.57359196673580504</v>
      </c>
      <c r="E61" s="75">
        <v>0.184372060804396</v>
      </c>
      <c r="G61" s="89">
        <f t="shared" si="2"/>
        <v>4.8088785149219317</v>
      </c>
      <c r="H61" s="90">
        <f t="shared" si="3"/>
        <v>184.27392972665155</v>
      </c>
      <c r="I61" s="90">
        <f t="shared" si="12"/>
        <v>0.18427392972665155</v>
      </c>
      <c r="J61" s="90">
        <f t="shared" si="4"/>
        <v>57.359196673580527</v>
      </c>
      <c r="K61" s="90">
        <f t="shared" si="13"/>
        <v>0.57359196673580526</v>
      </c>
      <c r="L61" s="90">
        <f t="shared" si="5"/>
        <v>105.8587096556474</v>
      </c>
      <c r="M61" s="90">
        <f t="shared" si="14"/>
        <v>0.18455403107903987</v>
      </c>
      <c r="N61" s="91">
        <f t="shared" si="15"/>
        <v>0.57446384202407907</v>
      </c>
      <c r="P61" s="86">
        <f t="shared" si="6"/>
        <v>193.87755102040799</v>
      </c>
      <c r="Q61" s="47">
        <f t="shared" si="7"/>
        <v>4.80887851492193</v>
      </c>
      <c r="R61" s="87">
        <f t="shared" si="16"/>
        <v>0.57359196673580504</v>
      </c>
      <c r="S61" s="47">
        <f t="shared" si="8"/>
        <v>0.18427392972665155</v>
      </c>
      <c r="T61" s="88">
        <f t="shared" si="9"/>
        <v>4.8088785149219317</v>
      </c>
      <c r="U61" s="88">
        <f t="shared" si="10"/>
        <v>184.27392972665155</v>
      </c>
      <c r="V61" s="88">
        <f t="shared" si="11"/>
        <v>57.359196673580527</v>
      </c>
    </row>
    <row r="62" spans="1:22" x14ac:dyDescent="0.2">
      <c r="A62" s="80">
        <v>21</v>
      </c>
      <c r="B62" s="81">
        <v>204.08163265306101</v>
      </c>
      <c r="C62" s="82">
        <v>4.7351037889989396</v>
      </c>
      <c r="D62" s="82">
        <v>0.58800049700519696</v>
      </c>
      <c r="E62" s="75">
        <v>0.18641573557046401</v>
      </c>
      <c r="G62" s="89">
        <f t="shared" si="2"/>
        <v>4.7351037889989414</v>
      </c>
      <c r="H62" s="90">
        <f t="shared" si="3"/>
        <v>186.48786315310636</v>
      </c>
      <c r="I62" s="90">
        <f t="shared" si="12"/>
        <v>0.18648786315310636</v>
      </c>
      <c r="J62" s="90">
        <f t="shared" si="4"/>
        <v>58.800049700519729</v>
      </c>
      <c r="K62" s="90">
        <f t="shared" si="13"/>
        <v>0.5880004970051973</v>
      </c>
      <c r="L62" s="90">
        <f t="shared" si="5"/>
        <v>109.72072980460968</v>
      </c>
      <c r="M62" s="90">
        <f t="shared" si="14"/>
        <v>0.18659972289724078</v>
      </c>
      <c r="N62" s="91">
        <f t="shared" si="15"/>
        <v>0.58835319333638914</v>
      </c>
      <c r="P62" s="86">
        <f t="shared" si="6"/>
        <v>204.08163265306104</v>
      </c>
      <c r="Q62" s="47">
        <f t="shared" si="7"/>
        <v>4.7351037889989396</v>
      </c>
      <c r="R62" s="87">
        <f t="shared" si="16"/>
        <v>0.58800049700519696</v>
      </c>
      <c r="S62" s="47">
        <f t="shared" si="8"/>
        <v>0.18648786315310636</v>
      </c>
      <c r="T62" s="88">
        <f t="shared" si="9"/>
        <v>4.7351037889989414</v>
      </c>
      <c r="U62" s="88">
        <f t="shared" si="10"/>
        <v>186.48786315310633</v>
      </c>
      <c r="V62" s="88">
        <f t="shared" si="11"/>
        <v>58.800049700519722</v>
      </c>
    </row>
    <row r="63" spans="1:22" x14ac:dyDescent="0.2">
      <c r="A63" s="80">
        <v>22</v>
      </c>
      <c r="B63" s="81">
        <v>214.28571428571399</v>
      </c>
      <c r="C63" s="82">
        <v>4.6617117339202503</v>
      </c>
      <c r="D63" s="82">
        <v>0.60110764055661903</v>
      </c>
      <c r="E63" s="75">
        <v>0.18850081170583699</v>
      </c>
      <c r="G63" s="89">
        <f t="shared" si="2"/>
        <v>4.6617117339202574</v>
      </c>
      <c r="H63" s="90">
        <f t="shared" si="3"/>
        <v>188.74246278634212</v>
      </c>
      <c r="I63" s="90">
        <f t="shared" si="12"/>
        <v>0.18874246278634213</v>
      </c>
      <c r="J63" s="90">
        <f t="shared" si="4"/>
        <v>60.110764055661875</v>
      </c>
      <c r="K63" s="90">
        <f t="shared" si="13"/>
        <v>0.60110764055661869</v>
      </c>
      <c r="L63" s="90">
        <f t="shared" si="5"/>
        <v>113.42111138332737</v>
      </c>
      <c r="M63" s="90">
        <f t="shared" si="14"/>
        <v>0.188686856946787</v>
      </c>
      <c r="N63" s="91">
        <f t="shared" si="15"/>
        <v>0.60093054688875669</v>
      </c>
      <c r="P63" s="86">
        <f t="shared" si="6"/>
        <v>214.28571428571399</v>
      </c>
      <c r="Q63" s="47">
        <f t="shared" si="7"/>
        <v>4.6617117339202503</v>
      </c>
      <c r="R63" s="87">
        <f t="shared" si="16"/>
        <v>0.60110764055661903</v>
      </c>
      <c r="S63" s="47">
        <f t="shared" si="8"/>
        <v>0.18874246278634213</v>
      </c>
      <c r="T63" s="88">
        <f t="shared" si="9"/>
        <v>4.6617117339202574</v>
      </c>
      <c r="U63" s="88">
        <f t="shared" si="10"/>
        <v>188.74246278634212</v>
      </c>
      <c r="V63" s="88">
        <f t="shared" si="11"/>
        <v>60.110764055661875</v>
      </c>
    </row>
    <row r="64" spans="1:22" x14ac:dyDescent="0.2">
      <c r="A64" s="80">
        <v>23</v>
      </c>
      <c r="B64" s="81">
        <v>224.48979591836701</v>
      </c>
      <c r="C64" s="82">
        <v>4.58869481144181</v>
      </c>
      <c r="D64" s="82">
        <v>0.61296719362634899</v>
      </c>
      <c r="E64" s="75">
        <v>0.19062303823187501</v>
      </c>
      <c r="G64" s="89">
        <f t="shared" si="2"/>
        <v>4.5886948114418153</v>
      </c>
      <c r="H64" s="90">
        <f t="shared" si="3"/>
        <v>191.0254227718363</v>
      </c>
      <c r="I64" s="90">
        <f t="shared" si="12"/>
        <v>0.19102542277183632</v>
      </c>
      <c r="J64" s="90">
        <f t="shared" si="4"/>
        <v>61.296719362634931</v>
      </c>
      <c r="K64" s="90">
        <f t="shared" si="13"/>
        <v>0.61296719362634933</v>
      </c>
      <c r="L64" s="90">
        <f t="shared" si="5"/>
        <v>116.96099232395242</v>
      </c>
      <c r="M64" s="90">
        <f t="shared" si="14"/>
        <v>0.19081117805343617</v>
      </c>
      <c r="N64" s="91">
        <f t="shared" si="15"/>
        <v>0.61227971977139628</v>
      </c>
      <c r="P64" s="86">
        <f t="shared" si="6"/>
        <v>224.48979591836701</v>
      </c>
      <c r="Q64" s="47">
        <f t="shared" si="7"/>
        <v>4.58869481144181</v>
      </c>
      <c r="R64" s="87">
        <f t="shared" si="16"/>
        <v>0.61296719362634899</v>
      </c>
      <c r="S64" s="47">
        <f t="shared" si="8"/>
        <v>0.19102542277183632</v>
      </c>
      <c r="T64" s="88">
        <f t="shared" si="9"/>
        <v>4.5886948114418153</v>
      </c>
      <c r="U64" s="88">
        <f t="shared" si="10"/>
        <v>191.0254227718363</v>
      </c>
      <c r="V64" s="88">
        <f t="shared" si="11"/>
        <v>61.296719362634931</v>
      </c>
    </row>
    <row r="65" spans="1:22" x14ac:dyDescent="0.2">
      <c r="A65" s="80">
        <v>24</v>
      </c>
      <c r="B65" s="81">
        <v>234.69387755101999</v>
      </c>
      <c r="C65" s="82">
        <v>4.5159735313804097</v>
      </c>
      <c r="D65" s="82">
        <v>0.62362531563403401</v>
      </c>
      <c r="E65" s="75">
        <v>0.192777458617612</v>
      </c>
      <c r="G65" s="89">
        <f t="shared" si="2"/>
        <v>4.5159735313804195</v>
      </c>
      <c r="H65" s="90">
        <f t="shared" si="3"/>
        <v>193.32419192225348</v>
      </c>
      <c r="I65" s="90">
        <f t="shared" si="12"/>
        <v>0.19332419192225347</v>
      </c>
      <c r="J65" s="90">
        <f t="shared" si="4"/>
        <v>62.362531563403437</v>
      </c>
      <c r="K65" s="90">
        <f t="shared" si="13"/>
        <v>0.62362531563403434</v>
      </c>
      <c r="L65" s="90">
        <f t="shared" si="5"/>
        <v>120.33955828200114</v>
      </c>
      <c r="M65" s="90">
        <f t="shared" si="14"/>
        <v>0.19296772479425883</v>
      </c>
      <c r="N65" s="91">
        <f t="shared" si="15"/>
        <v>0.62247542371932651</v>
      </c>
      <c r="P65" s="86">
        <f t="shared" si="6"/>
        <v>234.69387755101997</v>
      </c>
      <c r="Q65" s="47">
        <f t="shared" si="7"/>
        <v>4.5159735313804097</v>
      </c>
      <c r="R65" s="87">
        <f t="shared" si="16"/>
        <v>0.62362531563403401</v>
      </c>
      <c r="S65" s="47">
        <f t="shared" si="8"/>
        <v>0.19332419192225347</v>
      </c>
      <c r="T65" s="88">
        <f t="shared" si="9"/>
        <v>4.5159735313804195</v>
      </c>
      <c r="U65" s="88">
        <f t="shared" si="10"/>
        <v>193.32419192225348</v>
      </c>
      <c r="V65" s="88">
        <f t="shared" si="11"/>
        <v>62.362531563403429</v>
      </c>
    </row>
    <row r="66" spans="1:22" x14ac:dyDescent="0.2">
      <c r="A66" s="80">
        <v>25</v>
      </c>
      <c r="B66" s="81">
        <v>244.89795918367301</v>
      </c>
      <c r="C66" s="82">
        <v>4.4433914240267898</v>
      </c>
      <c r="D66" s="82">
        <v>0.63311834659043698</v>
      </c>
      <c r="E66" s="75">
        <v>0.194958277473297</v>
      </c>
      <c r="G66" s="89">
        <f t="shared" si="2"/>
        <v>4.4433914240268022</v>
      </c>
      <c r="H66" s="90">
        <f t="shared" si="3"/>
        <v>195.62597371744499</v>
      </c>
      <c r="I66" s="90">
        <f t="shared" si="12"/>
        <v>0.195625973717445</v>
      </c>
      <c r="J66" s="90">
        <f t="shared" si="4"/>
        <v>63.311834659043697</v>
      </c>
      <c r="K66" s="90">
        <f t="shared" si="13"/>
        <v>0.63311834659043698</v>
      </c>
      <c r="L66" s="90">
        <f t="shared" si="5"/>
        <v>123.55348602523449</v>
      </c>
      <c r="M66" s="90">
        <f t="shared" si="14"/>
        <v>0.19515069605961208</v>
      </c>
      <c r="N66" s="91">
        <f t="shared" si="15"/>
        <v>0.63158017147401213</v>
      </c>
      <c r="P66" s="86">
        <f t="shared" si="6"/>
        <v>244.89795918367301</v>
      </c>
      <c r="Q66" s="47">
        <f t="shared" si="7"/>
        <v>4.4433914240267898</v>
      </c>
      <c r="R66" s="87">
        <f t="shared" si="16"/>
        <v>0.63311834659043698</v>
      </c>
      <c r="S66" s="47">
        <f t="shared" si="8"/>
        <v>0.195625973717445</v>
      </c>
      <c r="T66" s="88">
        <f t="shared" si="9"/>
        <v>4.4433914240268022</v>
      </c>
      <c r="U66" s="88">
        <f t="shared" si="10"/>
        <v>195.62597371744499</v>
      </c>
      <c r="V66" s="88">
        <f t="shared" si="11"/>
        <v>63.311834659043697</v>
      </c>
    </row>
    <row r="67" spans="1:22" x14ac:dyDescent="0.2">
      <c r="A67" s="80">
        <v>26</v>
      </c>
      <c r="B67" s="81">
        <v>255.102040816326</v>
      </c>
      <c r="C67" s="82">
        <v>4.3707100125586704</v>
      </c>
      <c r="D67" s="82">
        <v>0.64147062450518899</v>
      </c>
      <c r="E67" s="75">
        <v>0.19715872097451201</v>
      </c>
      <c r="G67" s="89">
        <f t="shared" si="2"/>
        <v>4.3707100125586749</v>
      </c>
      <c r="H67" s="90">
        <f t="shared" si="3"/>
        <v>197.91772630444922</v>
      </c>
      <c r="I67" s="90">
        <f t="shared" si="12"/>
        <v>0.1979177263044492</v>
      </c>
      <c r="J67" s="90">
        <f t="shared" si="4"/>
        <v>64.147062450518931</v>
      </c>
      <c r="K67" s="90">
        <f t="shared" si="13"/>
        <v>0.64147062450518932</v>
      </c>
      <c r="L67" s="90">
        <f t="shared" si="5"/>
        <v>126.59635187311173</v>
      </c>
      <c r="M67" s="90">
        <f t="shared" si="14"/>
        <v>0.19735331133949313</v>
      </c>
      <c r="N67" s="91">
        <f t="shared" si="15"/>
        <v>0.6396413006401126</v>
      </c>
      <c r="P67" s="86">
        <f t="shared" si="6"/>
        <v>255.102040816326</v>
      </c>
      <c r="Q67" s="47">
        <f t="shared" si="7"/>
        <v>4.3707100125586704</v>
      </c>
      <c r="R67" s="87">
        <f t="shared" si="16"/>
        <v>0.64147062450518899</v>
      </c>
      <c r="S67" s="47">
        <f t="shared" si="8"/>
        <v>0.1979177263044492</v>
      </c>
      <c r="T67" s="88">
        <f t="shared" si="9"/>
        <v>4.3707100125586749</v>
      </c>
      <c r="U67" s="88">
        <f t="shared" si="10"/>
        <v>197.91772630444922</v>
      </c>
      <c r="V67" s="88">
        <f t="shared" si="11"/>
        <v>64.147062450518931</v>
      </c>
    </row>
    <row r="68" spans="1:22" x14ac:dyDescent="0.2">
      <c r="A68" s="80">
        <v>27</v>
      </c>
      <c r="B68" s="81">
        <v>265.30612244897901</v>
      </c>
      <c r="C68" s="82">
        <v>4.2976037854537701</v>
      </c>
      <c r="D68" s="82">
        <v>0.64869230279454404</v>
      </c>
      <c r="E68" s="75">
        <v>0.199370886684726</v>
      </c>
      <c r="G68" s="89">
        <f t="shared" si="2"/>
        <v>4.2976037854537807</v>
      </c>
      <c r="H68" s="90">
        <f t="shared" si="3"/>
        <v>200.18616249749167</v>
      </c>
      <c r="I68" s="90">
        <f t="shared" si="12"/>
        <v>0.20018616249749166</v>
      </c>
      <c r="J68" s="90">
        <f t="shared" si="4"/>
        <v>64.869230279454356</v>
      </c>
      <c r="K68" s="90">
        <f t="shared" si="13"/>
        <v>0.6486923027945436</v>
      </c>
      <c r="L68" s="90">
        <f t="shared" si="5"/>
        <v>129.45800518681929</v>
      </c>
      <c r="M68" s="90">
        <f t="shared" si="14"/>
        <v>0.19956766039787857</v>
      </c>
      <c r="N68" s="91">
        <f t="shared" si="15"/>
        <v>0.64668808059318983</v>
      </c>
      <c r="P68" s="86">
        <f t="shared" si="6"/>
        <v>265.30612244897901</v>
      </c>
      <c r="Q68" s="47">
        <f t="shared" si="7"/>
        <v>4.2976037854537701</v>
      </c>
      <c r="R68" s="87">
        <f t="shared" si="16"/>
        <v>0.64869230279454404</v>
      </c>
      <c r="S68" s="47">
        <f t="shared" si="8"/>
        <v>0.20018616249749166</v>
      </c>
      <c r="T68" s="88">
        <f t="shared" si="9"/>
        <v>4.2976037854537807</v>
      </c>
      <c r="U68" s="88">
        <f t="shared" si="10"/>
        <v>200.18616249749167</v>
      </c>
      <c r="V68" s="88">
        <f t="shared" si="11"/>
        <v>64.869230279454356</v>
      </c>
    </row>
    <row r="69" spans="1:22" x14ac:dyDescent="0.2">
      <c r="A69" s="80">
        <v>28</v>
      </c>
      <c r="B69" s="81">
        <v>275.51020408163203</v>
      </c>
      <c r="C69" s="82">
        <v>4.2236551689029396</v>
      </c>
      <c r="D69" s="82">
        <v>0.65477716768912497</v>
      </c>
      <c r="E69" s="75">
        <v>0.20158557636257199</v>
      </c>
      <c r="G69" s="89">
        <f t="shared" si="2"/>
        <v>4.2236551689029458</v>
      </c>
      <c r="H69" s="90">
        <f t="shared" si="3"/>
        <v>202.41774977798451</v>
      </c>
      <c r="I69" s="90">
        <f t="shared" si="12"/>
        <v>0.20241774977798452</v>
      </c>
      <c r="J69" s="90">
        <f t="shared" si="4"/>
        <v>65.477716768912472</v>
      </c>
      <c r="K69" s="90">
        <f t="shared" si="13"/>
        <v>0.65477716768912475</v>
      </c>
      <c r="L69" s="90">
        <f t="shared" si="5"/>
        <v>132.123906909878</v>
      </c>
      <c r="M69" s="90">
        <f t="shared" si="14"/>
        <v>0.20178453591498446</v>
      </c>
      <c r="N69" s="91">
        <f t="shared" si="15"/>
        <v>0.65272885927639213</v>
      </c>
      <c r="P69" s="86">
        <f t="shared" si="6"/>
        <v>275.51020408163203</v>
      </c>
      <c r="Q69" s="47">
        <f t="shared" si="7"/>
        <v>4.2236551689029396</v>
      </c>
      <c r="R69" s="87">
        <f t="shared" si="16"/>
        <v>0.65477716768912497</v>
      </c>
      <c r="S69" s="47">
        <f t="shared" si="8"/>
        <v>0.20241774977798452</v>
      </c>
      <c r="T69" s="88">
        <f t="shared" si="9"/>
        <v>4.2236551689029458</v>
      </c>
      <c r="U69" s="88">
        <f t="shared" si="10"/>
        <v>202.41774977798451</v>
      </c>
      <c r="V69" s="88">
        <f t="shared" si="11"/>
        <v>65.477716768912472</v>
      </c>
    </row>
    <row r="70" spans="1:22" x14ac:dyDescent="0.2">
      <c r="A70" s="80">
        <v>29</v>
      </c>
      <c r="B70" s="81">
        <v>285.71428571428498</v>
      </c>
      <c r="C70" s="82">
        <v>4.1483494992231202</v>
      </c>
      <c r="D70" s="82">
        <v>0.65970045564168001</v>
      </c>
      <c r="E70" s="75">
        <v>0.203792102337502</v>
      </c>
      <c r="G70" s="89">
        <f t="shared" si="2"/>
        <v>4.1483494992231265</v>
      </c>
      <c r="H70" s="90">
        <f t="shared" si="3"/>
        <v>204.59871029452708</v>
      </c>
      <c r="I70" s="90">
        <f t="shared" si="12"/>
        <v>0.20459871029452709</v>
      </c>
      <c r="J70" s="90">
        <f t="shared" si="4"/>
        <v>65.970045564168032</v>
      </c>
      <c r="K70" s="90">
        <f t="shared" si="13"/>
        <v>0.65970045564168034</v>
      </c>
      <c r="L70" s="90">
        <f t="shared" si="5"/>
        <v>134.5744331593211</v>
      </c>
      <c r="M70" s="90">
        <f t="shared" si="14"/>
        <v>0.2039932396718184</v>
      </c>
      <c r="N70" s="91">
        <f t="shared" si="15"/>
        <v>0.65774819873300494</v>
      </c>
      <c r="P70" s="86">
        <f t="shared" si="6"/>
        <v>285.71428571428498</v>
      </c>
      <c r="Q70" s="47">
        <f t="shared" si="7"/>
        <v>4.1483494992231202</v>
      </c>
      <c r="R70" s="87">
        <f t="shared" si="16"/>
        <v>0.65970045564168001</v>
      </c>
      <c r="S70" s="47">
        <f t="shared" si="8"/>
        <v>0.20459871029452709</v>
      </c>
      <c r="T70" s="88">
        <f t="shared" si="9"/>
        <v>4.1483494992231265</v>
      </c>
      <c r="U70" s="88">
        <f t="shared" si="10"/>
        <v>204.59871029452708</v>
      </c>
      <c r="V70" s="88">
        <f t="shared" si="11"/>
        <v>65.970045564168032</v>
      </c>
    </row>
    <row r="71" spans="1:22" x14ac:dyDescent="0.2">
      <c r="A71" s="80">
        <v>30</v>
      </c>
      <c r="B71" s="81">
        <v>295.918367346938</v>
      </c>
      <c r="C71" s="82">
        <v>4.0710699952704603</v>
      </c>
      <c r="D71" s="82">
        <v>0.66341667073483201</v>
      </c>
      <c r="E71" s="75">
        <v>0.205978053807782</v>
      </c>
      <c r="G71" s="89">
        <f t="shared" si="2"/>
        <v>4.0710699952704719</v>
      </c>
      <c r="H71" s="90">
        <f t="shared" si="3"/>
        <v>206.71502086290579</v>
      </c>
      <c r="I71" s="90">
        <f t="shared" si="12"/>
        <v>0.2067150208629058</v>
      </c>
      <c r="J71" s="90">
        <f t="shared" si="4"/>
        <v>66.341667073483237</v>
      </c>
      <c r="K71" s="90">
        <f t="shared" si="13"/>
        <v>0.66341667073483235</v>
      </c>
      <c r="L71" s="90">
        <f t="shared" si="5"/>
        <v>136.78414386745209</v>
      </c>
      <c r="M71" s="90">
        <f t="shared" si="14"/>
        <v>0.20618134861751869</v>
      </c>
      <c r="N71" s="91">
        <f t="shared" si="15"/>
        <v>0.66170394050932502</v>
      </c>
      <c r="P71" s="86">
        <f t="shared" si="6"/>
        <v>295.918367346938</v>
      </c>
      <c r="Q71" s="47">
        <f t="shared" si="7"/>
        <v>4.0710699952704603</v>
      </c>
      <c r="R71" s="87">
        <f t="shared" si="16"/>
        <v>0.66341667073483201</v>
      </c>
      <c r="S71" s="47">
        <f t="shared" si="8"/>
        <v>0.2067150208629058</v>
      </c>
      <c r="T71" s="88">
        <f t="shared" si="9"/>
        <v>4.0710699952704719</v>
      </c>
      <c r="U71" s="88">
        <f t="shared" si="10"/>
        <v>206.71502086290579</v>
      </c>
      <c r="V71" s="88">
        <f t="shared" si="11"/>
        <v>66.341667073483237</v>
      </c>
    </row>
    <row r="72" spans="1:22" x14ac:dyDescent="0.2">
      <c r="A72" s="80">
        <v>31</v>
      </c>
      <c r="B72" s="81">
        <v>306.12244897959101</v>
      </c>
      <c r="C72" s="82">
        <v>3.9910927308533601</v>
      </c>
      <c r="D72" s="82">
        <v>0.66585740208883004</v>
      </c>
      <c r="E72" s="75">
        <v>0.20812900347309499</v>
      </c>
      <c r="G72" s="89">
        <f t="shared" si="2"/>
        <v>3.9910927308533681</v>
      </c>
      <c r="H72" s="90">
        <f t="shared" si="3"/>
        <v>208.75241296609369</v>
      </c>
      <c r="I72" s="90">
        <f t="shared" si="12"/>
        <v>0.20875241296609368</v>
      </c>
      <c r="J72" s="90">
        <f t="shared" si="4"/>
        <v>66.585740208883038</v>
      </c>
      <c r="K72" s="90">
        <f t="shared" si="13"/>
        <v>0.66585740208883037</v>
      </c>
      <c r="L72" s="90">
        <f t="shared" si="5"/>
        <v>138.72101647417571</v>
      </c>
      <c r="M72" s="90">
        <f t="shared" si="14"/>
        <v>0.20833442121241041</v>
      </c>
      <c r="N72" s="91">
        <f t="shared" si="15"/>
        <v>0.66452413413160061</v>
      </c>
      <c r="P72" s="86">
        <f t="shared" si="6"/>
        <v>306.12244897959101</v>
      </c>
      <c r="Q72" s="47">
        <f t="shared" si="7"/>
        <v>3.9910927308533601</v>
      </c>
      <c r="R72" s="87">
        <f t="shared" si="16"/>
        <v>0.66585740208883004</v>
      </c>
      <c r="S72" s="47">
        <f t="shared" si="8"/>
        <v>0.20875241296609368</v>
      </c>
      <c r="T72" s="88">
        <f t="shared" si="9"/>
        <v>3.9910927308533681</v>
      </c>
      <c r="U72" s="88">
        <f t="shared" si="10"/>
        <v>208.75241296609369</v>
      </c>
      <c r="V72" s="88">
        <f t="shared" si="11"/>
        <v>66.585740208883038</v>
      </c>
    </row>
    <row r="73" spans="1:22" x14ac:dyDescent="0.2">
      <c r="A73" s="80">
        <v>32</v>
      </c>
      <c r="B73" s="81">
        <v>316.32653061224403</v>
      </c>
      <c r="C73" s="82">
        <v>3.9075816071454801</v>
      </c>
      <c r="D73" s="82">
        <v>0.66692914126930103</v>
      </c>
      <c r="E73" s="75">
        <v>0.210228126480448</v>
      </c>
      <c r="G73" s="89">
        <f t="shared" si="2"/>
        <v>3.9075816071454881</v>
      </c>
      <c r="H73" s="90">
        <f t="shared" si="3"/>
        <v>210.69637275425106</v>
      </c>
      <c r="I73" s="90">
        <f t="shared" si="12"/>
        <v>0.21069637275425107</v>
      </c>
      <c r="J73" s="90">
        <f t="shared" si="4"/>
        <v>66.69291412693012</v>
      </c>
      <c r="K73" s="90">
        <f t="shared" si="13"/>
        <v>0.66692914126930125</v>
      </c>
      <c r="L73" s="90">
        <f t="shared" si="5"/>
        <v>140.34564466990372</v>
      </c>
      <c r="M73" s="90">
        <f t="shared" si="14"/>
        <v>0.21043561599782179</v>
      </c>
      <c r="N73" s="91">
        <f t="shared" si="15"/>
        <v>0.66610375316521475</v>
      </c>
      <c r="P73" s="86">
        <f t="shared" si="6"/>
        <v>316.32653061224403</v>
      </c>
      <c r="Q73" s="47">
        <f t="shared" si="7"/>
        <v>3.9075816071454801</v>
      </c>
      <c r="R73" s="87">
        <f t="shared" si="16"/>
        <v>0.66692914126930103</v>
      </c>
      <c r="S73" s="47">
        <f t="shared" si="8"/>
        <v>0.21069637275425107</v>
      </c>
      <c r="T73" s="88">
        <f t="shared" si="9"/>
        <v>3.9075816071454881</v>
      </c>
      <c r="U73" s="88">
        <f t="shared" si="10"/>
        <v>210.69637275425106</v>
      </c>
      <c r="V73" s="88">
        <f t="shared" si="11"/>
        <v>66.69291412693012</v>
      </c>
    </row>
    <row r="74" spans="1:22" x14ac:dyDescent="0.2">
      <c r="A74" s="80">
        <v>33</v>
      </c>
      <c r="B74" s="81">
        <v>326.53061224489699</v>
      </c>
      <c r="C74" s="82">
        <v>3.81958332509884</v>
      </c>
      <c r="D74" s="82">
        <v>0.666511099694999</v>
      </c>
      <c r="E74" s="75">
        <v>0.21225569146143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3.819583325098856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212.53214104472505</v>
      </c>
      <c r="I74" s="90">
        <f t="shared" si="12"/>
        <v>0.21253214104472506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66.651109969499984</v>
      </c>
      <c r="K74" s="90">
        <f t="shared" si="13"/>
        <v>0.66651109969499989</v>
      </c>
      <c r="L74" s="90">
        <f t="shared" ref="L74:L91" si="20">Подача_пласт_м3_сут*Напор_м*9.81*1000/86400</f>
        <v>141.61040218903821</v>
      </c>
      <c r="M74" s="90">
        <f t="shared" si="14"/>
        <v>0.21246518213101043</v>
      </c>
      <c r="N74" s="91">
        <f t="shared" si="15"/>
        <v>0.6663011132948492</v>
      </c>
      <c r="P74" s="86">
        <f t="shared" ref="P74:P91" si="21">Подача_пласт_м3_сут*f_50_hz/f_nom</f>
        <v>326.53061224489699</v>
      </c>
      <c r="Q74" s="47">
        <f t="shared" ref="Q74:Q91" si="22">Напор_м*(f_50_hz/f_nom)^2</f>
        <v>3.81958332509884</v>
      </c>
      <c r="R74" s="87">
        <f t="shared" si="16"/>
        <v>0.666511099694999</v>
      </c>
      <c r="S74" s="47">
        <f t="shared" ref="S74:S91" si="23">I74*(f_50_hz/f_nom)^3</f>
        <v>0.21253214104472506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3.819583325098856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212.53214104472505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66.651109969499984</v>
      </c>
    </row>
    <row r="75" spans="1:22" x14ac:dyDescent="0.2">
      <c r="A75" s="80">
        <v>34</v>
      </c>
      <c r="B75" s="81">
        <v>336.73469387755102</v>
      </c>
      <c r="C75" s="82">
        <v>3.7260223578568699</v>
      </c>
      <c r="D75" s="82">
        <v>0.664453026045562</v>
      </c>
      <c r="E75" s="75">
        <v>0.214188365352738</v>
      </c>
      <c r="G75" s="89">
        <f t="shared" si="17"/>
        <v>3.7260223578568725</v>
      </c>
      <c r="H75" s="90">
        <f t="shared" si="18"/>
        <v>214.24471332205005</v>
      </c>
      <c r="I75" s="90">
        <f t="shared" si="12"/>
        <v>0.21424471332205006</v>
      </c>
      <c r="J75" s="90">
        <f t="shared" si="19"/>
        <v>66.445302604556289</v>
      </c>
      <c r="K75" s="90">
        <f t="shared" si="13"/>
        <v>0.66445302604556289</v>
      </c>
      <c r="L75" s="90">
        <f t="shared" si="20"/>
        <v>142.45857165403021</v>
      </c>
      <c r="M75" s="90">
        <f t="shared" si="14"/>
        <v>0.21439976351956824</v>
      </c>
      <c r="N75" s="91">
        <f t="shared" si="15"/>
        <v>0.66493389472760622</v>
      </c>
      <c r="P75" s="86">
        <f t="shared" si="21"/>
        <v>336.73469387755102</v>
      </c>
      <c r="Q75" s="47">
        <f t="shared" si="22"/>
        <v>3.7260223578568699</v>
      </c>
      <c r="R75" s="87">
        <f t="shared" si="16"/>
        <v>0.664453026045562</v>
      </c>
      <c r="S75" s="47">
        <f t="shared" si="23"/>
        <v>0.21424471332205006</v>
      </c>
      <c r="T75" s="88">
        <f t="shared" si="24"/>
        <v>3.7260223578568725</v>
      </c>
      <c r="U75" s="88">
        <f t="shared" si="25"/>
        <v>214.24471332205005</v>
      </c>
      <c r="V75" s="88">
        <f t="shared" si="26"/>
        <v>66.445302604556289</v>
      </c>
    </row>
    <row r="76" spans="1:22" x14ac:dyDescent="0.2">
      <c r="A76" s="80">
        <v>35</v>
      </c>
      <c r="B76" s="81">
        <v>346.93877551020398</v>
      </c>
      <c r="C76" s="82">
        <v>3.62569592316741</v>
      </c>
      <c r="D76" s="82">
        <v>0.66057302366925796</v>
      </c>
      <c r="E76" s="75">
        <v>0.21599824613957699</v>
      </c>
      <c r="G76" s="89">
        <f t="shared" si="17"/>
        <v>3.6256959231674184</v>
      </c>
      <c r="H76" s="90">
        <f t="shared" si="18"/>
        <v>215.81883973794672</v>
      </c>
      <c r="I76" s="90">
        <f t="shared" si="12"/>
        <v>0.21581883973794672</v>
      </c>
      <c r="J76" s="90">
        <f t="shared" si="19"/>
        <v>66.057302366925825</v>
      </c>
      <c r="K76" s="90">
        <f t="shared" si="13"/>
        <v>0.6605730236692583</v>
      </c>
      <c r="L76" s="90">
        <f t="shared" si="20"/>
        <v>142.82343847000871</v>
      </c>
      <c r="M76" s="90">
        <f t="shared" si="14"/>
        <v>0.21621143061015891</v>
      </c>
      <c r="N76" s="91">
        <f t="shared" si="15"/>
        <v>0.66177465620438392</v>
      </c>
      <c r="P76" s="86">
        <f t="shared" si="21"/>
        <v>346.93877551020398</v>
      </c>
      <c r="Q76" s="47">
        <f t="shared" si="22"/>
        <v>3.62569592316741</v>
      </c>
      <c r="R76" s="87">
        <f t="shared" si="16"/>
        <v>0.66057302366925796</v>
      </c>
      <c r="S76" s="47">
        <f t="shared" si="23"/>
        <v>0.21581883973794672</v>
      </c>
      <c r="T76" s="88">
        <f t="shared" si="24"/>
        <v>3.6256959231674184</v>
      </c>
      <c r="U76" s="88">
        <f t="shared" si="25"/>
        <v>215.81883973794672</v>
      </c>
      <c r="V76" s="88">
        <f t="shared" si="26"/>
        <v>66.057302366925825</v>
      </c>
    </row>
    <row r="77" spans="1:22" x14ac:dyDescent="0.2">
      <c r="A77" s="80">
        <v>36</v>
      </c>
      <c r="B77" s="81">
        <v>357.142857142857</v>
      </c>
      <c r="C77" s="82">
        <v>3.5172689557958399</v>
      </c>
      <c r="D77" s="82">
        <v>0.65465536799073798</v>
      </c>
      <c r="E77" s="75">
        <v>0.21765149446561499</v>
      </c>
      <c r="G77" s="89">
        <f t="shared" si="17"/>
        <v>3.5172689557958461</v>
      </c>
      <c r="H77" s="90">
        <f t="shared" si="18"/>
        <v>217.23902511132337</v>
      </c>
      <c r="I77" s="90">
        <f t="shared" si="12"/>
        <v>0.21723902511132337</v>
      </c>
      <c r="J77" s="90">
        <f t="shared" si="19"/>
        <v>65.465536799073874</v>
      </c>
      <c r="K77" s="90">
        <f t="shared" si="13"/>
        <v>0.65465536799073876</v>
      </c>
      <c r="L77" s="90">
        <f t="shared" si="20"/>
        <v>142.62734976999496</v>
      </c>
      <c r="M77" s="90">
        <f t="shared" si="14"/>
        <v>0.21786631064791434</v>
      </c>
      <c r="N77" s="91">
        <f t="shared" si="15"/>
        <v>0.65654570902675558</v>
      </c>
      <c r="P77" s="86">
        <f t="shared" si="21"/>
        <v>357.14285714285705</v>
      </c>
      <c r="Q77" s="47">
        <f t="shared" si="22"/>
        <v>3.5172689557958399</v>
      </c>
      <c r="R77" s="87">
        <f t="shared" si="16"/>
        <v>0.65465536799073798</v>
      </c>
      <c r="S77" s="47">
        <f t="shared" si="23"/>
        <v>0.21723902511132337</v>
      </c>
      <c r="T77" s="88">
        <f t="shared" si="24"/>
        <v>3.5172689557958448</v>
      </c>
      <c r="U77" s="88">
        <f t="shared" si="25"/>
        <v>217.2390251113234</v>
      </c>
      <c r="V77" s="88">
        <f t="shared" si="26"/>
        <v>65.465536799073874</v>
      </c>
    </row>
    <row r="78" spans="1:22" x14ac:dyDescent="0.2">
      <c r="A78" s="80">
        <v>37</v>
      </c>
      <c r="B78" s="81">
        <v>367.34693877551001</v>
      </c>
      <c r="C78" s="82">
        <v>3.39926907993806</v>
      </c>
      <c r="D78" s="82">
        <v>0.64644832391878904</v>
      </c>
      <c r="E78" s="75">
        <v>0.21910636529147001</v>
      </c>
      <c r="G78" s="89">
        <f t="shared" si="17"/>
        <v>3.3992690799380636</v>
      </c>
      <c r="H78" s="90">
        <f t="shared" si="18"/>
        <v>218.48952892827504</v>
      </c>
      <c r="I78" s="90">
        <f t="shared" si="12"/>
        <v>0.21848952892827503</v>
      </c>
      <c r="J78" s="90">
        <f t="shared" si="19"/>
        <v>64.644832391879049</v>
      </c>
      <c r="K78" s="90">
        <f t="shared" si="13"/>
        <v>0.64644832391879048</v>
      </c>
      <c r="L78" s="90">
        <f t="shared" si="20"/>
        <v>141.78073841068178</v>
      </c>
      <c r="M78" s="90">
        <f t="shared" si="14"/>
        <v>0.21932261739221842</v>
      </c>
      <c r="N78" s="91">
        <f t="shared" si="15"/>
        <v>0.64891319554826377</v>
      </c>
      <c r="P78" s="86">
        <f t="shared" si="21"/>
        <v>367.34693877551001</v>
      </c>
      <c r="Q78" s="47">
        <f t="shared" si="22"/>
        <v>3.39926907993806</v>
      </c>
      <c r="R78" s="87">
        <f t="shared" si="16"/>
        <v>0.64644832391878904</v>
      </c>
      <c r="S78" s="47">
        <f t="shared" si="23"/>
        <v>0.21848952892827503</v>
      </c>
      <c r="T78" s="88">
        <f t="shared" si="24"/>
        <v>3.3992690799380636</v>
      </c>
      <c r="U78" s="88">
        <f t="shared" si="25"/>
        <v>218.48952892827504</v>
      </c>
      <c r="V78" s="88">
        <f t="shared" si="26"/>
        <v>64.644832391879049</v>
      </c>
    </row>
    <row r="79" spans="1:22" x14ac:dyDescent="0.2">
      <c r="A79" s="80">
        <v>38</v>
      </c>
      <c r="B79" s="81">
        <v>377.55102040816303</v>
      </c>
      <c r="C79" s="82">
        <v>3.2700815816335802</v>
      </c>
      <c r="D79" s="82">
        <v>0.63566196325408597</v>
      </c>
      <c r="E79" s="75">
        <v>0.220310324571625</v>
      </c>
      <c r="G79" s="89">
        <f t="shared" si="17"/>
        <v>3.2700815816335869</v>
      </c>
      <c r="H79" s="90">
        <f t="shared" si="18"/>
        <v>219.55436534208374</v>
      </c>
      <c r="I79" s="90">
        <f t="shared" si="12"/>
        <v>0.21955436534208375</v>
      </c>
      <c r="J79" s="90">
        <f t="shared" si="19"/>
        <v>63.566196325408669</v>
      </c>
      <c r="K79" s="90">
        <f t="shared" si="13"/>
        <v>0.63566196325408664</v>
      </c>
      <c r="L79" s="90">
        <f t="shared" si="20"/>
        <v>140.18111201879486</v>
      </c>
      <c r="M79" s="90">
        <f t="shared" si="14"/>
        <v>0.2205277649478638</v>
      </c>
      <c r="N79" s="91">
        <f t="shared" si="15"/>
        <v>0.63848018599120615</v>
      </c>
      <c r="P79" s="86">
        <f t="shared" si="21"/>
        <v>377.55102040816303</v>
      </c>
      <c r="Q79" s="47">
        <f t="shared" si="22"/>
        <v>3.2700815816335802</v>
      </c>
      <c r="R79" s="87">
        <f t="shared" si="16"/>
        <v>0.63566196325408597</v>
      </c>
      <c r="S79" s="47">
        <f t="shared" si="23"/>
        <v>0.21955436534208375</v>
      </c>
      <c r="T79" s="88">
        <f t="shared" si="24"/>
        <v>3.2700815816335869</v>
      </c>
      <c r="U79" s="88">
        <f t="shared" si="25"/>
        <v>219.55436534208374</v>
      </c>
      <c r="V79" s="88">
        <f t="shared" si="26"/>
        <v>63.566196325408669</v>
      </c>
    </row>
    <row r="80" spans="1:22" x14ac:dyDescent="0.2">
      <c r="A80" s="80">
        <v>39</v>
      </c>
      <c r="B80" s="81">
        <v>387.75510204081598</v>
      </c>
      <c r="C80" s="82">
        <v>3.1279443811785699</v>
      </c>
      <c r="D80" s="82">
        <v>0.62196598209693699</v>
      </c>
      <c r="E80" s="75">
        <v>0.221195735794432</v>
      </c>
      <c r="G80" s="89">
        <f t="shared" si="17"/>
        <v>3.1279443811785845</v>
      </c>
      <c r="H80" s="90">
        <f t="shared" si="18"/>
        <v>220.41730317321844</v>
      </c>
      <c r="I80" s="90">
        <f t="shared" si="12"/>
        <v>0.22041730317321845</v>
      </c>
      <c r="J80" s="90">
        <f t="shared" si="19"/>
        <v>62.196598209693803</v>
      </c>
      <c r="K80" s="90">
        <f t="shared" si="13"/>
        <v>0.62196598209693799</v>
      </c>
      <c r="L80" s="90">
        <f t="shared" si="20"/>
        <v>137.71200708802749</v>
      </c>
      <c r="M80" s="90">
        <f t="shared" si="14"/>
        <v>0.22141405004777909</v>
      </c>
      <c r="N80" s="91">
        <f t="shared" si="15"/>
        <v>0.62477856822249711</v>
      </c>
      <c r="P80" s="86">
        <f t="shared" si="21"/>
        <v>387.75510204081598</v>
      </c>
      <c r="Q80" s="47">
        <f t="shared" si="22"/>
        <v>3.1279443811785699</v>
      </c>
      <c r="R80" s="87">
        <f t="shared" si="16"/>
        <v>0.62196598209693699</v>
      </c>
      <c r="S80" s="47">
        <f t="shared" si="23"/>
        <v>0.22041730317321845</v>
      </c>
      <c r="T80" s="88">
        <f t="shared" si="24"/>
        <v>3.1279443811785845</v>
      </c>
      <c r="U80" s="88">
        <f t="shared" si="25"/>
        <v>220.41730317321844</v>
      </c>
      <c r="V80" s="88">
        <f t="shared" si="26"/>
        <v>62.196598209693803</v>
      </c>
    </row>
    <row r="81" spans="1:22" x14ac:dyDescent="0.2">
      <c r="A81" s="80">
        <v>40</v>
      </c>
      <c r="B81" s="81">
        <v>397.959183673469</v>
      </c>
      <c r="C81" s="82">
        <v>2.9709430055389201</v>
      </c>
      <c r="D81" s="82">
        <v>0.60498751825504404</v>
      </c>
      <c r="E81" s="75">
        <v>0.22167324375872799</v>
      </c>
      <c r="G81" s="89">
        <f t="shared" si="17"/>
        <v>2.9709430055389316</v>
      </c>
      <c r="H81" s="90">
        <f t="shared" si="18"/>
        <v>221.06186590933513</v>
      </c>
      <c r="I81" s="90">
        <f t="shared" si="12"/>
        <v>0.22106186590933513</v>
      </c>
      <c r="J81" s="90">
        <f t="shared" si="19"/>
        <v>60.498751825504542</v>
      </c>
      <c r="K81" s="90">
        <f t="shared" si="13"/>
        <v>0.60498751825504538</v>
      </c>
      <c r="L81" s="90">
        <f t="shared" si="20"/>
        <v>134.24190812655121</v>
      </c>
      <c r="M81" s="90">
        <f t="shared" si="14"/>
        <v>0.22189202929961718</v>
      </c>
      <c r="N81" s="91">
        <f t="shared" si="15"/>
        <v>0.60725945460719266</v>
      </c>
      <c r="P81" s="86">
        <f t="shared" si="21"/>
        <v>397.959183673469</v>
      </c>
      <c r="Q81" s="47">
        <f t="shared" si="22"/>
        <v>2.9709430055389201</v>
      </c>
      <c r="R81" s="87">
        <f t="shared" si="16"/>
        <v>0.60498751825504404</v>
      </c>
      <c r="S81" s="47">
        <f t="shared" si="23"/>
        <v>0.22106186590933513</v>
      </c>
      <c r="T81" s="88">
        <f t="shared" si="24"/>
        <v>2.9709430055389316</v>
      </c>
      <c r="U81" s="88">
        <f t="shared" si="25"/>
        <v>221.06186590933513</v>
      </c>
      <c r="V81" s="88">
        <f t="shared" si="26"/>
        <v>60.498751825504542</v>
      </c>
    </row>
    <row r="82" spans="1:22" x14ac:dyDescent="0.2">
      <c r="A82" s="80">
        <v>41</v>
      </c>
      <c r="B82" s="81">
        <v>408.16326530612201</v>
      </c>
      <c r="C82" s="82">
        <v>2.79700556076325</v>
      </c>
      <c r="D82" s="82">
        <v>0.58430896865124904</v>
      </c>
      <c r="E82" s="75">
        <v>0.22162131747866601</v>
      </c>
      <c r="G82" s="89">
        <f t="shared" si="17"/>
        <v>2.7970055607632647</v>
      </c>
      <c r="H82" s="90">
        <f t="shared" si="18"/>
        <v>221.47133170527667</v>
      </c>
      <c r="I82" s="90">
        <f t="shared" si="12"/>
        <v>0.22147133170527666</v>
      </c>
      <c r="J82" s="90">
        <f t="shared" si="19"/>
        <v>58.430896865125021</v>
      </c>
      <c r="K82" s="90">
        <f t="shared" si="13"/>
        <v>0.58430896865125026</v>
      </c>
      <c r="L82" s="90">
        <f t="shared" si="20"/>
        <v>129.62313185509947</v>
      </c>
      <c r="M82" s="90">
        <f t="shared" si="14"/>
        <v>0.22184005176971044</v>
      </c>
      <c r="N82" s="91">
        <f t="shared" si="15"/>
        <v>0.58528176471885607</v>
      </c>
      <c r="P82" s="86">
        <f t="shared" si="21"/>
        <v>408.16326530612207</v>
      </c>
      <c r="Q82" s="47">
        <f t="shared" si="22"/>
        <v>2.79700556076325</v>
      </c>
      <c r="R82" s="87">
        <f t="shared" si="16"/>
        <v>0.58430896865124904</v>
      </c>
      <c r="S82" s="47">
        <f t="shared" si="23"/>
        <v>0.22147133170527666</v>
      </c>
      <c r="T82" s="88">
        <f t="shared" si="24"/>
        <v>2.7970055607632647</v>
      </c>
      <c r="U82" s="88">
        <f t="shared" si="25"/>
        <v>221.47133170527667</v>
      </c>
      <c r="V82" s="88">
        <f t="shared" si="26"/>
        <v>58.430896865124993</v>
      </c>
    </row>
    <row r="83" spans="1:22" x14ac:dyDescent="0.2">
      <c r="A83" s="80">
        <v>42</v>
      </c>
      <c r="B83" s="81">
        <v>418.36734693877497</v>
      </c>
      <c r="C83" s="82">
        <v>2.6038977043960201</v>
      </c>
      <c r="D83" s="82">
        <v>0.55946580673128299</v>
      </c>
      <c r="E83" s="75">
        <v>0.22086911471963699</v>
      </c>
      <c r="G83" s="89">
        <f t="shared" si="17"/>
        <v>2.6038977043960312</v>
      </c>
      <c r="H83" s="90">
        <f t="shared" si="18"/>
        <v>221.62873338307298</v>
      </c>
      <c r="I83" s="90">
        <f t="shared" si="12"/>
        <v>0.22162873338307298</v>
      </c>
      <c r="J83" s="90">
        <f t="shared" si="19"/>
        <v>55.94658067312858</v>
      </c>
      <c r="K83" s="90">
        <f t="shared" si="13"/>
        <v>0.55946580673128576</v>
      </c>
      <c r="L83" s="90">
        <f t="shared" si="20"/>
        <v>123.69067645563136</v>
      </c>
      <c r="M83" s="90">
        <f t="shared" si="14"/>
        <v>0.22108710660675035</v>
      </c>
      <c r="N83" s="91">
        <f t="shared" si="15"/>
        <v>0.55809855774358863</v>
      </c>
      <c r="P83" s="86">
        <f t="shared" si="21"/>
        <v>418.36734693877503</v>
      </c>
      <c r="Q83" s="47">
        <f t="shared" si="22"/>
        <v>2.6038977043960201</v>
      </c>
      <c r="R83" s="87">
        <f t="shared" si="16"/>
        <v>0.55946580673128299</v>
      </c>
      <c r="S83" s="47">
        <f t="shared" si="23"/>
        <v>0.22162873338307298</v>
      </c>
      <c r="T83" s="88">
        <f t="shared" si="24"/>
        <v>2.6038977043960303</v>
      </c>
      <c r="U83" s="88">
        <f t="shared" si="25"/>
        <v>221.62873338307298</v>
      </c>
      <c r="V83" s="88">
        <f t="shared" si="26"/>
        <v>55.946580673128551</v>
      </c>
    </row>
    <row r="84" spans="1:22" x14ac:dyDescent="0.2">
      <c r="A84" s="80">
        <v>43</v>
      </c>
      <c r="B84" s="81">
        <v>428.57142857142799</v>
      </c>
      <c r="C84" s="82">
        <v>2.38921761789052</v>
      </c>
      <c r="D84" s="82">
        <v>0.52994439987152397</v>
      </c>
      <c r="E84" s="75">
        <v>0.21916714756746999</v>
      </c>
      <c r="G84" s="89">
        <f t="shared" si="17"/>
        <v>2.3892176178905355</v>
      </c>
      <c r="H84" s="90">
        <f t="shared" si="18"/>
        <v>221.51685843194088</v>
      </c>
      <c r="I84" s="90">
        <f t="shared" si="12"/>
        <v>0.22151685843194088</v>
      </c>
      <c r="J84" s="90">
        <f t="shared" si="19"/>
        <v>52.994439987152703</v>
      </c>
      <c r="K84" s="90">
        <f t="shared" si="13"/>
        <v>0.52994439987152697</v>
      </c>
      <c r="L84" s="90">
        <f t="shared" si="20"/>
        <v>116.26103587056534</v>
      </c>
      <c r="M84" s="90">
        <f t="shared" si="14"/>
        <v>0.21938345965869285</v>
      </c>
      <c r="N84" s="91">
        <f t="shared" si="15"/>
        <v>0.52484057734271961</v>
      </c>
      <c r="P84" s="86">
        <f t="shared" si="21"/>
        <v>428.57142857142799</v>
      </c>
      <c r="Q84" s="47">
        <f t="shared" si="22"/>
        <v>2.38921761789052</v>
      </c>
      <c r="R84" s="87">
        <f t="shared" si="16"/>
        <v>0.52994439987152397</v>
      </c>
      <c r="S84" s="47">
        <f t="shared" si="23"/>
        <v>0.22151685843194088</v>
      </c>
      <c r="T84" s="88">
        <f t="shared" si="24"/>
        <v>2.3892176178905355</v>
      </c>
      <c r="U84" s="88">
        <f t="shared" si="25"/>
        <v>221.51685843194088</v>
      </c>
      <c r="V84" s="88">
        <f t="shared" si="26"/>
        <v>52.994439987152703</v>
      </c>
    </row>
    <row r="85" spans="1:22" x14ac:dyDescent="0.2">
      <c r="A85" s="80">
        <v>44</v>
      </c>
      <c r="B85" s="81">
        <v>438.775510204081</v>
      </c>
      <c r="C85" s="82">
        <v>2.1503909790219802</v>
      </c>
      <c r="D85" s="82">
        <v>0.49517982678674599</v>
      </c>
      <c r="E85" s="75">
        <v>0.216134305594886</v>
      </c>
      <c r="G85" s="89">
        <f t="shared" si="17"/>
        <v>2.1503909790220028</v>
      </c>
      <c r="H85" s="90">
        <f t="shared" si="18"/>
        <v>221.11824900828421</v>
      </c>
      <c r="I85" s="90">
        <f t="shared" si="12"/>
        <v>0.2211182490082842</v>
      </c>
      <c r="J85" s="90">
        <f t="shared" si="19"/>
        <v>49.517982678674684</v>
      </c>
      <c r="K85" s="90">
        <f t="shared" si="13"/>
        <v>0.49517982678674682</v>
      </c>
      <c r="L85" s="90">
        <f t="shared" si="20"/>
        <v>107.1309791525936</v>
      </c>
      <c r="M85" s="90">
        <f t="shared" si="14"/>
        <v>0.21634762435249691</v>
      </c>
      <c r="N85" s="91">
        <f t="shared" si="15"/>
        <v>0.48449632553204564</v>
      </c>
      <c r="P85" s="86">
        <f t="shared" si="21"/>
        <v>438.775510204081</v>
      </c>
      <c r="Q85" s="47">
        <f t="shared" si="22"/>
        <v>2.1503909790219802</v>
      </c>
      <c r="R85" s="87">
        <f t="shared" si="16"/>
        <v>0.49517982678674599</v>
      </c>
      <c r="S85" s="47">
        <f t="shared" si="23"/>
        <v>0.2211182490082842</v>
      </c>
      <c r="T85" s="88">
        <f t="shared" si="24"/>
        <v>2.1503909790220028</v>
      </c>
      <c r="U85" s="88">
        <f t="shared" si="25"/>
        <v>221.11824900828421</v>
      </c>
      <c r="V85" s="88">
        <f t="shared" si="26"/>
        <v>49.517982678674684</v>
      </c>
    </row>
    <row r="86" spans="1:22" x14ac:dyDescent="0.2">
      <c r="A86" s="80">
        <v>45</v>
      </c>
      <c r="B86" s="81">
        <v>448.97959183673402</v>
      </c>
      <c r="C86" s="82">
        <v>1.88466593430061</v>
      </c>
      <c r="D86" s="82">
        <v>0.45455369493786202</v>
      </c>
      <c r="E86" s="75">
        <v>0.21115561199310701</v>
      </c>
      <c r="G86" s="89">
        <f t="shared" si="17"/>
        <v>1.8846659343006298</v>
      </c>
      <c r="H86" s="90">
        <f t="shared" si="18"/>
        <v>220.4152019356938</v>
      </c>
      <c r="I86" s="90">
        <f t="shared" si="12"/>
        <v>0.22041520193569381</v>
      </c>
      <c r="J86" s="90">
        <f t="shared" si="19"/>
        <v>45.455369493786577</v>
      </c>
      <c r="K86" s="90">
        <f t="shared" si="13"/>
        <v>0.45455369493786579</v>
      </c>
      <c r="L86" s="90">
        <f t="shared" si="20"/>
        <v>96.076294865069229</v>
      </c>
      <c r="M86" s="90">
        <f t="shared" si="14"/>
        <v>0.21136401691378215</v>
      </c>
      <c r="N86" s="91">
        <f t="shared" si="15"/>
        <v>0.43588778823476754</v>
      </c>
      <c r="P86" s="86">
        <f t="shared" si="21"/>
        <v>448.97959183673402</v>
      </c>
      <c r="Q86" s="47">
        <f t="shared" si="22"/>
        <v>1.88466593430061</v>
      </c>
      <c r="R86" s="87">
        <f t="shared" si="16"/>
        <v>0.45455369493786202</v>
      </c>
      <c r="S86" s="47">
        <f t="shared" si="23"/>
        <v>0.22041520193569381</v>
      </c>
      <c r="T86" s="88">
        <f t="shared" si="24"/>
        <v>1.8846659343006298</v>
      </c>
      <c r="U86" s="88">
        <f t="shared" si="25"/>
        <v>220.4152019356938</v>
      </c>
      <c r="V86" s="88">
        <f t="shared" si="26"/>
        <v>45.455369493786577</v>
      </c>
    </row>
    <row r="87" spans="1:22" x14ac:dyDescent="0.2">
      <c r="A87" s="80">
        <v>46</v>
      </c>
      <c r="B87" s="81">
        <v>459.18367346938697</v>
      </c>
      <c r="C87" s="82">
        <v>1.58910807138459</v>
      </c>
      <c r="D87" s="82">
        <v>0.40739195793969302</v>
      </c>
      <c r="E87" s="75">
        <v>0.203167510615643</v>
      </c>
      <c r="G87" s="89">
        <f t="shared" si="17"/>
        <v>1.589108071384624</v>
      </c>
      <c r="H87" s="90">
        <f t="shared" si="18"/>
        <v>219.3897687049473</v>
      </c>
      <c r="I87" s="90">
        <f t="shared" si="12"/>
        <v>0.21938976870494731</v>
      </c>
      <c r="J87" s="90">
        <f t="shared" si="19"/>
        <v>40.73919579396977</v>
      </c>
      <c r="K87" s="90">
        <f t="shared" si="13"/>
        <v>0.40739195793969768</v>
      </c>
      <c r="L87" s="90">
        <f t="shared" si="20"/>
        <v>82.850500532965569</v>
      </c>
      <c r="M87" s="90">
        <f t="shared" si="14"/>
        <v>0.20336803149469418</v>
      </c>
      <c r="N87" s="91">
        <f t="shared" si="15"/>
        <v>0.3776406758712138</v>
      </c>
      <c r="P87" s="86">
        <f t="shared" si="21"/>
        <v>459.18367346938697</v>
      </c>
      <c r="Q87" s="47">
        <f t="shared" si="22"/>
        <v>1.58910807138459</v>
      </c>
      <c r="R87" s="87">
        <f t="shared" si="16"/>
        <v>0.40739195793969302</v>
      </c>
      <c r="S87" s="47">
        <f t="shared" si="23"/>
        <v>0.21938976870494731</v>
      </c>
      <c r="T87" s="88">
        <f t="shared" si="24"/>
        <v>1.589108071384624</v>
      </c>
      <c r="U87" s="88">
        <f t="shared" si="25"/>
        <v>219.3897687049473</v>
      </c>
      <c r="V87" s="88">
        <f t="shared" si="26"/>
        <v>40.73919579396977</v>
      </c>
    </row>
    <row r="88" spans="1:22" x14ac:dyDescent="0.2">
      <c r="A88" s="80">
        <v>47</v>
      </c>
      <c r="B88" s="81">
        <v>469.38775510203999</v>
      </c>
      <c r="C88" s="82">
        <v>1.26059539149323</v>
      </c>
      <c r="D88" s="82">
        <v>0.352962732968707</v>
      </c>
      <c r="E88" s="75">
        <v>0.19015399623638601</v>
      </c>
      <c r="G88" s="89">
        <f t="shared" si="17"/>
        <v>1.2605953914932631</v>
      </c>
      <c r="H88" s="90">
        <f t="shared" si="18"/>
        <v>218.02375547400953</v>
      </c>
      <c r="I88" s="90">
        <f t="shared" si="12"/>
        <v>0.21802375547400954</v>
      </c>
      <c r="J88" s="90">
        <f t="shared" si="19"/>
        <v>35.29627329687105</v>
      </c>
      <c r="K88" s="90">
        <f t="shared" si="13"/>
        <v>0.3529627329687105</v>
      </c>
      <c r="L88" s="90">
        <f t="shared" si="20"/>
        <v>67.183517144420122</v>
      </c>
      <c r="M88" s="90">
        <f t="shared" si="14"/>
        <v>0.19034167312608558</v>
      </c>
      <c r="N88" s="91">
        <f t="shared" si="15"/>
        <v>0.30814769243083251</v>
      </c>
      <c r="P88" s="86">
        <f t="shared" si="21"/>
        <v>469.38775510203993</v>
      </c>
      <c r="Q88" s="47">
        <f t="shared" si="22"/>
        <v>1.26059539149323</v>
      </c>
      <c r="R88" s="87">
        <f t="shared" si="16"/>
        <v>0.352962732968707</v>
      </c>
      <c r="S88" s="47">
        <f t="shared" si="23"/>
        <v>0.21802375547400954</v>
      </c>
      <c r="T88" s="88">
        <f t="shared" si="24"/>
        <v>1.2605953914932648</v>
      </c>
      <c r="U88" s="88">
        <f t="shared" si="25"/>
        <v>218.02375547400959</v>
      </c>
      <c r="V88" s="88">
        <f t="shared" si="26"/>
        <v>35.296273296870936</v>
      </c>
    </row>
    <row r="89" spans="1:22" x14ac:dyDescent="0.2">
      <c r="A89" s="80">
        <v>48</v>
      </c>
      <c r="B89" s="81">
        <v>479.591836734693</v>
      </c>
      <c r="C89" s="82">
        <v>0.89581328181992204</v>
      </c>
      <c r="D89" s="82">
        <v>0.29047411817076202</v>
      </c>
      <c r="E89" s="75">
        <v>0.167767826012689</v>
      </c>
      <c r="G89" s="89">
        <f t="shared" si="17"/>
        <v>0.89581328181995445</v>
      </c>
      <c r="H89" s="90">
        <f t="shared" si="18"/>
        <v>216.29872306803225</v>
      </c>
      <c r="I89" s="90">
        <f t="shared" si="12"/>
        <v>0.21629872306803224</v>
      </c>
      <c r="J89" s="90">
        <f t="shared" si="19"/>
        <v>29.047411817076977</v>
      </c>
      <c r="K89" s="90">
        <f t="shared" si="13"/>
        <v>0.29047411817076979</v>
      </c>
      <c r="L89" s="90">
        <f t="shared" si="20"/>
        <v>48.780308702842817</v>
      </c>
      <c r="M89" s="90">
        <f t="shared" si="14"/>
        <v>0.16793340835332141</v>
      </c>
      <c r="N89" s="91">
        <f t="shared" si="15"/>
        <v>0.22552286953400086</v>
      </c>
      <c r="P89" s="86">
        <f t="shared" si="21"/>
        <v>479.591836734693</v>
      </c>
      <c r="Q89" s="47">
        <f t="shared" si="22"/>
        <v>0.89581328181992204</v>
      </c>
      <c r="R89" s="87">
        <f t="shared" si="16"/>
        <v>0.29047411817076202</v>
      </c>
      <c r="S89" s="47">
        <f t="shared" si="23"/>
        <v>0.21629872306803224</v>
      </c>
      <c r="T89" s="88">
        <f t="shared" si="24"/>
        <v>0.89581328181995445</v>
      </c>
      <c r="U89" s="88">
        <f t="shared" si="25"/>
        <v>216.29872306803225</v>
      </c>
      <c r="V89" s="88">
        <f t="shared" si="26"/>
        <v>29.047411817076977</v>
      </c>
    </row>
    <row r="90" spans="1:22" x14ac:dyDescent="0.2">
      <c r="A90" s="80">
        <v>49</v>
      </c>
      <c r="B90" s="81">
        <v>489.79591836734602</v>
      </c>
      <c r="C90" s="82">
        <v>0.49124948794524298</v>
      </c>
      <c r="D90" s="82">
        <v>0.21907201006888699</v>
      </c>
      <c r="E90" s="75">
        <v>0.12458255076498199</v>
      </c>
      <c r="G90" s="89">
        <f t="shared" si="17"/>
        <v>0.49124948794528045</v>
      </c>
      <c r="H90" s="90">
        <f t="shared" si="18"/>
        <v>214.19598697935385</v>
      </c>
      <c r="I90" s="90">
        <f t="shared" si="12"/>
        <v>0.21419598697935385</v>
      </c>
      <c r="J90" s="90">
        <f t="shared" si="19"/>
        <v>21.907201006889466</v>
      </c>
      <c r="K90" s="90">
        <f t="shared" si="13"/>
        <v>0.21907201006889465</v>
      </c>
      <c r="L90" s="90">
        <f t="shared" si="20"/>
        <v>27.31948682960785</v>
      </c>
      <c r="M90" s="90">
        <f t="shared" si="14"/>
        <v>0.12470551039823073</v>
      </c>
      <c r="N90" s="91">
        <f t="shared" si="15"/>
        <v>0.1275443448538611</v>
      </c>
      <c r="P90" s="86">
        <f t="shared" si="21"/>
        <v>489.79591836734602</v>
      </c>
      <c r="Q90" s="47">
        <f t="shared" si="22"/>
        <v>0.49124948794524298</v>
      </c>
      <c r="R90" s="87">
        <f t="shared" si="16"/>
        <v>0.21907201006888699</v>
      </c>
      <c r="S90" s="47">
        <f t="shared" si="23"/>
        <v>0.21419598697935385</v>
      </c>
      <c r="T90" s="88">
        <f t="shared" si="24"/>
        <v>0.49124948794528045</v>
      </c>
      <c r="U90" s="88">
        <f t="shared" si="25"/>
        <v>214.19598697935385</v>
      </c>
      <c r="V90" s="88">
        <f t="shared" si="26"/>
        <v>21.907201006889466</v>
      </c>
    </row>
    <row r="91" spans="1:22" x14ac:dyDescent="0.2">
      <c r="A91" s="92">
        <v>50</v>
      </c>
      <c r="B91" s="93">
        <v>500</v>
      </c>
      <c r="C91" s="94">
        <v>4.3189086250000799E-2</v>
      </c>
      <c r="D91" s="94">
        <v>0.13783792097099901</v>
      </c>
      <c r="E91" s="78">
        <v>1.77706022114308E-2</v>
      </c>
      <c r="G91" s="95">
        <f t="shared" si="17"/>
        <v>4.3189086250000841E-2</v>
      </c>
      <c r="H91" s="96">
        <f t="shared" si="18"/>
        <v>211.69661736750004</v>
      </c>
      <c r="I91" s="96">
        <f t="shared" si="12"/>
        <v>0.21169661736750003</v>
      </c>
      <c r="J91" s="96">
        <f t="shared" si="19"/>
        <v>13.78379209709999</v>
      </c>
      <c r="K91" s="96">
        <f t="shared" si="13"/>
        <v>0.13783792097099989</v>
      </c>
      <c r="L91" s="96">
        <f t="shared" si="20"/>
        <v>2.4518804173177537</v>
      </c>
      <c r="M91" s="96">
        <f t="shared" si="14"/>
        <v>1.7788141318771135E-2</v>
      </c>
      <c r="N91" s="97">
        <f t="shared" si="15"/>
        <v>1.1582048158385783E-2</v>
      </c>
      <c r="P91" s="86">
        <f t="shared" si="21"/>
        <v>500</v>
      </c>
      <c r="Q91" s="47">
        <f t="shared" si="22"/>
        <v>4.3189086250000799E-2</v>
      </c>
      <c r="R91" s="87">
        <f t="shared" si="16"/>
        <v>0.13783792097099901</v>
      </c>
      <c r="S91" s="47">
        <f t="shared" si="23"/>
        <v>0.21169661736750003</v>
      </c>
      <c r="T91" s="88">
        <f t="shared" si="24"/>
        <v>4.3189086250000841E-2</v>
      </c>
      <c r="U91" s="88">
        <f t="shared" si="25"/>
        <v>211.69661736750004</v>
      </c>
      <c r="V91" s="88">
        <f t="shared" si="26"/>
        <v>13.78379209709999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B8003-454C-40B2-9C2E-7C224E5FA5B0}">
  <sheetPr codeName="Лист14"/>
  <dimension ref="A1:AU91"/>
  <sheetViews>
    <sheetView topLeftCell="A3" zoomScale="85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NF(2500-4400)H @ 2910 RPM</v>
      </c>
      <c r="C1" s="64"/>
      <c r="D1" s="64"/>
      <c r="E1" s="65">
        <v>168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>
        <f>VLOOKUP(num,'tnav 254'!A1:Q263,6,1)</f>
        <v>5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[0,70,140,210,280,350,420,490,560,630,700]</v>
      </c>
    </row>
    <row r="2" spans="1:47" x14ac:dyDescent="0.2">
      <c r="A2" s="67" t="s">
        <v>144</v>
      </c>
      <c r="B2" s="68" t="str">
        <f>"ЭЦН"&amp;L1&amp;"-"&amp;H1&amp;"@"&amp;f_nom&amp;"Гц"</f>
        <v>ЭЦН5-400@50Гц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[0,70,140,210,280,350,420,490,560,630,700]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5.9859841749999996</v>
      </c>
      <c r="C5" s="73">
        <f>Напор0*(f_50_hz/f_nom)^2</f>
        <v>5.9859841749999996</v>
      </c>
      <c r="R5" s="47">
        <f>S1+num</f>
        <v>2168</v>
      </c>
      <c r="S5" s="47" t="s">
        <v>478</v>
      </c>
      <c r="T5" s="47" t="s">
        <v>479</v>
      </c>
      <c r="U5" s="47" t="str">
        <f>B2</f>
        <v>ЭЦН5-400@50Гц</v>
      </c>
      <c r="V5" s="47">
        <v>1000</v>
      </c>
      <c r="W5" s="47">
        <f>q_nom</f>
        <v>400</v>
      </c>
      <c r="X5" s="47">
        <f>VLOOKUP(num,'tnav 254'!A1:Q263,10,1)</f>
        <v>320</v>
      </c>
      <c r="Y5" s="47">
        <f>VLOOKUP(num,'tnav 254'!A1:Q263,11,1)</f>
        <v>480</v>
      </c>
      <c r="Z5" s="47">
        <f>VLOOKUP(num,'tnav 254'!A1:Q263,9,1)</f>
        <v>700</v>
      </c>
      <c r="AA5" s="47">
        <f>VLOOKUP(num,'tnav 254'!A1:Q263,15,1)</f>
        <v>2910</v>
      </c>
      <c r="AB5" s="47">
        <f>f_nom</f>
        <v>50</v>
      </c>
      <c r="AC5" s="87">
        <f>MAX(КПД)</f>
        <v>0.65838367111004004</v>
      </c>
      <c r="AE5" s="47">
        <f>L1</f>
        <v>5</v>
      </c>
      <c r="AF5" s="47">
        <f>VLOOKUP(num,'tnav 254'!A1:Q263,12,1)*1000</f>
        <v>92</v>
      </c>
      <c r="AQ5" s="98">
        <f>$R$5</f>
        <v>2168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5.9859841749999996</v>
      </c>
      <c r="AT5" s="104" cm="1">
        <f t="array" ref="AT5">[1]!crv_interpolation(Подача_пласт_м3_сут,$I$42:$I$91,AR5,2)</f>
        <v>0.2136055392</v>
      </c>
      <c r="AU5" s="105">
        <v>0</v>
      </c>
    </row>
    <row r="6" spans="1:47" x14ac:dyDescent="0.2">
      <c r="A6" s="74" t="s">
        <v>431</v>
      </c>
      <c r="B6" s="75">
        <v>-1.5530760269999999E-3</v>
      </c>
      <c r="C6" s="76">
        <f>Напор1/(f_50_hz/f_nom)*(f_50_hz/f_nom)^2</f>
        <v>-1.5530760269999999E-3</v>
      </c>
      <c r="R6" s="47">
        <f>T1+num</f>
        <v>3168</v>
      </c>
      <c r="S6" s="47" t="s">
        <v>480</v>
      </c>
      <c r="T6" s="47" t="s">
        <v>481</v>
      </c>
      <c r="U6" s="47" t="str">
        <f>"ЭЦН"&amp;L1&amp;"-"&amp;H1&amp;"@"&amp;f_50_hz&amp;"Гц"</f>
        <v>ЭЦН5-400@50Гц</v>
      </c>
      <c r="V6" s="47">
        <v>1000</v>
      </c>
      <c r="W6" s="47">
        <f>W5*f_50_hz/f_nom</f>
        <v>400</v>
      </c>
      <c r="X6" s="47">
        <f>X5*f_50_hz/f_nom</f>
        <v>320</v>
      </c>
      <c r="Y6" s="47">
        <f>Y5*f_50_hz/f_nom</f>
        <v>480</v>
      </c>
      <c r="Z6" s="47">
        <f>Z5*f_50_hz/f_nom</f>
        <v>700</v>
      </c>
      <c r="AA6" s="47">
        <f>AA5*f_50_hz/f_nom</f>
        <v>2910</v>
      </c>
      <c r="AB6" s="47">
        <f>f_50_hz</f>
        <v>50</v>
      </c>
      <c r="AC6" s="87">
        <f>AC5</f>
        <v>0.65838367111004004</v>
      </c>
      <c r="AE6" s="47">
        <f>AE5</f>
        <v>5</v>
      </c>
      <c r="AF6" s="47">
        <f>AF5</f>
        <v>92</v>
      </c>
      <c r="AQ6" s="100">
        <f t="shared" ref="AQ6:AQ15" si="0">$R$5</f>
        <v>2168</v>
      </c>
      <c r="AR6" s="101">
        <v>70</v>
      </c>
      <c r="AS6" s="106" cm="1">
        <f t="array" ref="AS6">[1]!crv_interpolation(Подача_пласт_м3_сут,Напор_м,AR6,2)</f>
        <v>5.590490208674737</v>
      </c>
      <c r="AT6" s="106" cm="1">
        <f t="array" ref="AT6">[1]!crv_interpolation(Подача_пласт_м3_сут,$I$42:$I$91,AR6,2)</f>
        <v>0.20630937159680704</v>
      </c>
      <c r="AU6" s="107" cm="1">
        <f t="array" ref="AU6">[1]!crv_interpolation(Подача_пласт_м3_сут,КПД,AR6,2)</f>
        <v>0.2131898254472582</v>
      </c>
    </row>
    <row r="7" spans="1:47" x14ac:dyDescent="0.2">
      <c r="A7" s="74" t="s">
        <v>432</v>
      </c>
      <c r="B7" s="75">
        <v>-8.7502167449999996E-5</v>
      </c>
      <c r="C7" s="76">
        <f>Напор2/((f_50_hz/f_nom)^2)*(f_50_hz/f_nom)^2</f>
        <v>-8.7502167449999996E-5</v>
      </c>
      <c r="AQ7" s="100">
        <f t="shared" si="0"/>
        <v>2168</v>
      </c>
      <c r="AR7" s="101">
        <v>140</v>
      </c>
      <c r="AS7" s="106" cm="1">
        <f t="array" ref="AS7">[1]!crv_interpolation(Подача_пласт_м3_сут,Напор_м,AR7,2)</f>
        <v>5.0350741866876367</v>
      </c>
      <c r="AT7" s="106" cm="1">
        <f t="array" ref="AT7">[1]!crv_interpolation(Подача_пласт_м3_сут,$I$42:$I$91,AR7,2)</f>
        <v>0.21082631601207469</v>
      </c>
      <c r="AU7" s="107" cm="1">
        <f t="array" ref="AU7">[1]!crv_interpolation(Подача_пласт_м3_сут,КПД,AR7,2)</f>
        <v>0.37435902843492297</v>
      </c>
    </row>
    <row r="8" spans="1:47" x14ac:dyDescent="0.2">
      <c r="A8" s="74" t="s">
        <v>433</v>
      </c>
      <c r="B8" s="75">
        <v>4.752457224E-7</v>
      </c>
      <c r="C8" s="76">
        <f>Напор3/((f_50_hz/f_nom)^3)*(f_50_hz/f_nom)^2</f>
        <v>4.752457224E-7</v>
      </c>
      <c r="AQ8" s="100">
        <f t="shared" si="0"/>
        <v>2168</v>
      </c>
      <c r="AR8" s="101">
        <v>210</v>
      </c>
      <c r="AS8" s="106" cm="1">
        <f t="array" ref="AS8">[1]!crv_interpolation(Подача_пласт_м3_сут,Напор_м,AR8,2)</f>
        <v>4.6468579757070057</v>
      </c>
      <c r="AT8" s="106" cm="1">
        <f t="array" ref="AT8">[1]!crv_interpolation(Подача_пласт_м3_сут,$I$42:$I$91,AR8,2)</f>
        <v>0.22465396217434885</v>
      </c>
      <c r="AU8" s="107" cm="1">
        <f t="array" ref="AU8">[1]!crv_interpolation(Подача_пласт_м3_сут,КПД,AR8,2)</f>
        <v>0.49879606802470844</v>
      </c>
    </row>
    <row r="9" spans="1:47" x14ac:dyDescent="0.2">
      <c r="A9" s="74" t="s">
        <v>434</v>
      </c>
      <c r="B9" s="75">
        <v>-9.1933986600000001E-10</v>
      </c>
      <c r="C9" s="76">
        <f>Напор4/((f_50_hz/f_nom)^4)*(f_50_hz/f_nom)^2</f>
        <v>-9.1933986600000001E-10</v>
      </c>
      <c r="Y9" s="119" t="s">
        <v>489</v>
      </c>
      <c r="Z9" s="47">
        <f>Z5</f>
        <v>700</v>
      </c>
      <c r="AQ9" s="100">
        <f t="shared" si="0"/>
        <v>2168</v>
      </c>
      <c r="AR9" s="101">
        <v>280</v>
      </c>
      <c r="AS9" s="106" cm="1">
        <f t="array" ref="AS9">[1]!crv_interpolation(Подача_пласт_м3_сут,Напор_м,AR9,2)</f>
        <v>4.4529664931627613</v>
      </c>
      <c r="AT9" s="106" cm="1">
        <f t="array" ref="AT9">[1]!crv_interpolation(Подача_пласт_м3_сут,$I$42:$I$91,AR9,2)</f>
        <v>0.24435309888767071</v>
      </c>
      <c r="AU9" s="107" cm="1">
        <f t="array" ref="AU9">[1]!crv_interpolation(Подача_пласт_м3_сут,КПД,AR9,2)</f>
        <v>0.59076493144408571</v>
      </c>
    </row>
    <row r="10" spans="1:47" x14ac:dyDescent="0.2">
      <c r="A10" s="74" t="s">
        <v>435</v>
      </c>
      <c r="B10" s="75">
        <v>5.694961387E-13</v>
      </c>
      <c r="C10" s="76">
        <f>Напор5/((f_50_hz/f_nom)^5)*(f_50_hz/f_nom)^2</f>
        <v>5.694961387E-13</v>
      </c>
      <c r="AQ10" s="100">
        <f t="shared" si="0"/>
        <v>2168</v>
      </c>
      <c r="AR10" s="101">
        <v>350</v>
      </c>
      <c r="AS10" s="106" cm="1">
        <f t="array" ref="AS10">[1]!crv_interpolation(Подача_пласт_м3_сут,Напор_м,AR10,2)</f>
        <v>4.2948119080589171</v>
      </c>
      <c r="AT10" s="106" cm="1">
        <f t="array" ref="AT10">[1]!crv_interpolation(Подача_пласт_м3_сут,$I$42:$I$91,AR10,2)</f>
        <v>0.26554784349528049</v>
      </c>
      <c r="AU10" s="107" cm="1">
        <f t="array" ref="AU10">[1]!crv_interpolation(Подача_пласт_м3_сут,КПД,AR10,2)</f>
        <v>0.64624941755387599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2168</v>
      </c>
      <c r="AR11" s="101">
        <v>420</v>
      </c>
      <c r="AS11" s="106" cm="1">
        <f t="array" ref="AS11">[1]!crv_interpolation(Подача_пласт_м3_сут,Напор_м,AR11,2)</f>
        <v>3.9440965670541659</v>
      </c>
      <c r="AT11" s="106" cm="1">
        <f t="array" ref="AT11">[1]!crv_interpolation(Подача_пласт_м3_сут,$I$42:$I$91,AR11,2)</f>
        <v>0.2829253696932697</v>
      </c>
      <c r="AU11" s="107" cm="1">
        <f t="array" ref="AU11">[1]!crv_interpolation(Подача_пласт_м3_сут,КПД,AR11,2)</f>
        <v>0.65568495404405547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2168</v>
      </c>
      <c r="AR12" s="101">
        <v>490</v>
      </c>
      <c r="AS12" s="106" cm="1">
        <f t="array" ref="AS12">[1]!crv_interpolation(Подача_пласт_м3_сут,Напор_м,AR12,2)</f>
        <v>3.2166259100881711</v>
      </c>
      <c r="AT12" s="106" cm="1">
        <f t="array" ref="AT12">[1]!crv_interpolation(Подача_пласт_м3_сут,$I$42:$I$91,AR12,2)</f>
        <v>0.29023618455854994</v>
      </c>
      <c r="AU12" s="107" cm="1">
        <f t="array" ref="AU12">[1]!crv_interpolation(Подача_пласт_м3_сут,КПД,AR12,2)</f>
        <v>0.60669045550979317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2168</v>
      </c>
      <c r="AR13" s="101">
        <v>560</v>
      </c>
      <c r="AS13" s="106" cm="1">
        <f t="array" ref="AS13">[1]!crv_interpolation(Подача_пласт_м3_сут,Напор_м,AR13,2)</f>
        <v>2.0877481370226905</v>
      </c>
      <c r="AT13" s="106" cm="1">
        <f t="array" ref="AT13">[1]!crv_interpolation(Подача_пласт_м3_сут,$I$42:$I$91,AR13,2)</f>
        <v>0.28029399296920682</v>
      </c>
      <c r="AU13" s="107" cm="1">
        <f t="array" ref="AU13">[1]!crv_interpolation(Подача_пласт_м3_сут,КПД,AR13,2)</f>
        <v>0.48680020819713377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2168</v>
      </c>
      <c r="AR14" s="101">
        <v>630</v>
      </c>
      <c r="AS14" s="106" cm="1">
        <f t="array" ref="AS14">[1]!crv_interpolation(Подача_пласт_м3_сут,Напор_м,AR14,2)</f>
        <v>0.80716515101407194</v>
      </c>
      <c r="AT14" s="106" cm="1">
        <f t="array" ref="AT14">[1]!crv_interpolation(Подача_пласт_м3_сут,$I$42:$I$91,AR14,2)</f>
        <v>0.24497572080278021</v>
      </c>
      <c r="AU14" s="107" cm="1">
        <f t="array" ref="AU14">[1]!crv_interpolation(Подача_пласт_м3_сут,КПД,AR14,2)</f>
        <v>0.28619574870038073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2168</v>
      </c>
      <c r="AR15" s="103">
        <v>700</v>
      </c>
      <c r="AS15" s="108">
        <v>0</v>
      </c>
      <c r="AT15" s="108" cm="1">
        <f t="array" ref="AT15">[1]!crv_interpolation(Подача_пласт_м3_сут,$I$42:$I$91,AR15,2)</f>
        <v>0.1752215164831</v>
      </c>
      <c r="AU15" s="109">
        <v>0</v>
      </c>
    </row>
    <row r="16" spans="1:47" x14ac:dyDescent="0.2">
      <c r="A16" s="71" t="s">
        <v>441</v>
      </c>
      <c r="B16" s="72">
        <v>213.60553920000001</v>
      </c>
      <c r="C16" s="73">
        <f>Мощность0*(f_50_hz/f_nom)^3</f>
        <v>213.60553920000001</v>
      </c>
      <c r="AQ16" s="98">
        <f>$R$6</f>
        <v>3168</v>
      </c>
      <c r="AR16" s="99">
        <f t="array" ref="AR16:AR26">[1]!decode_json($AR$2)</f>
        <v>0</v>
      </c>
      <c r="AS16" s="104" cm="1">
        <f t="array" ref="AS16">[1]!crv_interpolation(Подача_f50_,$Q$42:$Q$91,AR16,2)</f>
        <v>5.9859841749999996</v>
      </c>
      <c r="AT16" s="104" cm="1">
        <f t="array" ref="AT16">[1]!crv_interpolation(Подача_f50_,$S$42:$S$91,AR16,2)</f>
        <v>0.2136055392</v>
      </c>
      <c r="AU16" s="105">
        <v>0</v>
      </c>
    </row>
    <row r="17" spans="1:47" x14ac:dyDescent="0.2">
      <c r="A17" s="74" t="s">
        <v>442</v>
      </c>
      <c r="B17" s="75">
        <v>-0.19717648679999999</v>
      </c>
      <c r="C17" s="76">
        <f>Мощность1/(f_50_hz/f_nom)*(f_50_hz/f_nom)^3</f>
        <v>-0.19717648679999999</v>
      </c>
      <c r="AQ17" s="100">
        <f t="shared" ref="AQ17:AQ26" si="1">$R$6</f>
        <v>3168</v>
      </c>
      <c r="AR17" s="101">
        <v>70</v>
      </c>
      <c r="AS17" s="106" cm="1">
        <f t="array" ref="AS17">[1]!crv_interpolation(Подача_f50_,$Q$42:$Q$91,AR17,2)</f>
        <v>5.590490208674737</v>
      </c>
      <c r="AT17" s="106" cm="1">
        <f t="array" ref="AT17">[1]!crv_interpolation(Подача_f50_,$S$42:$S$91,AR17,2)</f>
        <v>0.20630937159680704</v>
      </c>
      <c r="AU17" s="107" cm="1">
        <f t="array" ref="AU17">[1]!crv_interpolation(Подача_f50_,$R$42:$R$91,AR17,2)</f>
        <v>0.21318982544725823</v>
      </c>
    </row>
    <row r="18" spans="1:47" x14ac:dyDescent="0.2">
      <c r="A18" s="74" t="s">
        <v>443</v>
      </c>
      <c r="B18" s="75">
        <v>1.3731810400000001E-3</v>
      </c>
      <c r="C18" s="76">
        <f>Мощность2/((f_50_hz/f_nom)^2)*(f_50_hz/f_nom)^3</f>
        <v>1.3731810400000001E-3</v>
      </c>
      <c r="AQ18" s="100">
        <f t="shared" si="1"/>
        <v>3168</v>
      </c>
      <c r="AR18" s="101">
        <v>140</v>
      </c>
      <c r="AS18" s="106" cm="1">
        <f t="array" ref="AS18">[1]!crv_interpolation(Подача_f50_,$Q$42:$Q$91,AR18,2)</f>
        <v>5.0350741866876367</v>
      </c>
      <c r="AT18" s="106" cm="1">
        <f t="array" ref="AT18">[1]!crv_interpolation(Подача_f50_,$S$42:$S$91,AR18,2)</f>
        <v>0.21082631601207469</v>
      </c>
      <c r="AU18" s="107" cm="1">
        <f t="array" ref="AU18">[1]!crv_interpolation(Подача_f50_,$R$42:$R$91,AR18,2)</f>
        <v>0.37435902843492297</v>
      </c>
    </row>
    <row r="19" spans="1:47" x14ac:dyDescent="0.2">
      <c r="A19" s="74" t="s">
        <v>444</v>
      </c>
      <c r="B19" s="75">
        <v>-5.3338006850000001E-7</v>
      </c>
      <c r="C19" s="76">
        <f>Мощность3/((f_50_hz/f_nom)^3)*(f_50_hz/f_nom)^3</f>
        <v>-5.3338006850000001E-7</v>
      </c>
      <c r="AQ19" s="100">
        <f t="shared" si="1"/>
        <v>3168</v>
      </c>
      <c r="AR19" s="101">
        <v>210</v>
      </c>
      <c r="AS19" s="106" cm="1">
        <f t="array" ref="AS19">[1]!crv_interpolation(Подача_f50_,$Q$42:$Q$91,AR19,2)</f>
        <v>4.6468579757070057</v>
      </c>
      <c r="AT19" s="106" cm="1">
        <f t="array" ref="AT19">[1]!crv_interpolation(Подача_f50_,$S$42:$S$91,AR19,2)</f>
        <v>0.22465396217434885</v>
      </c>
      <c r="AU19" s="107" cm="1">
        <f t="array" ref="AU19">[1]!crv_interpolation(Подача_f50_,$R$42:$R$91,AR19,2)</f>
        <v>0.49879606802470844</v>
      </c>
    </row>
    <row r="20" spans="1:47" x14ac:dyDescent="0.2">
      <c r="A20" s="74" t="s">
        <v>445</v>
      </c>
      <c r="B20" s="75">
        <v>-1.6254470139999999E-9</v>
      </c>
      <c r="C20" s="76">
        <f>Мощность4/((f_50_hz/f_nom)^4)*(f_50_hz/f_nom)^3</f>
        <v>-1.6254470139999999E-9</v>
      </c>
      <c r="AQ20" s="100">
        <f t="shared" si="1"/>
        <v>3168</v>
      </c>
      <c r="AR20" s="101">
        <v>280</v>
      </c>
      <c r="AS20" s="106" cm="1">
        <f t="array" ref="AS20">[1]!crv_interpolation(Подача_f50_,$Q$42:$Q$91,AR20,2)</f>
        <v>4.4529664931627613</v>
      </c>
      <c r="AT20" s="106" cm="1">
        <f t="array" ref="AT20">[1]!crv_interpolation(Подача_f50_,$S$42:$S$91,AR20,2)</f>
        <v>0.24435309888767071</v>
      </c>
      <c r="AU20" s="107" cm="1">
        <f t="array" ref="AU20">[1]!crv_interpolation(Подача_f50_,$R$42:$R$91,AR20,2)</f>
        <v>0.59076493144408571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3168</v>
      </c>
      <c r="AR21" s="101">
        <v>350</v>
      </c>
      <c r="AS21" s="106" cm="1">
        <f t="array" ref="AS21">[1]!crv_interpolation(Подача_f50_,$Q$42:$Q$91,AR21,2)</f>
        <v>4.2948119080589171</v>
      </c>
      <c r="AT21" s="106" cm="1">
        <f t="array" ref="AT21">[1]!crv_interpolation(Подача_f50_,$S$42:$S$91,AR21,2)</f>
        <v>0.26554784349528049</v>
      </c>
      <c r="AU21" s="107" cm="1">
        <f t="array" ref="AU21">[1]!crv_interpolation(Подача_f50_,$R$42:$R$91,AR21,2)</f>
        <v>0.64624941755387588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3168</v>
      </c>
      <c r="AR22" s="101">
        <v>420</v>
      </c>
      <c r="AS22" s="106" cm="1">
        <f t="array" ref="AS22">[1]!crv_interpolation(Подача_f50_,$Q$42:$Q$91,AR22,2)</f>
        <v>3.9440965670541659</v>
      </c>
      <c r="AT22" s="106" cm="1">
        <f t="array" ref="AT22">[1]!crv_interpolation(Подача_f50_,$S$42:$S$91,AR22,2)</f>
        <v>0.2829253696932697</v>
      </c>
      <c r="AU22" s="107" cm="1">
        <f t="array" ref="AU22">[1]!crv_interpolation(Подача_f50_,$R$42:$R$91,AR22,2)</f>
        <v>0.65568495404405547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3168</v>
      </c>
      <c r="AR23" s="101">
        <v>490</v>
      </c>
      <c r="AS23" s="106" cm="1">
        <f t="array" ref="AS23">[1]!crv_interpolation(Подача_f50_,$Q$42:$Q$91,AR23,2)</f>
        <v>3.2166259100881711</v>
      </c>
      <c r="AT23" s="106" cm="1">
        <f t="array" ref="AT23">[1]!crv_interpolation(Подача_f50_,$S$42:$S$91,AR23,2)</f>
        <v>0.29023618455854994</v>
      </c>
      <c r="AU23" s="107" cm="1">
        <f t="array" ref="AU23">[1]!crv_interpolation(Подача_f50_,$R$42:$R$91,AR23,2)</f>
        <v>0.60669045550979317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3168</v>
      </c>
      <c r="AR24" s="101">
        <v>560</v>
      </c>
      <c r="AS24" s="106" cm="1">
        <f t="array" ref="AS24">[1]!crv_interpolation(Подача_f50_,$Q$42:$Q$91,AR24,2)</f>
        <v>2.0877481370226905</v>
      </c>
      <c r="AT24" s="106" cm="1">
        <f t="array" ref="AT24">[1]!crv_interpolation(Подача_f50_,$S$42:$S$91,AR24,2)</f>
        <v>0.28029399296920682</v>
      </c>
      <c r="AU24" s="107" cm="1">
        <f t="array" ref="AU24">[1]!crv_interpolation(Подача_f50_,$R$42:$R$91,AR24,2)</f>
        <v>0.48680020819713377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3168</v>
      </c>
      <c r="AR25" s="101">
        <v>630</v>
      </c>
      <c r="AS25" s="106" cm="1">
        <f t="array" ref="AS25">[1]!crv_interpolation(Подача_f50_,$Q$42:$Q$91,AR25,2)</f>
        <v>0.80716515101407194</v>
      </c>
      <c r="AT25" s="106" cm="1">
        <f t="array" ref="AT25">[1]!crv_interpolation(Подача_f50_,$S$42:$S$91,AR25,2)</f>
        <v>0.24497572080278021</v>
      </c>
      <c r="AU25" s="107" cm="1">
        <f t="array" ref="AU25">[1]!crv_interpolation(Подача_f50_,$R$42:$R$91,AR25,2)</f>
        <v>0.28619574870038073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3168</v>
      </c>
      <c r="AR26" s="103">
        <v>700</v>
      </c>
      <c r="AS26" s="108">
        <v>0</v>
      </c>
      <c r="AT26" s="108" cm="1">
        <f t="array" ref="AT26">[1]!crv_interpolation(Подача_f50_,$S$42:$S$91,AR26,2)</f>
        <v>0.1752215164831</v>
      </c>
      <c r="AU26" s="109">
        <v>0</v>
      </c>
    </row>
    <row r="27" spans="1:47" x14ac:dyDescent="0.2">
      <c r="A27" s="74" t="s">
        <v>452</v>
      </c>
      <c r="B27" s="75">
        <v>1.236913564E-3</v>
      </c>
      <c r="C27" s="73">
        <f>К.П.Д.0</f>
        <v>1.236913564E-3</v>
      </c>
    </row>
    <row r="28" spans="1:47" x14ac:dyDescent="0.2">
      <c r="A28" s="74" t="s">
        <v>453</v>
      </c>
      <c r="B28" s="75">
        <v>0.35366102910000002</v>
      </c>
      <c r="C28" s="76">
        <f>К.П.Д.1/(f_50_hz/f_nom)</f>
        <v>0.35366102910000002</v>
      </c>
    </row>
    <row r="29" spans="1:47" x14ac:dyDescent="0.2">
      <c r="A29" s="74" t="s">
        <v>454</v>
      </c>
      <c r="B29" s="75">
        <v>-8.126481238E-4</v>
      </c>
      <c r="C29" s="76">
        <f>К.П.Д.2/((f_50_hz/f_nom)^2)</f>
        <v>-8.126481238E-4</v>
      </c>
    </row>
    <row r="30" spans="1:47" x14ac:dyDescent="0.2">
      <c r="A30" s="74" t="s">
        <v>455</v>
      </c>
      <c r="B30" s="75">
        <v>1.7766138400000001E-6</v>
      </c>
      <c r="C30" s="76">
        <f>К.П.Д.3/((f_50_hz/f_nom)^3)</f>
        <v>1.7766138400000001E-6</v>
      </c>
    </row>
    <row r="31" spans="1:47" x14ac:dyDescent="0.2">
      <c r="A31" s="74" t="s">
        <v>456</v>
      </c>
      <c r="B31" s="75">
        <v>-2.8582954979999999E-9</v>
      </c>
      <c r="C31" s="76">
        <f>К.П.Д.4/((f_50_hz/f_nom)^4)</f>
        <v>-2.8582954979999999E-9</v>
      </c>
    </row>
    <row r="32" spans="1:47" x14ac:dyDescent="0.2">
      <c r="A32" s="74" t="s">
        <v>457</v>
      </c>
      <c r="B32" s="75">
        <v>1.3540524760000001E-12</v>
      </c>
      <c r="C32" s="76">
        <f>К.П.Д.5/((f_50_hz/f_nom)^5)</f>
        <v>1.3540524760000001E-12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5.9859841749999996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5.9859841749999996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213.60553920000001</v>
      </c>
      <c r="I42" s="84">
        <f>H42/1000</f>
        <v>0.2136055392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1.236913564E-3</v>
      </c>
      <c r="K42" s="84">
        <f>J42/100</f>
        <v>1.236913564E-5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5.9859841749999996</v>
      </c>
      <c r="R42" s="87">
        <f>D42</f>
        <v>1E-3</v>
      </c>
      <c r="S42" s="47">
        <f t="shared" ref="S42:S73" si="8">I42*(f_50_hz/f_nom)^3</f>
        <v>0.2136055392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5.9859841749999996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213.60553920000001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1.236913564E-3</v>
      </c>
    </row>
    <row r="43" spans="1:22" x14ac:dyDescent="0.2">
      <c r="A43" s="80">
        <v>2</v>
      </c>
      <c r="B43" s="81">
        <v>14.285714285714199</v>
      </c>
      <c r="C43" s="82">
        <v>5.94728739443336</v>
      </c>
      <c r="D43" s="82">
        <v>4.89275216519202E-2</v>
      </c>
      <c r="E43" s="75">
        <v>0.19696747028473799</v>
      </c>
      <c r="G43" s="89">
        <f t="shared" si="2"/>
        <v>5.9472873944333662</v>
      </c>
      <c r="H43" s="90">
        <f t="shared" si="3"/>
        <v>211.06735053160313</v>
      </c>
      <c r="I43" s="90">
        <f t="shared" ref="I43:I91" si="12">H43/1000</f>
        <v>0.21106735053160314</v>
      </c>
      <c r="J43" s="90">
        <f t="shared" si="4"/>
        <v>4.8927521651919932</v>
      </c>
      <c r="K43" s="90">
        <f t="shared" ref="K43:K91" si="13">J43/100</f>
        <v>4.8927521651919929E-2</v>
      </c>
      <c r="L43" s="90">
        <f t="shared" si="5"/>
        <v>9.6466417558516717</v>
      </c>
      <c r="M43" s="90">
        <f t="shared" ref="M43:M91" si="14">IF(K43&gt;0,L43/K43,0)/1000</f>
        <v>0.1971618718904217</v>
      </c>
      <c r="N43" s="91">
        <f t="shared" ref="N43:N91" si="15">L43/H43</f>
        <v>4.570409270574171E-2</v>
      </c>
      <c r="P43" s="86">
        <f t="shared" si="6"/>
        <v>14.285714285714199</v>
      </c>
      <c r="Q43" s="47">
        <f t="shared" si="7"/>
        <v>5.94728739443336</v>
      </c>
      <c r="R43" s="87">
        <f t="shared" ref="R43:R91" si="16">D43</f>
        <v>4.89275216519202E-2</v>
      </c>
      <c r="S43" s="47">
        <f t="shared" si="8"/>
        <v>0.21106735053160314</v>
      </c>
      <c r="T43" s="88">
        <f t="shared" si="9"/>
        <v>5.9472873944333662</v>
      </c>
      <c r="U43" s="88">
        <f t="shared" si="10"/>
        <v>211.06735053160313</v>
      </c>
      <c r="V43" s="88">
        <f t="shared" si="11"/>
        <v>4.8927521651919932</v>
      </c>
    </row>
    <row r="44" spans="1:22" x14ac:dyDescent="0.2">
      <c r="A44" s="80">
        <v>3</v>
      </c>
      <c r="B44" s="81">
        <v>28.571428571428498</v>
      </c>
      <c r="C44" s="82">
        <v>5.8806628868383104</v>
      </c>
      <c r="D44" s="82">
        <v>9.4820096230171194E-2</v>
      </c>
      <c r="E44" s="75">
        <v>0.20099473765430401</v>
      </c>
      <c r="G44" s="89">
        <f t="shared" si="2"/>
        <v>5.8806628868383175</v>
      </c>
      <c r="H44" s="90">
        <f t="shared" si="3"/>
        <v>209.07936587424473</v>
      </c>
      <c r="I44" s="90">
        <f t="shared" si="12"/>
        <v>0.20907936587424472</v>
      </c>
      <c r="J44" s="90">
        <f t="shared" si="4"/>
        <v>9.482009623017106</v>
      </c>
      <c r="K44" s="90">
        <f t="shared" si="13"/>
        <v>9.4820096230171055E-2</v>
      </c>
      <c r="L44" s="90">
        <f t="shared" si="5"/>
        <v>19.077150436469474</v>
      </c>
      <c r="M44" s="90">
        <f t="shared" si="14"/>
        <v>0.20119311406477211</v>
      </c>
      <c r="N44" s="91">
        <f t="shared" si="15"/>
        <v>9.1243582821768435E-2</v>
      </c>
      <c r="P44" s="86">
        <f t="shared" si="6"/>
        <v>28.571428571428495</v>
      </c>
      <c r="Q44" s="47">
        <f t="shared" si="7"/>
        <v>5.8806628868383104</v>
      </c>
      <c r="R44" s="87">
        <f t="shared" si="16"/>
        <v>9.4820096230171194E-2</v>
      </c>
      <c r="S44" s="47">
        <f t="shared" si="8"/>
        <v>0.20907936587424472</v>
      </c>
      <c r="T44" s="88">
        <f t="shared" si="9"/>
        <v>5.8806628868383175</v>
      </c>
      <c r="U44" s="88">
        <f t="shared" si="10"/>
        <v>209.07936587424473</v>
      </c>
      <c r="V44" s="88">
        <f t="shared" si="11"/>
        <v>9.482009623017106</v>
      </c>
    </row>
    <row r="45" spans="1:22" x14ac:dyDescent="0.2">
      <c r="A45" s="80">
        <v>4</v>
      </c>
      <c r="B45" s="81">
        <v>42.857142857142797</v>
      </c>
      <c r="C45" s="82">
        <v>5.7930963797075803</v>
      </c>
      <c r="D45" s="82">
        <v>0.13795922269791999</v>
      </c>
      <c r="E45" s="75">
        <v>0.20413151987550901</v>
      </c>
      <c r="G45" s="89">
        <f t="shared" si="2"/>
        <v>5.7930963797075892</v>
      </c>
      <c r="H45" s="90">
        <f t="shared" si="3"/>
        <v>207.62981780929618</v>
      </c>
      <c r="I45" s="90">
        <f t="shared" si="12"/>
        <v>0.20762981780929618</v>
      </c>
      <c r="J45" s="90">
        <f t="shared" si="4"/>
        <v>13.795922269791989</v>
      </c>
      <c r="K45" s="90">
        <f t="shared" si="13"/>
        <v>0.13795922269791988</v>
      </c>
      <c r="L45" s="90">
        <f t="shared" si="5"/>
        <v>28.189620776255598</v>
      </c>
      <c r="M45" s="90">
        <f t="shared" si="14"/>
        <v>0.20433299220582399</v>
      </c>
      <c r="N45" s="91">
        <f t="shared" si="15"/>
        <v>0.1357686534317879</v>
      </c>
      <c r="P45" s="86">
        <f t="shared" si="6"/>
        <v>42.857142857142797</v>
      </c>
      <c r="Q45" s="47">
        <f t="shared" si="7"/>
        <v>5.7930963797075803</v>
      </c>
      <c r="R45" s="87">
        <f t="shared" si="16"/>
        <v>0.13795922269791999</v>
      </c>
      <c r="S45" s="47">
        <f t="shared" si="8"/>
        <v>0.20762981780929618</v>
      </c>
      <c r="T45" s="88">
        <f t="shared" si="9"/>
        <v>5.7930963797075892</v>
      </c>
      <c r="U45" s="88">
        <f t="shared" si="10"/>
        <v>207.62981780929618</v>
      </c>
      <c r="V45" s="88">
        <f t="shared" si="11"/>
        <v>13.795922269791989</v>
      </c>
    </row>
    <row r="46" spans="1:22" x14ac:dyDescent="0.2">
      <c r="A46" s="80">
        <v>5</v>
      </c>
      <c r="B46" s="81">
        <v>57.142857142857103</v>
      </c>
      <c r="C46" s="82">
        <v>5.69073596627344</v>
      </c>
      <c r="D46" s="82">
        <v>0.178587393387349</v>
      </c>
      <c r="E46" s="75">
        <v>0.206541072670371</v>
      </c>
      <c r="G46" s="89">
        <f t="shared" si="2"/>
        <v>5.69073596627344</v>
      </c>
      <c r="H46" s="90">
        <f t="shared" si="3"/>
        <v>206.7053141481023</v>
      </c>
      <c r="I46" s="90">
        <f t="shared" si="12"/>
        <v>0.20670531414810231</v>
      </c>
      <c r="J46" s="90">
        <f t="shared" si="4"/>
        <v>17.858739338734967</v>
      </c>
      <c r="K46" s="90">
        <f t="shared" si="13"/>
        <v>0.17858739338734966</v>
      </c>
      <c r="L46" s="90">
        <f t="shared" si="5"/>
        <v>36.922036924035986</v>
      </c>
      <c r="M46" s="90">
        <f t="shared" si="14"/>
        <v>0.20674492316461224</v>
      </c>
      <c r="N46" s="91">
        <f t="shared" si="15"/>
        <v>0.1786216144282663</v>
      </c>
      <c r="P46" s="86">
        <f t="shared" si="6"/>
        <v>57.142857142857103</v>
      </c>
      <c r="Q46" s="47">
        <f t="shared" si="7"/>
        <v>5.69073596627344</v>
      </c>
      <c r="R46" s="87">
        <f t="shared" si="16"/>
        <v>0.178587393387349</v>
      </c>
      <c r="S46" s="47">
        <f t="shared" si="8"/>
        <v>0.20670531414810231</v>
      </c>
      <c r="T46" s="88">
        <f t="shared" si="9"/>
        <v>5.69073596627344</v>
      </c>
      <c r="U46" s="88">
        <f t="shared" si="10"/>
        <v>206.7053141481023</v>
      </c>
      <c r="V46" s="88">
        <f t="shared" si="11"/>
        <v>17.858739338734967</v>
      </c>
    </row>
    <row r="47" spans="1:22" x14ac:dyDescent="0.2">
      <c r="A47" s="80">
        <v>6</v>
      </c>
      <c r="B47" s="81">
        <v>71.428571428571402</v>
      </c>
      <c r="C47" s="82">
        <v>5.5789327668610298</v>
      </c>
      <c r="D47" s="82">
        <v>0.21692142991281599</v>
      </c>
      <c r="E47" s="75">
        <v>0.20837589236111501</v>
      </c>
      <c r="G47" s="89">
        <f t="shared" si="2"/>
        <v>5.5789327668610325</v>
      </c>
      <c r="H47" s="90">
        <f t="shared" si="3"/>
        <v>206.29083793198146</v>
      </c>
      <c r="I47" s="90">
        <f t="shared" si="12"/>
        <v>0.20629083793198147</v>
      </c>
      <c r="J47" s="90">
        <f t="shared" si="4"/>
        <v>21.692142991281617</v>
      </c>
      <c r="K47" s="90">
        <f t="shared" si="13"/>
        <v>0.21692142991281618</v>
      </c>
      <c r="L47" s="90">
        <f t="shared" si="5"/>
        <v>45.245808897905661</v>
      </c>
      <c r="M47" s="90">
        <f t="shared" si="14"/>
        <v>0.2085815537731362</v>
      </c>
      <c r="N47" s="91">
        <f t="shared" si="15"/>
        <v>0.21933019106172899</v>
      </c>
      <c r="P47" s="86">
        <f t="shared" si="6"/>
        <v>71.428571428571402</v>
      </c>
      <c r="Q47" s="47">
        <f t="shared" si="7"/>
        <v>5.5789327668610298</v>
      </c>
      <c r="R47" s="87">
        <f t="shared" si="16"/>
        <v>0.21692142991281599</v>
      </c>
      <c r="S47" s="47">
        <f t="shared" si="8"/>
        <v>0.20629083793198147</v>
      </c>
      <c r="T47" s="88">
        <f t="shared" si="9"/>
        <v>5.5789327668610325</v>
      </c>
      <c r="U47" s="88">
        <f t="shared" si="10"/>
        <v>206.29083793198146</v>
      </c>
      <c r="V47" s="88">
        <f t="shared" si="11"/>
        <v>21.692142991281617</v>
      </c>
    </row>
    <row r="48" spans="1:22" x14ac:dyDescent="0.2">
      <c r="A48" s="80">
        <v>7</v>
      </c>
      <c r="B48" s="81">
        <v>85.714285714285694</v>
      </c>
      <c r="C48" s="82">
        <v>5.4622815902418296</v>
      </c>
      <c r="D48" s="82">
        <v>0.25315344994836297</v>
      </c>
      <c r="E48" s="75">
        <v>0.20978299645575399</v>
      </c>
      <c r="G48" s="89">
        <f t="shared" si="2"/>
        <v>5.4622815902418331</v>
      </c>
      <c r="H48" s="90">
        <f t="shared" si="3"/>
        <v>206.36974743222555</v>
      </c>
      <c r="I48" s="90">
        <f t="shared" si="12"/>
        <v>0.20636974743222555</v>
      </c>
      <c r="J48" s="90">
        <f t="shared" si="4"/>
        <v>25.315344994836334</v>
      </c>
      <c r="K48" s="90">
        <f t="shared" si="13"/>
        <v>0.25315344994836336</v>
      </c>
      <c r="L48" s="90">
        <f t="shared" si="5"/>
        <v>53.159704762174933</v>
      </c>
      <c r="M48" s="90">
        <f t="shared" si="14"/>
        <v>0.20999004664174281</v>
      </c>
      <c r="N48" s="91">
        <f t="shared" si="15"/>
        <v>0.25759446538855341</v>
      </c>
      <c r="P48" s="86">
        <f t="shared" si="6"/>
        <v>85.714285714285694</v>
      </c>
      <c r="Q48" s="47">
        <f t="shared" si="7"/>
        <v>5.4622815902418296</v>
      </c>
      <c r="R48" s="87">
        <f t="shared" si="16"/>
        <v>0.25315344994836297</v>
      </c>
      <c r="S48" s="47">
        <f t="shared" si="8"/>
        <v>0.20636974743222555</v>
      </c>
      <c r="T48" s="88">
        <f t="shared" si="9"/>
        <v>5.4622815902418331</v>
      </c>
      <c r="U48" s="88">
        <f t="shared" si="10"/>
        <v>206.36974743222555</v>
      </c>
      <c r="V48" s="88">
        <f t="shared" si="11"/>
        <v>25.315344994836334</v>
      </c>
    </row>
    <row r="49" spans="1:22" x14ac:dyDescent="0.2">
      <c r="A49" s="80">
        <v>8</v>
      </c>
      <c r="B49" s="81">
        <v>100</v>
      </c>
      <c r="C49" s="82">
        <v>5.3446615949870004</v>
      </c>
      <c r="D49" s="82">
        <v>0.28745183400523999</v>
      </c>
      <c r="E49" s="75">
        <v>0.210902616558997</v>
      </c>
      <c r="G49" s="89">
        <f t="shared" si="2"/>
        <v>5.3446615949870004</v>
      </c>
      <c r="H49" s="90">
        <f t="shared" si="3"/>
        <v>206.9237761501</v>
      </c>
      <c r="I49" s="90">
        <f t="shared" si="12"/>
        <v>0.20692377615009999</v>
      </c>
      <c r="J49" s="90">
        <f t="shared" si="4"/>
        <v>28.745183400524002</v>
      </c>
      <c r="K49" s="90">
        <f t="shared" si="13"/>
        <v>0.28745183400524005</v>
      </c>
      <c r="L49" s="90">
        <f t="shared" si="5"/>
        <v>60.684178526414897</v>
      </c>
      <c r="M49" s="90">
        <f t="shared" si="14"/>
        <v>0.21111077177997292</v>
      </c>
      <c r="N49" s="91">
        <f t="shared" si="15"/>
        <v>0.29326827325244309</v>
      </c>
      <c r="P49" s="86">
        <f t="shared" si="6"/>
        <v>100</v>
      </c>
      <c r="Q49" s="47">
        <f t="shared" si="7"/>
        <v>5.3446615949870004</v>
      </c>
      <c r="R49" s="87">
        <f t="shared" si="16"/>
        <v>0.28745183400523999</v>
      </c>
      <c r="S49" s="47">
        <f t="shared" si="8"/>
        <v>0.20692377615009999</v>
      </c>
      <c r="T49" s="88">
        <f t="shared" si="9"/>
        <v>5.3446615949870004</v>
      </c>
      <c r="U49" s="88">
        <f t="shared" si="10"/>
        <v>206.9237761501</v>
      </c>
      <c r="V49" s="88">
        <f t="shared" si="11"/>
        <v>28.745183400524002</v>
      </c>
    </row>
    <row r="50" spans="1:22" x14ac:dyDescent="0.2">
      <c r="A50" s="80">
        <v>9</v>
      </c>
      <c r="B50" s="81">
        <v>114.28571428571399</v>
      </c>
      <c r="C50" s="82">
        <v>5.2292769508207604</v>
      </c>
      <c r="D50" s="82">
        <v>0.31996219220941502</v>
      </c>
      <c r="E50" s="75">
        <v>0.21186624328970999</v>
      </c>
      <c r="G50" s="89">
        <f t="shared" si="2"/>
        <v>5.2292769508207675</v>
      </c>
      <c r="H50" s="90">
        <f t="shared" si="3"/>
        <v>207.93303281684365</v>
      </c>
      <c r="I50" s="90">
        <f t="shared" si="12"/>
        <v>0.20793303281684364</v>
      </c>
      <c r="J50" s="90">
        <f t="shared" si="4"/>
        <v>31.996219220941473</v>
      </c>
      <c r="K50" s="90">
        <f t="shared" si="13"/>
        <v>0.31996219220941474</v>
      </c>
      <c r="L50" s="90">
        <f t="shared" si="5"/>
        <v>67.856093766602555</v>
      </c>
      <c r="M50" s="90">
        <f t="shared" si="14"/>
        <v>0.21207534958439983</v>
      </c>
      <c r="N50" s="91">
        <f t="shared" si="15"/>
        <v>0.32633628648302898</v>
      </c>
      <c r="P50" s="86">
        <f t="shared" si="6"/>
        <v>114.28571428571398</v>
      </c>
      <c r="Q50" s="47">
        <f t="shared" si="7"/>
        <v>5.2292769508207604</v>
      </c>
      <c r="R50" s="87">
        <f t="shared" si="16"/>
        <v>0.31996219220941502</v>
      </c>
      <c r="S50" s="47">
        <f t="shared" si="8"/>
        <v>0.20793303281684364</v>
      </c>
      <c r="T50" s="88">
        <f t="shared" si="9"/>
        <v>5.2292769508207675</v>
      </c>
      <c r="U50" s="88">
        <f t="shared" si="10"/>
        <v>207.93303281684365</v>
      </c>
      <c r="V50" s="88">
        <f t="shared" si="11"/>
        <v>31.996219220941459</v>
      </c>
    </row>
    <row r="51" spans="1:22" x14ac:dyDescent="0.2">
      <c r="A51" s="80">
        <v>10</v>
      </c>
      <c r="B51" s="81">
        <v>128.57142857142799</v>
      </c>
      <c r="C51" s="82">
        <v>5.1186974999738402</v>
      </c>
      <c r="D51" s="82">
        <v>0.35080833107909498</v>
      </c>
      <c r="E51" s="75">
        <v>0.21279473332225399</v>
      </c>
      <c r="G51" s="89">
        <f t="shared" si="2"/>
        <v>5.1186974999738455</v>
      </c>
      <c r="H51" s="90">
        <f t="shared" si="3"/>
        <v>209.37600139366887</v>
      </c>
      <c r="I51" s="90">
        <f t="shared" si="12"/>
        <v>0.20937600139366888</v>
      </c>
      <c r="J51" s="90">
        <f t="shared" si="4"/>
        <v>35.08083310790937</v>
      </c>
      <c r="K51" s="90">
        <f t="shared" si="13"/>
        <v>0.3508083310790937</v>
      </c>
      <c r="L51" s="90">
        <f t="shared" si="5"/>
        <v>74.723842968367777</v>
      </c>
      <c r="M51" s="90">
        <f t="shared" si="14"/>
        <v>0.2130047560116822</v>
      </c>
      <c r="N51" s="91">
        <f t="shared" si="15"/>
        <v>0.35688828935018185</v>
      </c>
      <c r="P51" s="86">
        <f t="shared" si="6"/>
        <v>128.57142857142799</v>
      </c>
      <c r="Q51" s="47">
        <f t="shared" si="7"/>
        <v>5.1186974999738402</v>
      </c>
      <c r="R51" s="87">
        <f t="shared" si="16"/>
        <v>0.35080833107909498</v>
      </c>
      <c r="S51" s="47">
        <f t="shared" si="8"/>
        <v>0.20937600139366888</v>
      </c>
      <c r="T51" s="88">
        <f t="shared" si="9"/>
        <v>5.1186974999738455</v>
      </c>
      <c r="U51" s="88">
        <f t="shared" si="10"/>
        <v>209.37600139366887</v>
      </c>
      <c r="V51" s="88">
        <f t="shared" si="11"/>
        <v>35.08083310790937</v>
      </c>
    </row>
    <row r="52" spans="1:22" x14ac:dyDescent="0.2">
      <c r="A52" s="80">
        <v>11</v>
      </c>
      <c r="B52" s="81">
        <v>142.85714285714201</v>
      </c>
      <c r="C52" s="82">
        <v>5.0148994185367997</v>
      </c>
      <c r="D52" s="82">
        <v>0.38009322030223702</v>
      </c>
      <c r="E52" s="75">
        <v>0.21379665352937499</v>
      </c>
      <c r="G52" s="89">
        <f t="shared" si="2"/>
        <v>5.014899418536805</v>
      </c>
      <c r="H52" s="90">
        <f t="shared" si="3"/>
        <v>211.22954107176164</v>
      </c>
      <c r="I52" s="90">
        <f t="shared" si="12"/>
        <v>0.21122954107176165</v>
      </c>
      <c r="J52" s="90">
        <f t="shared" si="4"/>
        <v>38.009322030223565</v>
      </c>
      <c r="K52" s="90">
        <f t="shared" si="13"/>
        <v>0.38009322030223563</v>
      </c>
      <c r="L52" s="90">
        <f t="shared" si="5"/>
        <v>81.342862592337482</v>
      </c>
      <c r="M52" s="90">
        <f t="shared" si="14"/>
        <v>0.21400766508715083</v>
      </c>
      <c r="N52" s="91">
        <f t="shared" si="15"/>
        <v>0.38509226588104278</v>
      </c>
      <c r="P52" s="86">
        <f t="shared" si="6"/>
        <v>142.85714285714201</v>
      </c>
      <c r="Q52" s="47">
        <f t="shared" si="7"/>
        <v>5.0148994185367997</v>
      </c>
      <c r="R52" s="87">
        <f t="shared" si="16"/>
        <v>0.38009322030223702</v>
      </c>
      <c r="S52" s="47">
        <f t="shared" si="8"/>
        <v>0.21122954107176165</v>
      </c>
      <c r="T52" s="88">
        <f t="shared" si="9"/>
        <v>5.014899418536805</v>
      </c>
      <c r="U52" s="88">
        <f t="shared" si="10"/>
        <v>211.22954107176164</v>
      </c>
      <c r="V52" s="88">
        <f t="shared" si="11"/>
        <v>38.009322030223565</v>
      </c>
    </row>
    <row r="53" spans="1:22" x14ac:dyDescent="0.2">
      <c r="A53" s="80">
        <v>12</v>
      </c>
      <c r="B53" s="81">
        <v>157.142857142857</v>
      </c>
      <c r="C53" s="82">
        <v>4.9193058778134597</v>
      </c>
      <c r="D53" s="82">
        <v>0.40789995951406899</v>
      </c>
      <c r="E53" s="75">
        <v>0.214966927733442</v>
      </c>
      <c r="G53" s="89">
        <f t="shared" si="2"/>
        <v>4.9193058778134677</v>
      </c>
      <c r="H53" s="90">
        <f t="shared" si="3"/>
        <v>213.46888627228157</v>
      </c>
      <c r="I53" s="90">
        <f t="shared" si="12"/>
        <v>0.21346888627228155</v>
      </c>
      <c r="J53" s="90">
        <f t="shared" si="4"/>
        <v>40.789995951406901</v>
      </c>
      <c r="K53" s="90">
        <f t="shared" si="13"/>
        <v>0.40789995951406899</v>
      </c>
      <c r="L53" s="90">
        <f t="shared" si="5"/>
        <v>87.771543861582344</v>
      </c>
      <c r="M53" s="90">
        <f t="shared" si="14"/>
        <v>0.21517909432044205</v>
      </c>
      <c r="N53" s="91">
        <f t="shared" si="15"/>
        <v>0.41116785398706263</v>
      </c>
      <c r="P53" s="86">
        <f t="shared" si="6"/>
        <v>157.142857142857</v>
      </c>
      <c r="Q53" s="47">
        <f t="shared" si="7"/>
        <v>4.9193058778134597</v>
      </c>
      <c r="R53" s="87">
        <f t="shared" si="16"/>
        <v>0.40789995951406899</v>
      </c>
      <c r="S53" s="47">
        <f t="shared" si="8"/>
        <v>0.21346888627228155</v>
      </c>
      <c r="T53" s="88">
        <f t="shared" si="9"/>
        <v>4.9193058778134677</v>
      </c>
      <c r="U53" s="88">
        <f t="shared" si="10"/>
        <v>213.46888627228157</v>
      </c>
      <c r="V53" s="88">
        <f t="shared" si="11"/>
        <v>40.789995951406901</v>
      </c>
    </row>
    <row r="54" spans="1:22" x14ac:dyDescent="0.2">
      <c r="A54" s="80">
        <v>13</v>
      </c>
      <c r="B54" s="81">
        <v>171.42857142857099</v>
      </c>
      <c r="C54" s="82">
        <v>4.8328277056743101</v>
      </c>
      <c r="D54" s="82">
        <v>0.43429274507460203</v>
      </c>
      <c r="E54" s="75">
        <v>0.21638581289516201</v>
      </c>
      <c r="G54" s="89">
        <f t="shared" si="2"/>
        <v>4.8328277056743154</v>
      </c>
      <c r="H54" s="90">
        <f t="shared" si="3"/>
        <v>216.06764664636125</v>
      </c>
      <c r="I54" s="90">
        <f t="shared" si="12"/>
        <v>0.21606764664636124</v>
      </c>
      <c r="J54" s="90">
        <f t="shared" si="4"/>
        <v>43.429274507460207</v>
      </c>
      <c r="K54" s="90">
        <f t="shared" si="13"/>
        <v>0.43429274507460208</v>
      </c>
      <c r="L54" s="90">
        <f t="shared" si="5"/>
        <v>94.067539271160442</v>
      </c>
      <c r="M54" s="90">
        <f t="shared" si="14"/>
        <v>0.21659937988372724</v>
      </c>
      <c r="N54" s="91">
        <f t="shared" si="15"/>
        <v>0.43536152094589686</v>
      </c>
      <c r="P54" s="86">
        <f t="shared" si="6"/>
        <v>171.42857142857099</v>
      </c>
      <c r="Q54" s="47">
        <f t="shared" si="7"/>
        <v>4.8328277056743101</v>
      </c>
      <c r="R54" s="87">
        <f t="shared" si="16"/>
        <v>0.43429274507460203</v>
      </c>
      <c r="S54" s="47">
        <f t="shared" si="8"/>
        <v>0.21606764664636124</v>
      </c>
      <c r="T54" s="88">
        <f t="shared" si="9"/>
        <v>4.8328277056743154</v>
      </c>
      <c r="U54" s="88">
        <f t="shared" si="10"/>
        <v>216.06764664636125</v>
      </c>
      <c r="V54" s="88">
        <f t="shared" si="11"/>
        <v>43.429274507460207</v>
      </c>
    </row>
    <row r="55" spans="1:22" x14ac:dyDescent="0.2">
      <c r="A55" s="80">
        <v>14</v>
      </c>
      <c r="B55" s="81">
        <v>185.71428571428501</v>
      </c>
      <c r="C55" s="82">
        <v>4.7559040479098398</v>
      </c>
      <c r="D55" s="82">
        <v>0.45931783684614902</v>
      </c>
      <c r="E55" s="75">
        <v>0.21811820987698899</v>
      </c>
      <c r="G55" s="89">
        <f t="shared" si="2"/>
        <v>4.7559040479098496</v>
      </c>
      <c r="H55" s="90">
        <f t="shared" si="3"/>
        <v>218.99780707510735</v>
      </c>
      <c r="I55" s="90">
        <f t="shared" si="12"/>
        <v>0.21899780707510735</v>
      </c>
      <c r="J55" s="90">
        <f t="shared" si="4"/>
        <v>45.931783684614878</v>
      </c>
      <c r="K55" s="90">
        <f t="shared" si="13"/>
        <v>0.4593178368461488</v>
      </c>
      <c r="L55" s="90">
        <f t="shared" si="5"/>
        <v>100.28446481976513</v>
      </c>
      <c r="M55" s="90">
        <f t="shared" si="14"/>
        <v>0.2183334866948701</v>
      </c>
      <c r="N55" s="91">
        <f t="shared" si="15"/>
        <v>0.45792451604491013</v>
      </c>
      <c r="P55" s="86">
        <f t="shared" si="6"/>
        <v>185.71428571428498</v>
      </c>
      <c r="Q55" s="47">
        <f t="shared" si="7"/>
        <v>4.7559040479098398</v>
      </c>
      <c r="R55" s="87">
        <f t="shared" si="16"/>
        <v>0.45931783684614902</v>
      </c>
      <c r="S55" s="47">
        <f t="shared" si="8"/>
        <v>0.21899780707510735</v>
      </c>
      <c r="T55" s="88">
        <f t="shared" si="9"/>
        <v>4.7559040479098504</v>
      </c>
      <c r="U55" s="88">
        <f t="shared" si="10"/>
        <v>218.99780707510735</v>
      </c>
      <c r="V55" s="88">
        <f t="shared" si="11"/>
        <v>45.931783684614878</v>
      </c>
    </row>
    <row r="56" spans="1:22" x14ac:dyDescent="0.2">
      <c r="A56" s="80">
        <v>15</v>
      </c>
      <c r="B56" s="81">
        <v>200</v>
      </c>
      <c r="C56" s="82">
        <v>4.6885430295839896</v>
      </c>
      <c r="D56" s="82">
        <v>0.48300452497084001</v>
      </c>
      <c r="E56" s="75">
        <v>0.220213298287214</v>
      </c>
      <c r="G56" s="89">
        <f t="shared" si="2"/>
        <v>4.6885430295839985</v>
      </c>
      <c r="H56" s="90">
        <f t="shared" si="3"/>
        <v>222.22972766960001</v>
      </c>
      <c r="I56" s="90">
        <f t="shared" si="12"/>
        <v>0.2222297276696</v>
      </c>
      <c r="J56" s="90">
        <f t="shared" si="4"/>
        <v>48.300452497084002</v>
      </c>
      <c r="K56" s="90">
        <f t="shared" si="13"/>
        <v>0.48300452497084001</v>
      </c>
      <c r="L56" s="90">
        <f t="shared" si="5"/>
        <v>106.46899796346979</v>
      </c>
      <c r="M56" s="90">
        <f t="shared" si="14"/>
        <v>0.22043064290111475</v>
      </c>
      <c r="N56" s="91">
        <f t="shared" si="15"/>
        <v>0.47909430965852845</v>
      </c>
      <c r="P56" s="86">
        <f t="shared" si="6"/>
        <v>200</v>
      </c>
      <c r="Q56" s="47">
        <f t="shared" si="7"/>
        <v>4.6885430295839896</v>
      </c>
      <c r="R56" s="87">
        <f t="shared" si="16"/>
        <v>0.48300452497084001</v>
      </c>
      <c r="S56" s="47">
        <f t="shared" si="8"/>
        <v>0.2222297276696</v>
      </c>
      <c r="T56" s="88">
        <f t="shared" si="9"/>
        <v>4.6885430295839985</v>
      </c>
      <c r="U56" s="88">
        <f t="shared" si="10"/>
        <v>222.22972766960001</v>
      </c>
      <c r="V56" s="88">
        <f t="shared" si="11"/>
        <v>48.300452497084002</v>
      </c>
    </row>
    <row r="57" spans="1:22" x14ac:dyDescent="0.2">
      <c r="A57" s="80">
        <v>16</v>
      </c>
      <c r="B57" s="81">
        <v>214.28571428571399</v>
      </c>
      <c r="C57" s="82">
        <v>4.6303624163875199</v>
      </c>
      <c r="D57" s="82">
        <v>0.50536609664813403</v>
      </c>
      <c r="E57" s="75">
        <v>0.222704472824657</v>
      </c>
      <c r="G57" s="89">
        <f t="shared" si="2"/>
        <v>4.6303624163875261</v>
      </c>
      <c r="H57" s="90">
        <f t="shared" si="3"/>
        <v>225.73214377089229</v>
      </c>
      <c r="I57" s="90">
        <f t="shared" si="12"/>
        <v>0.22573214377089229</v>
      </c>
      <c r="J57" s="90">
        <f t="shared" si="4"/>
        <v>50.53660966481344</v>
      </c>
      <c r="K57" s="90">
        <f t="shared" si="13"/>
        <v>0.50536609664813437</v>
      </c>
      <c r="L57" s="90">
        <f t="shared" si="5"/>
        <v>112.6583712915712</v>
      </c>
      <c r="M57" s="90">
        <f t="shared" si="14"/>
        <v>0.22292427616095228</v>
      </c>
      <c r="N57" s="91">
        <f t="shared" si="15"/>
        <v>0.4990798802934962</v>
      </c>
      <c r="P57" s="86">
        <f t="shared" si="6"/>
        <v>214.28571428571399</v>
      </c>
      <c r="Q57" s="47">
        <f t="shared" si="7"/>
        <v>4.6303624163875199</v>
      </c>
      <c r="R57" s="87">
        <f t="shared" si="16"/>
        <v>0.50536609664813403</v>
      </c>
      <c r="S57" s="47">
        <f t="shared" si="8"/>
        <v>0.22573214377089229</v>
      </c>
      <c r="T57" s="88">
        <f t="shared" si="9"/>
        <v>4.6303624163875261</v>
      </c>
      <c r="U57" s="88">
        <f t="shared" si="10"/>
        <v>225.73214377089229</v>
      </c>
      <c r="V57" s="88">
        <f t="shared" si="11"/>
        <v>50.53660966481344</v>
      </c>
    </row>
    <row r="58" spans="1:22" x14ac:dyDescent="0.2">
      <c r="A58" s="80">
        <v>17</v>
      </c>
      <c r="B58" s="81">
        <v>228.57142857142799</v>
      </c>
      <c r="C58" s="82">
        <v>4.5806302759913704</v>
      </c>
      <c r="D58" s="82">
        <v>0.52640080291234403</v>
      </c>
      <c r="E58" s="75">
        <v>0.22560954941791</v>
      </c>
      <c r="G58" s="89">
        <f t="shared" si="2"/>
        <v>4.5806302759913811</v>
      </c>
      <c r="H58" s="90">
        <f t="shared" si="3"/>
        <v>229.47216595001137</v>
      </c>
      <c r="I58" s="90">
        <f t="shared" si="12"/>
        <v>0.22947216595001138</v>
      </c>
      <c r="J58" s="90">
        <f t="shared" si="4"/>
        <v>52.640080291234433</v>
      </c>
      <c r="K58" s="90">
        <f t="shared" si="13"/>
        <v>0.52640080291234437</v>
      </c>
      <c r="L58" s="90">
        <f t="shared" si="5"/>
        <v>118.87826192453767</v>
      </c>
      <c r="M58" s="90">
        <f t="shared" si="14"/>
        <v>0.22583221998681702</v>
      </c>
      <c r="N58" s="91">
        <f t="shared" si="15"/>
        <v>0.51805089925561743</v>
      </c>
      <c r="P58" s="86">
        <f t="shared" si="6"/>
        <v>228.57142857142796</v>
      </c>
      <c r="Q58" s="47">
        <f t="shared" si="7"/>
        <v>4.5806302759913704</v>
      </c>
      <c r="R58" s="87">
        <f t="shared" si="16"/>
        <v>0.52640080291234403</v>
      </c>
      <c r="S58" s="47">
        <f t="shared" si="8"/>
        <v>0.22947216595001138</v>
      </c>
      <c r="T58" s="88">
        <f t="shared" si="9"/>
        <v>4.5806302759913811</v>
      </c>
      <c r="U58" s="88">
        <f t="shared" si="10"/>
        <v>229.47216595001137</v>
      </c>
      <c r="V58" s="88">
        <f t="shared" si="11"/>
        <v>52.640080291234426</v>
      </c>
    </row>
    <row r="59" spans="1:22" x14ac:dyDescent="0.2">
      <c r="A59" s="80">
        <v>18</v>
      </c>
      <c r="B59" s="81">
        <v>242.85714285714201</v>
      </c>
      <c r="C59" s="82">
        <v>4.5383056394001198</v>
      </c>
      <c r="D59" s="82">
        <v>0.54609282541014603</v>
      </c>
      <c r="E59" s="75">
        <v>0.22893120311294601</v>
      </c>
      <c r="G59" s="89">
        <f t="shared" si="2"/>
        <v>4.5383056394001233</v>
      </c>
      <c r="H59" s="90">
        <f t="shared" si="3"/>
        <v>233.41528000795773</v>
      </c>
      <c r="I59" s="90">
        <f t="shared" si="12"/>
        <v>0.23341528000795772</v>
      </c>
      <c r="J59" s="90">
        <f t="shared" si="4"/>
        <v>54.609282541014522</v>
      </c>
      <c r="K59" s="90">
        <f t="shared" si="13"/>
        <v>0.54609282541014526</v>
      </c>
      <c r="L59" s="90">
        <f t="shared" si="5"/>
        <v>125.14107663405348</v>
      </c>
      <c r="M59" s="90">
        <f t="shared" si="14"/>
        <v>0.22915715206488155</v>
      </c>
      <c r="N59" s="91">
        <f t="shared" si="15"/>
        <v>0.53613061077144175</v>
      </c>
      <c r="P59" s="86">
        <f t="shared" si="6"/>
        <v>242.85714285714204</v>
      </c>
      <c r="Q59" s="47">
        <f t="shared" si="7"/>
        <v>4.5383056394001198</v>
      </c>
      <c r="R59" s="87">
        <f t="shared" si="16"/>
        <v>0.54609282541014603</v>
      </c>
      <c r="S59" s="47">
        <f t="shared" si="8"/>
        <v>0.23341528000795772</v>
      </c>
      <c r="T59" s="88">
        <f t="shared" si="9"/>
        <v>4.5383056394001242</v>
      </c>
      <c r="U59" s="88">
        <f t="shared" si="10"/>
        <v>233.41528000795773</v>
      </c>
      <c r="V59" s="88">
        <f t="shared" si="11"/>
        <v>54.609282541014529</v>
      </c>
    </row>
    <row r="60" spans="1:22" x14ac:dyDescent="0.2">
      <c r="A60" s="80">
        <v>19</v>
      </c>
      <c r="B60" s="81">
        <v>257.142857142857</v>
      </c>
      <c r="C60" s="82">
        <v>4.5020791623053</v>
      </c>
      <c r="D60" s="82">
        <v>0.56441324317809505</v>
      </c>
      <c r="E60" s="75">
        <v>0.23265759594499899</v>
      </c>
      <c r="G60" s="89">
        <f t="shared" si="2"/>
        <v>4.5020791623053018</v>
      </c>
      <c r="H60" s="90">
        <f t="shared" si="3"/>
        <v>237.52534697570576</v>
      </c>
      <c r="I60" s="90">
        <f t="shared" si="12"/>
        <v>0.23752534697570576</v>
      </c>
      <c r="J60" s="90">
        <f t="shared" si="4"/>
        <v>56.441324317809489</v>
      </c>
      <c r="K60" s="90">
        <f t="shared" si="13"/>
        <v>0.56441324317809494</v>
      </c>
      <c r="L60" s="90">
        <f t="shared" si="5"/>
        <v>131.44463268516358</v>
      </c>
      <c r="M60" s="90">
        <f t="shared" si="14"/>
        <v>0.23288722274662776</v>
      </c>
      <c r="N60" s="91">
        <f t="shared" si="15"/>
        <v>0.55339202471981996</v>
      </c>
      <c r="P60" s="86">
        <f t="shared" si="6"/>
        <v>257.142857142857</v>
      </c>
      <c r="Q60" s="47">
        <f t="shared" si="7"/>
        <v>4.5020791623053</v>
      </c>
      <c r="R60" s="87">
        <f t="shared" si="16"/>
        <v>0.56441324317809505</v>
      </c>
      <c r="S60" s="47">
        <f t="shared" si="8"/>
        <v>0.23752534697570576</v>
      </c>
      <c r="T60" s="88">
        <f t="shared" si="9"/>
        <v>4.5020791623053018</v>
      </c>
      <c r="U60" s="88">
        <f t="shared" si="10"/>
        <v>237.52534697570576</v>
      </c>
      <c r="V60" s="88">
        <f t="shared" si="11"/>
        <v>56.441324317809489</v>
      </c>
    </row>
    <row r="61" spans="1:22" x14ac:dyDescent="0.2">
      <c r="A61" s="80">
        <v>20</v>
      </c>
      <c r="B61" s="81">
        <v>271.42857142857099</v>
      </c>
      <c r="C61" s="82">
        <v>4.47041378643884</v>
      </c>
      <c r="D61" s="82">
        <v>0.58132099942014404</v>
      </c>
      <c r="E61" s="75">
        <v>0.23676315168502099</v>
      </c>
      <c r="G61" s="89">
        <f t="shared" si="2"/>
        <v>4.4704137864388462</v>
      </c>
      <c r="H61" s="90">
        <f t="shared" si="3"/>
        <v>241.76460311420234</v>
      </c>
      <c r="I61" s="90">
        <f t="shared" si="12"/>
        <v>0.24176460311420234</v>
      </c>
      <c r="J61" s="90">
        <f t="shared" si="4"/>
        <v>58.132099942014392</v>
      </c>
      <c r="K61" s="90">
        <f t="shared" si="13"/>
        <v>0.58132099942014392</v>
      </c>
      <c r="L61" s="90">
        <f t="shared" si="5"/>
        <v>137.77123440051821</v>
      </c>
      <c r="M61" s="90">
        <f t="shared" si="14"/>
        <v>0.23699683055995269</v>
      </c>
      <c r="N61" s="91">
        <f t="shared" si="15"/>
        <v>0.56985692953339084</v>
      </c>
      <c r="P61" s="86">
        <f t="shared" si="6"/>
        <v>271.42857142857099</v>
      </c>
      <c r="Q61" s="47">
        <f t="shared" si="7"/>
        <v>4.47041378643884</v>
      </c>
      <c r="R61" s="87">
        <f t="shared" si="16"/>
        <v>0.58132099942014404</v>
      </c>
      <c r="S61" s="47">
        <f t="shared" si="8"/>
        <v>0.24176460311420234</v>
      </c>
      <c r="T61" s="88">
        <f t="shared" si="9"/>
        <v>4.4704137864388462</v>
      </c>
      <c r="U61" s="88">
        <f t="shared" si="10"/>
        <v>241.76460311420234</v>
      </c>
      <c r="V61" s="88">
        <f t="shared" si="11"/>
        <v>58.132099942014392</v>
      </c>
    </row>
    <row r="62" spans="1:22" x14ac:dyDescent="0.2">
      <c r="A62" s="80">
        <v>21</v>
      </c>
      <c r="B62" s="81">
        <v>285.71428571428498</v>
      </c>
      <c r="C62" s="82">
        <v>4.4415854009264599</v>
      </c>
      <c r="D62" s="82">
        <v>0.59676386828516104</v>
      </c>
      <c r="E62" s="75">
        <v>0.241209435039936</v>
      </c>
      <c r="G62" s="89">
        <f t="shared" si="2"/>
        <v>4.4415854009264608</v>
      </c>
      <c r="H62" s="90">
        <f t="shared" si="3"/>
        <v>246.09365991436877</v>
      </c>
      <c r="I62" s="90">
        <f t="shared" si="12"/>
        <v>0.24609365991436877</v>
      </c>
      <c r="J62" s="90">
        <f t="shared" si="4"/>
        <v>59.676386828516023</v>
      </c>
      <c r="K62" s="90">
        <f t="shared" si="13"/>
        <v>0.59676386828516026</v>
      </c>
      <c r="L62" s="90">
        <f t="shared" si="5"/>
        <v>144.08714544672111</v>
      </c>
      <c r="M62" s="90">
        <f t="shared" si="14"/>
        <v>0.24144750227718192</v>
      </c>
      <c r="N62" s="91">
        <f t="shared" si="15"/>
        <v>0.58549718630239378</v>
      </c>
      <c r="P62" s="86">
        <f t="shared" si="6"/>
        <v>285.71428571428498</v>
      </c>
      <c r="Q62" s="47">
        <f t="shared" si="7"/>
        <v>4.4415854009264599</v>
      </c>
      <c r="R62" s="87">
        <f t="shared" si="16"/>
        <v>0.59676386828516104</v>
      </c>
      <c r="S62" s="47">
        <f t="shared" si="8"/>
        <v>0.24609365991436877</v>
      </c>
      <c r="T62" s="88">
        <f t="shared" si="9"/>
        <v>4.4415854009264608</v>
      </c>
      <c r="U62" s="88">
        <f t="shared" si="10"/>
        <v>246.09365991436877</v>
      </c>
      <c r="V62" s="88">
        <f t="shared" si="11"/>
        <v>59.676386828516023</v>
      </c>
    </row>
    <row r="63" spans="1:22" x14ac:dyDescent="0.2">
      <c r="A63" s="80">
        <v>22</v>
      </c>
      <c r="B63" s="81">
        <v>300</v>
      </c>
      <c r="C63" s="82">
        <v>4.4137235036410001</v>
      </c>
      <c r="D63" s="82">
        <v>0.61067942164444</v>
      </c>
      <c r="E63" s="75">
        <v>0.245946095212903</v>
      </c>
      <c r="G63" s="89">
        <f t="shared" si="2"/>
        <v>4.4137235036410001</v>
      </c>
      <c r="H63" s="90">
        <f t="shared" si="3"/>
        <v>250.47150409710005</v>
      </c>
      <c r="I63" s="90">
        <f t="shared" si="12"/>
        <v>0.25047150409710006</v>
      </c>
      <c r="J63" s="90">
        <f t="shared" si="4"/>
        <v>61.06794216444402</v>
      </c>
      <c r="K63" s="90">
        <f t="shared" si="13"/>
        <v>0.61067942164444022</v>
      </c>
      <c r="L63" s="90">
        <f t="shared" si="5"/>
        <v>150.34245684277155</v>
      </c>
      <c r="M63" s="90">
        <f t="shared" si="14"/>
        <v>0.24618883740658679</v>
      </c>
      <c r="N63" s="91">
        <f t="shared" si="15"/>
        <v>0.60023776910162374</v>
      </c>
      <c r="P63" s="86">
        <f t="shared" si="6"/>
        <v>300</v>
      </c>
      <c r="Q63" s="47">
        <f t="shared" si="7"/>
        <v>4.4137235036410001</v>
      </c>
      <c r="R63" s="87">
        <f t="shared" si="16"/>
        <v>0.61067942164444</v>
      </c>
      <c r="S63" s="47">
        <f t="shared" si="8"/>
        <v>0.25047150409710006</v>
      </c>
      <c r="T63" s="88">
        <f t="shared" si="9"/>
        <v>4.4137235036410001</v>
      </c>
      <c r="U63" s="88">
        <f t="shared" si="10"/>
        <v>250.47150409710005</v>
      </c>
      <c r="V63" s="88">
        <f t="shared" si="11"/>
        <v>61.06794216444402</v>
      </c>
    </row>
    <row r="64" spans="1:22" x14ac:dyDescent="0.2">
      <c r="A64" s="80">
        <v>23</v>
      </c>
      <c r="B64" s="81">
        <v>314.28571428571399</v>
      </c>
      <c r="C64" s="82">
        <v>4.3848518625558803</v>
      </c>
      <c r="D64" s="82">
        <v>0.62299599586922105</v>
      </c>
      <c r="E64" s="75">
        <v>0.25091183727550498</v>
      </c>
      <c r="G64" s="89">
        <f t="shared" si="2"/>
        <v>4.3848518625558865</v>
      </c>
      <c r="H64" s="90">
        <f t="shared" si="3"/>
        <v>254.8554976132634</v>
      </c>
      <c r="I64" s="90">
        <f t="shared" si="12"/>
        <v>0.25485549761326337</v>
      </c>
      <c r="J64" s="90">
        <f t="shared" si="4"/>
        <v>62.299599586922149</v>
      </c>
      <c r="K64" s="90">
        <f t="shared" si="13"/>
        <v>0.6229959958692215</v>
      </c>
      <c r="L64" s="90">
        <f t="shared" si="5"/>
        <v>156.47135069061</v>
      </c>
      <c r="M64" s="90">
        <f t="shared" si="14"/>
        <v>0.25115948052330062</v>
      </c>
      <c r="N64" s="91">
        <f t="shared" si="15"/>
        <v>0.61396105697531866</v>
      </c>
      <c r="P64" s="86">
        <f t="shared" si="6"/>
        <v>314.28571428571399</v>
      </c>
      <c r="Q64" s="47">
        <f t="shared" si="7"/>
        <v>4.3848518625558803</v>
      </c>
      <c r="R64" s="87">
        <f t="shared" si="16"/>
        <v>0.62299599586922105</v>
      </c>
      <c r="S64" s="47">
        <f t="shared" si="8"/>
        <v>0.25485549761326337</v>
      </c>
      <c r="T64" s="88">
        <f t="shared" si="9"/>
        <v>4.3848518625558865</v>
      </c>
      <c r="U64" s="88">
        <f t="shared" si="10"/>
        <v>254.8554976132634</v>
      </c>
      <c r="V64" s="88">
        <f t="shared" si="11"/>
        <v>62.299599586922149</v>
      </c>
    </row>
    <row r="65" spans="1:22" x14ac:dyDescent="0.2">
      <c r="A65" s="80">
        <v>24</v>
      </c>
      <c r="B65" s="81">
        <v>328.57142857142799</v>
      </c>
      <c r="C65" s="82">
        <v>4.3529291770984697</v>
      </c>
      <c r="D65" s="82">
        <v>0.63363365860820697</v>
      </c>
      <c r="E65" s="75">
        <v>0.25603538916023</v>
      </c>
      <c r="G65" s="89">
        <f t="shared" si="2"/>
        <v>4.3529291770984813</v>
      </c>
      <c r="H65" s="90">
        <f t="shared" si="3"/>
        <v>259.20137764370082</v>
      </c>
      <c r="I65" s="90">
        <f t="shared" si="12"/>
        <v>0.25920137764370083</v>
      </c>
      <c r="J65" s="90">
        <f t="shared" si="4"/>
        <v>63.363365860820728</v>
      </c>
      <c r="K65" s="90">
        <f t="shared" si="13"/>
        <v>0.63363365860820731</v>
      </c>
      <c r="L65" s="90">
        <f t="shared" si="5"/>
        <v>162.39275962776557</v>
      </c>
      <c r="M65" s="90">
        <f t="shared" si="14"/>
        <v>0.256288089216197</v>
      </c>
      <c r="N65" s="91">
        <f t="shared" si="15"/>
        <v>0.62651194644108432</v>
      </c>
      <c r="P65" s="86">
        <f t="shared" si="6"/>
        <v>328.57142857142799</v>
      </c>
      <c r="Q65" s="47">
        <f t="shared" si="7"/>
        <v>4.3529291770984697</v>
      </c>
      <c r="R65" s="87">
        <f t="shared" si="16"/>
        <v>0.63363365860820697</v>
      </c>
      <c r="S65" s="47">
        <f t="shared" si="8"/>
        <v>0.25920137764370083</v>
      </c>
      <c r="T65" s="88">
        <f t="shared" si="9"/>
        <v>4.3529291770984813</v>
      </c>
      <c r="U65" s="88">
        <f t="shared" si="10"/>
        <v>259.20137764370082</v>
      </c>
      <c r="V65" s="88">
        <f t="shared" si="11"/>
        <v>63.363365860820728</v>
      </c>
    </row>
    <row r="66" spans="1:22" x14ac:dyDescent="0.2">
      <c r="A66" s="80">
        <v>25</v>
      </c>
      <c r="B66" s="81">
        <v>342.85714285714198</v>
      </c>
      <c r="C66" s="82">
        <v>4.3158897395034703</v>
      </c>
      <c r="D66" s="82">
        <v>0.64250517556507603</v>
      </c>
      <c r="E66" s="75">
        <v>0.26123643687754999</v>
      </c>
      <c r="G66" s="89">
        <f t="shared" si="2"/>
        <v>4.3158897395034774</v>
      </c>
      <c r="H66" s="90">
        <f t="shared" si="3"/>
        <v>263.46325659922735</v>
      </c>
      <c r="I66" s="90">
        <f t="shared" si="12"/>
        <v>0.26346325659922737</v>
      </c>
      <c r="J66" s="90">
        <f t="shared" si="4"/>
        <v>64.250517556507546</v>
      </c>
      <c r="K66" s="90">
        <f t="shared" si="13"/>
        <v>0.64250517556507547</v>
      </c>
      <c r="L66" s="90">
        <f t="shared" si="5"/>
        <v>168.01142200209895</v>
      </c>
      <c r="M66" s="90">
        <f t="shared" si="14"/>
        <v>0.2614942702279946</v>
      </c>
      <c r="N66" s="91">
        <f t="shared" si="15"/>
        <v>0.6377034284430525</v>
      </c>
      <c r="P66" s="86">
        <f t="shared" si="6"/>
        <v>342.85714285714198</v>
      </c>
      <c r="Q66" s="47">
        <f t="shared" si="7"/>
        <v>4.3158897395034703</v>
      </c>
      <c r="R66" s="87">
        <f t="shared" si="16"/>
        <v>0.64250517556507603</v>
      </c>
      <c r="S66" s="47">
        <f t="shared" si="8"/>
        <v>0.26346325659922737</v>
      </c>
      <c r="T66" s="88">
        <f t="shared" si="9"/>
        <v>4.3158897395034774</v>
      </c>
      <c r="U66" s="88">
        <f t="shared" si="10"/>
        <v>263.46325659922735</v>
      </c>
      <c r="V66" s="88">
        <f t="shared" si="11"/>
        <v>64.250517556507546</v>
      </c>
    </row>
    <row r="67" spans="1:22" x14ac:dyDescent="0.2">
      <c r="A67" s="80">
        <v>26</v>
      </c>
      <c r="B67" s="81">
        <v>357.142857142857</v>
      </c>
      <c r="C67" s="82">
        <v>4.2716840961662896</v>
      </c>
      <c r="D67" s="82">
        <v>0.649516977275998</v>
      </c>
      <c r="E67" s="75">
        <v>0.266426505481479</v>
      </c>
      <c r="G67" s="89">
        <f t="shared" si="2"/>
        <v>4.2716840961662914</v>
      </c>
      <c r="H67" s="90">
        <f t="shared" si="3"/>
        <v>267.59362212063201</v>
      </c>
      <c r="I67" s="90">
        <f t="shared" si="12"/>
        <v>0.26759362212063198</v>
      </c>
      <c r="J67" s="90">
        <f t="shared" si="4"/>
        <v>64.951697727599822</v>
      </c>
      <c r="K67" s="90">
        <f t="shared" si="13"/>
        <v>0.64951697727599822</v>
      </c>
      <c r="L67" s="90">
        <f t="shared" si="5"/>
        <v>173.21933276864783</v>
      </c>
      <c r="M67" s="90">
        <f t="shared" si="14"/>
        <v>0.26668946129031207</v>
      </c>
      <c r="N67" s="91">
        <f t="shared" si="15"/>
        <v>0.64732235169102814</v>
      </c>
      <c r="P67" s="86">
        <f t="shared" si="6"/>
        <v>357.14285714285705</v>
      </c>
      <c r="Q67" s="47">
        <f t="shared" si="7"/>
        <v>4.2716840961662896</v>
      </c>
      <c r="R67" s="87">
        <f t="shared" si="16"/>
        <v>0.649516977275998</v>
      </c>
      <c r="S67" s="47">
        <f t="shared" si="8"/>
        <v>0.26759362212063198</v>
      </c>
      <c r="T67" s="88">
        <f t="shared" si="9"/>
        <v>4.2716840961662905</v>
      </c>
      <c r="U67" s="88">
        <f t="shared" si="10"/>
        <v>267.59362212063201</v>
      </c>
      <c r="V67" s="88">
        <f t="shared" si="11"/>
        <v>64.951697727599822</v>
      </c>
    </row>
    <row r="68" spans="1:22" x14ac:dyDescent="0.2">
      <c r="A68" s="80">
        <v>27</v>
      </c>
      <c r="B68" s="81">
        <v>371.42857142857099</v>
      </c>
      <c r="C68" s="82">
        <v>4.2183197089964697</v>
      </c>
      <c r="D68" s="82">
        <v>0.65457012588715502</v>
      </c>
      <c r="E68" s="75">
        <v>0.27150976809986999</v>
      </c>
      <c r="G68" s="89">
        <f t="shared" si="2"/>
        <v>4.2183197089964741</v>
      </c>
      <c r="H68" s="90">
        <f t="shared" si="3"/>
        <v>271.54333707867613</v>
      </c>
      <c r="I68" s="90">
        <f t="shared" si="12"/>
        <v>0.27154333707867612</v>
      </c>
      <c r="J68" s="90">
        <f t="shared" si="4"/>
        <v>65.457012588715557</v>
      </c>
      <c r="K68" s="90">
        <f t="shared" si="13"/>
        <v>0.65457012588715557</v>
      </c>
      <c r="L68" s="90">
        <f t="shared" si="5"/>
        <v>177.89759010857117</v>
      </c>
      <c r="M68" s="90">
        <f t="shared" si="14"/>
        <v>0.27177774095244883</v>
      </c>
      <c r="N68" s="91">
        <f t="shared" si="15"/>
        <v>0.65513516929722226</v>
      </c>
      <c r="P68" s="86">
        <f t="shared" si="6"/>
        <v>371.42857142857099</v>
      </c>
      <c r="Q68" s="47">
        <f t="shared" si="7"/>
        <v>4.2183197089964697</v>
      </c>
      <c r="R68" s="87">
        <f t="shared" si="16"/>
        <v>0.65457012588715502</v>
      </c>
      <c r="S68" s="47">
        <f t="shared" si="8"/>
        <v>0.27154333707867612</v>
      </c>
      <c r="T68" s="88">
        <f t="shared" si="9"/>
        <v>4.2183197089964741</v>
      </c>
      <c r="U68" s="88">
        <f t="shared" si="10"/>
        <v>271.54333707867613</v>
      </c>
      <c r="V68" s="88">
        <f t="shared" si="11"/>
        <v>65.457012588715557</v>
      </c>
    </row>
    <row r="69" spans="1:22" x14ac:dyDescent="0.2">
      <c r="A69" s="80">
        <v>28</v>
      </c>
      <c r="B69" s="81">
        <v>385.71428571428498</v>
      </c>
      <c r="C69" s="82">
        <v>4.1539016167710603</v>
      </c>
      <c r="D69" s="82">
        <v>0.65756128193225305</v>
      </c>
      <c r="E69" s="75">
        <v>0.27638376982798002</v>
      </c>
      <c r="G69" s="89">
        <f t="shared" si="2"/>
        <v>4.153901616771063</v>
      </c>
      <c r="H69" s="90">
        <f t="shared" si="3"/>
        <v>275.26163957409568</v>
      </c>
      <c r="I69" s="90">
        <f t="shared" si="12"/>
        <v>0.27526163957409566</v>
      </c>
      <c r="J69" s="90">
        <f t="shared" si="4"/>
        <v>65.756128193225379</v>
      </c>
      <c r="K69" s="90">
        <f t="shared" si="13"/>
        <v>0.65756128193225383</v>
      </c>
      <c r="L69" s="90">
        <f t="shared" si="5"/>
        <v>181.91863777019654</v>
      </c>
      <c r="M69" s="90">
        <f t="shared" si="14"/>
        <v>0.27665655318942417</v>
      </c>
      <c r="N69" s="91">
        <f t="shared" si="15"/>
        <v>0.66089353406335127</v>
      </c>
      <c r="P69" s="86">
        <f t="shared" si="6"/>
        <v>385.71428571428498</v>
      </c>
      <c r="Q69" s="47">
        <f t="shared" si="7"/>
        <v>4.1539016167710603</v>
      </c>
      <c r="R69" s="87">
        <f t="shared" si="16"/>
        <v>0.65756128193225305</v>
      </c>
      <c r="S69" s="47">
        <f t="shared" si="8"/>
        <v>0.27526163957409566</v>
      </c>
      <c r="T69" s="88">
        <f t="shared" si="9"/>
        <v>4.153901616771063</v>
      </c>
      <c r="U69" s="88">
        <f t="shared" si="10"/>
        <v>275.26163957409568</v>
      </c>
      <c r="V69" s="88">
        <f t="shared" si="11"/>
        <v>65.756128193225379</v>
      </c>
    </row>
    <row r="70" spans="1:22" x14ac:dyDescent="0.2">
      <c r="A70" s="80">
        <v>29</v>
      </c>
      <c r="B70" s="81">
        <v>400</v>
      </c>
      <c r="C70" s="82">
        <v>4.0766730964879896</v>
      </c>
      <c r="D70" s="82">
        <v>0.65838367111004004</v>
      </c>
      <c r="E70" s="75">
        <v>0.28094005734045602</v>
      </c>
      <c r="G70" s="89">
        <f t="shared" si="2"/>
        <v>4.0766730964879976</v>
      </c>
      <c r="H70" s="90">
        <f t="shared" si="3"/>
        <v>278.69614293760003</v>
      </c>
      <c r="I70" s="90">
        <f t="shared" si="12"/>
        <v>0.27869614293760003</v>
      </c>
      <c r="J70" s="90">
        <f t="shared" si="4"/>
        <v>65.838367111004004</v>
      </c>
      <c r="K70" s="90">
        <f t="shared" si="13"/>
        <v>0.65838367111004004</v>
      </c>
      <c r="L70" s="90">
        <f t="shared" si="5"/>
        <v>185.14890313216287</v>
      </c>
      <c r="M70" s="90">
        <f t="shared" si="14"/>
        <v>0.28121733763536444</v>
      </c>
      <c r="N70" s="91">
        <f t="shared" si="15"/>
        <v>0.66433966821570845</v>
      </c>
      <c r="P70" s="86">
        <f t="shared" si="6"/>
        <v>400</v>
      </c>
      <c r="Q70" s="47">
        <f t="shared" si="7"/>
        <v>4.0766730964879896</v>
      </c>
      <c r="R70" s="87">
        <f t="shared" si="16"/>
        <v>0.65838367111004004</v>
      </c>
      <c r="S70" s="47">
        <f t="shared" si="8"/>
        <v>0.27869614293760003</v>
      </c>
      <c r="T70" s="88">
        <f t="shared" si="9"/>
        <v>4.0766730964879976</v>
      </c>
      <c r="U70" s="88">
        <f t="shared" si="10"/>
        <v>278.69614293760003</v>
      </c>
      <c r="V70" s="88">
        <f t="shared" si="11"/>
        <v>65.838367111004004</v>
      </c>
    </row>
    <row r="71" spans="1:22" x14ac:dyDescent="0.2">
      <c r="A71" s="80">
        <v>30</v>
      </c>
      <c r="B71" s="81">
        <v>414.28571428571399</v>
      </c>
      <c r="C71" s="82">
        <v>3.9850563247195199</v>
      </c>
      <c r="D71" s="82">
        <v>0.65692805106181895</v>
      </c>
      <c r="E71" s="75">
        <v>0.28506470865511802</v>
      </c>
      <c r="G71" s="89">
        <f t="shared" si="2"/>
        <v>3.9850563247195288</v>
      </c>
      <c r="H71" s="90">
        <f t="shared" si="3"/>
        <v>281.79283572987129</v>
      </c>
      <c r="I71" s="90">
        <f t="shared" si="12"/>
        <v>0.28179283572987129</v>
      </c>
      <c r="J71" s="90">
        <f t="shared" si="4"/>
        <v>65.692805106181893</v>
      </c>
      <c r="K71" s="90">
        <f t="shared" si="13"/>
        <v>0.65692805106181895</v>
      </c>
      <c r="L71" s="90">
        <f t="shared" si="5"/>
        <v>187.45183098866659</v>
      </c>
      <c r="M71" s="90">
        <f t="shared" si="14"/>
        <v>0.28534605987014977</v>
      </c>
      <c r="N71" s="91">
        <f t="shared" si="15"/>
        <v>0.66521148595970447</v>
      </c>
      <c r="P71" s="86">
        <f t="shared" si="6"/>
        <v>414.28571428571399</v>
      </c>
      <c r="Q71" s="47">
        <f t="shared" si="7"/>
        <v>3.9850563247195199</v>
      </c>
      <c r="R71" s="87">
        <f t="shared" si="16"/>
        <v>0.65692805106181895</v>
      </c>
      <c r="S71" s="47">
        <f t="shared" si="8"/>
        <v>0.28179283572987129</v>
      </c>
      <c r="T71" s="88">
        <f t="shared" si="9"/>
        <v>3.9850563247195288</v>
      </c>
      <c r="U71" s="88">
        <f t="shared" si="10"/>
        <v>281.79283572987129</v>
      </c>
      <c r="V71" s="88">
        <f t="shared" si="11"/>
        <v>65.692805106181893</v>
      </c>
    </row>
    <row r="72" spans="1:22" x14ac:dyDescent="0.2">
      <c r="A72" s="80">
        <v>31</v>
      </c>
      <c r="B72" s="81">
        <v>428.57142857142799</v>
      </c>
      <c r="C72" s="82">
        <v>3.87769303896554</v>
      </c>
      <c r="D72" s="82">
        <v>0.65308367814896695</v>
      </c>
      <c r="E72" s="75">
        <v>0.28863876058947102</v>
      </c>
      <c r="G72" s="89">
        <f t="shared" si="2"/>
        <v>3.8776930389655586</v>
      </c>
      <c r="H72" s="90">
        <f t="shared" si="3"/>
        <v>284.49608174156594</v>
      </c>
      <c r="I72" s="90">
        <f t="shared" si="12"/>
        <v>0.28449608174156593</v>
      </c>
      <c r="J72" s="90">
        <f t="shared" si="4"/>
        <v>65.308367814896812</v>
      </c>
      <c r="K72" s="90">
        <f t="shared" si="13"/>
        <v>0.65308367814896817</v>
      </c>
      <c r="L72" s="90">
        <f t="shared" si="5"/>
        <v>188.69131305680506</v>
      </c>
      <c r="M72" s="90">
        <f t="shared" si="14"/>
        <v>0.28892363929781845</v>
      </c>
      <c r="N72" s="91">
        <f t="shared" si="15"/>
        <v>0.66324749325795918</v>
      </c>
      <c r="P72" s="86">
        <f t="shared" si="6"/>
        <v>428.57142857142799</v>
      </c>
      <c r="Q72" s="47">
        <f t="shared" si="7"/>
        <v>3.87769303896554</v>
      </c>
      <c r="R72" s="87">
        <f t="shared" si="16"/>
        <v>0.65308367814896695</v>
      </c>
      <c r="S72" s="47">
        <f t="shared" si="8"/>
        <v>0.28449608174156593</v>
      </c>
      <c r="T72" s="88">
        <f t="shared" si="9"/>
        <v>3.8776930389655586</v>
      </c>
      <c r="U72" s="88">
        <f t="shared" si="10"/>
        <v>284.49608174156594</v>
      </c>
      <c r="V72" s="88">
        <f t="shared" si="11"/>
        <v>65.308367814896812</v>
      </c>
    </row>
    <row r="73" spans="1:22" x14ac:dyDescent="0.2">
      <c r="A73" s="80">
        <v>32</v>
      </c>
      <c r="B73" s="81">
        <v>442.85714285714198</v>
      </c>
      <c r="C73" s="82">
        <v>3.7534851990070499</v>
      </c>
      <c r="D73" s="82">
        <v>0.64673927423045396</v>
      </c>
      <c r="E73" s="75">
        <v>0.29153853415559999</v>
      </c>
      <c r="G73" s="89">
        <f t="shared" si="2"/>
        <v>3.7534851990070628</v>
      </c>
      <c r="H73" s="90">
        <f t="shared" si="3"/>
        <v>286.74861999331358</v>
      </c>
      <c r="I73" s="90">
        <f t="shared" si="12"/>
        <v>0.28674861999331358</v>
      </c>
      <c r="J73" s="90">
        <f t="shared" si="4"/>
        <v>64.67392742304547</v>
      </c>
      <c r="K73" s="90">
        <f t="shared" si="13"/>
        <v>0.64673927423045474</v>
      </c>
      <c r="L73" s="90">
        <f t="shared" si="5"/>
        <v>188.73551320602377</v>
      </c>
      <c r="M73" s="90">
        <f t="shared" si="14"/>
        <v>0.29182627486261337</v>
      </c>
      <c r="N73" s="91">
        <f t="shared" si="15"/>
        <v>0.65819153100170003</v>
      </c>
      <c r="P73" s="86">
        <f t="shared" si="6"/>
        <v>442.85714285714198</v>
      </c>
      <c r="Q73" s="47">
        <f t="shared" si="7"/>
        <v>3.7534851990070499</v>
      </c>
      <c r="R73" s="87">
        <f t="shared" si="16"/>
        <v>0.64673927423045396</v>
      </c>
      <c r="S73" s="47">
        <f t="shared" si="8"/>
        <v>0.28674861999331358</v>
      </c>
      <c r="T73" s="88">
        <f t="shared" si="9"/>
        <v>3.7534851990070628</v>
      </c>
      <c r="U73" s="88">
        <f t="shared" si="10"/>
        <v>286.74861999331358</v>
      </c>
      <c r="V73" s="88">
        <f t="shared" si="11"/>
        <v>64.67392742304547</v>
      </c>
    </row>
    <row r="74" spans="1:22" x14ac:dyDescent="0.2">
      <c r="A74" s="80">
        <v>33</v>
      </c>
      <c r="B74" s="81">
        <v>457.142857142857</v>
      </c>
      <c r="C74" s="82">
        <v>3.6116356482595</v>
      </c>
      <c r="D74" s="82">
        <v>0.63778399344034997</v>
      </c>
      <c r="E74" s="75">
        <v>0.29363586057761898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3.6116356482595027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288.49156473571747</v>
      </c>
      <c r="I74" s="90">
        <f t="shared" si="12"/>
        <v>0.28849156473571747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63.778399344035073</v>
      </c>
      <c r="K74" s="90">
        <f t="shared" si="13"/>
        <v>0.63778399344035075</v>
      </c>
      <c r="L74" s="90">
        <f t="shared" ref="L74:L91" si="20">Подача_пласт_м3_сут*Напор_м*9.81*1000/86400</f>
        <v>187.46108840965971</v>
      </c>
      <c r="M74" s="90">
        <f t="shared" si="14"/>
        <v>0.29392567128951025</v>
      </c>
      <c r="N74" s="91">
        <f t="shared" si="15"/>
        <v>0.64979746836407448</v>
      </c>
      <c r="P74" s="86">
        <f t="shared" ref="P74:P91" si="21">Подача_пласт_м3_сут*f_50_hz/f_nom</f>
        <v>457.14285714285705</v>
      </c>
      <c r="Q74" s="47">
        <f t="shared" ref="Q74:Q91" si="22">Напор_м*(f_50_hz/f_nom)^2</f>
        <v>3.6116356482595</v>
      </c>
      <c r="R74" s="87">
        <f t="shared" si="16"/>
        <v>0.63778399344034997</v>
      </c>
      <c r="S74" s="47">
        <f t="shared" ref="S74:S91" si="23">I74*(f_50_hz/f_nom)^3</f>
        <v>0.28849156473571747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3.6116356482594938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288.49156473571747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63.778399344035059</v>
      </c>
    </row>
    <row r="75" spans="1:22" x14ac:dyDescent="0.2">
      <c r="A75" s="80">
        <v>34</v>
      </c>
      <c r="B75" s="81">
        <v>471.42857142857099</v>
      </c>
      <c r="C75" s="82">
        <v>3.45168877512616</v>
      </c>
      <c r="D75" s="82">
        <v>0.62610838896535004</v>
      </c>
      <c r="E75" s="75">
        <v>0.29479821301780201</v>
      </c>
      <c r="G75" s="89">
        <f t="shared" si="17"/>
        <v>3.4516887751261756</v>
      </c>
      <c r="H75" s="90">
        <f t="shared" si="18"/>
        <v>289.66440544935409</v>
      </c>
      <c r="I75" s="90">
        <f t="shared" si="12"/>
        <v>0.28966440544935407</v>
      </c>
      <c r="J75" s="90">
        <f t="shared" si="19"/>
        <v>62.610838896535085</v>
      </c>
      <c r="K75" s="90">
        <f t="shared" si="13"/>
        <v>0.62610838896535081</v>
      </c>
      <c r="L75" s="90">
        <f t="shared" si="20"/>
        <v>184.75780541858316</v>
      </c>
      <c r="M75" s="90">
        <f t="shared" si="14"/>
        <v>0.29508917094034937</v>
      </c>
      <c r="N75" s="91">
        <f t="shared" si="15"/>
        <v>0.63783399666234397</v>
      </c>
      <c r="P75" s="86">
        <f t="shared" si="21"/>
        <v>471.42857142857099</v>
      </c>
      <c r="Q75" s="47">
        <f t="shared" si="22"/>
        <v>3.45168877512616</v>
      </c>
      <c r="R75" s="87">
        <f t="shared" si="16"/>
        <v>0.62610838896535004</v>
      </c>
      <c r="S75" s="47">
        <f t="shared" si="23"/>
        <v>0.28966440544935407</v>
      </c>
      <c r="T75" s="88">
        <f t="shared" si="24"/>
        <v>3.4516887751261756</v>
      </c>
      <c r="U75" s="88">
        <f t="shared" si="25"/>
        <v>289.66440544935409</v>
      </c>
      <c r="V75" s="88">
        <f t="shared" si="26"/>
        <v>62.610838896535085</v>
      </c>
    </row>
    <row r="76" spans="1:22" x14ac:dyDescent="0.2">
      <c r="A76" s="80">
        <v>35</v>
      </c>
      <c r="B76" s="81">
        <v>485.71428571428498</v>
      </c>
      <c r="C76" s="82">
        <v>3.27357117435161</v>
      </c>
      <c r="D76" s="82">
        <v>0.61160537982228502</v>
      </c>
      <c r="E76" s="75">
        <v>0.29488875183855301</v>
      </c>
      <c r="G76" s="89">
        <f t="shared" si="17"/>
        <v>3.2735711743516216</v>
      </c>
      <c r="H76" s="90">
        <f t="shared" si="18"/>
        <v>290.20500684477372</v>
      </c>
      <c r="I76" s="90">
        <f t="shared" si="12"/>
        <v>0.29020500684477374</v>
      </c>
      <c r="J76" s="90">
        <f t="shared" si="19"/>
        <v>61.160537982228632</v>
      </c>
      <c r="K76" s="90">
        <f t="shared" si="13"/>
        <v>0.61160537982228635</v>
      </c>
      <c r="L76" s="90">
        <f t="shared" si="20"/>
        <v>180.53355315695012</v>
      </c>
      <c r="M76" s="90">
        <f t="shared" si="14"/>
        <v>0.29517979912048453</v>
      </c>
      <c r="N76" s="91">
        <f t="shared" si="15"/>
        <v>0.62208972587959099</v>
      </c>
      <c r="P76" s="86">
        <f t="shared" si="21"/>
        <v>485.71428571428498</v>
      </c>
      <c r="Q76" s="47">
        <f t="shared" si="22"/>
        <v>3.27357117435161</v>
      </c>
      <c r="R76" s="87">
        <f t="shared" si="16"/>
        <v>0.61160537982228502</v>
      </c>
      <c r="S76" s="47">
        <f t="shared" si="23"/>
        <v>0.29020500684477374</v>
      </c>
      <c r="T76" s="88">
        <f t="shared" si="24"/>
        <v>3.2735711743516216</v>
      </c>
      <c r="U76" s="88">
        <f t="shared" si="25"/>
        <v>290.20500684477372</v>
      </c>
      <c r="V76" s="88">
        <f t="shared" si="26"/>
        <v>61.160537982228632</v>
      </c>
    </row>
    <row r="77" spans="1:22" x14ac:dyDescent="0.2">
      <c r="A77" s="80">
        <v>36</v>
      </c>
      <c r="B77" s="81">
        <v>500</v>
      </c>
      <c r="C77" s="82">
        <v>3.0776323083749899</v>
      </c>
      <c r="D77" s="82">
        <v>0.59417121763563996</v>
      </c>
      <c r="E77" s="75">
        <v>0.29376629494151402</v>
      </c>
      <c r="G77" s="89">
        <f t="shared" si="17"/>
        <v>3.0776323083749908</v>
      </c>
      <c r="H77" s="90">
        <f t="shared" si="18"/>
        <v>290.04960886250001</v>
      </c>
      <c r="I77" s="90">
        <f t="shared" si="12"/>
        <v>0.29004960886250003</v>
      </c>
      <c r="J77" s="90">
        <f t="shared" si="19"/>
        <v>59.417121763563991</v>
      </c>
      <c r="K77" s="90">
        <f t="shared" si="13"/>
        <v>0.59417121763563996</v>
      </c>
      <c r="L77" s="90">
        <f t="shared" si="20"/>
        <v>174.7197508400385</v>
      </c>
      <c r="M77" s="90">
        <f t="shared" si="14"/>
        <v>0.29405623438862172</v>
      </c>
      <c r="N77" s="91">
        <f t="shared" si="15"/>
        <v>0.60237885348387277</v>
      </c>
      <c r="P77" s="86">
        <f t="shared" si="21"/>
        <v>500</v>
      </c>
      <c r="Q77" s="47">
        <f t="shared" si="22"/>
        <v>3.0776323083749899</v>
      </c>
      <c r="R77" s="87">
        <f t="shared" si="16"/>
        <v>0.59417121763563996</v>
      </c>
      <c r="S77" s="47">
        <f t="shared" si="23"/>
        <v>0.29004960886250003</v>
      </c>
      <c r="T77" s="88">
        <f t="shared" si="24"/>
        <v>3.0776323083749908</v>
      </c>
      <c r="U77" s="88">
        <f t="shared" si="25"/>
        <v>290.04960886250001</v>
      </c>
      <c r="V77" s="88">
        <f t="shared" si="26"/>
        <v>59.417121763563991</v>
      </c>
    </row>
    <row r="78" spans="1:22" x14ac:dyDescent="0.2">
      <c r="A78" s="80">
        <v>37</v>
      </c>
      <c r="B78" s="81">
        <v>514.28571428571399</v>
      </c>
      <c r="C78" s="82">
        <v>2.86468516868353</v>
      </c>
      <c r="D78" s="82">
        <v>0.57370645341506799</v>
      </c>
      <c r="E78" s="75">
        <v>0.29128523053514799</v>
      </c>
      <c r="G78" s="89">
        <f t="shared" si="17"/>
        <v>2.8646851686835397</v>
      </c>
      <c r="H78" s="90">
        <f t="shared" si="18"/>
        <v>289.13282667303025</v>
      </c>
      <c r="I78" s="90">
        <f t="shared" si="12"/>
        <v>0.28913282667303025</v>
      </c>
      <c r="J78" s="90">
        <f t="shared" si="19"/>
        <v>57.370645341506915</v>
      </c>
      <c r="K78" s="90">
        <f t="shared" si="13"/>
        <v>0.5737064534150691</v>
      </c>
      <c r="L78" s="90">
        <f t="shared" si="20"/>
        <v>167.2771518141989</v>
      </c>
      <c r="M78" s="90">
        <f t="shared" si="14"/>
        <v>0.2915727212382882</v>
      </c>
      <c r="N78" s="91">
        <f t="shared" si="15"/>
        <v>0.57854776899257632</v>
      </c>
      <c r="P78" s="86">
        <f t="shared" si="21"/>
        <v>514.28571428571399</v>
      </c>
      <c r="Q78" s="47">
        <f t="shared" si="22"/>
        <v>2.86468516868353</v>
      </c>
      <c r="R78" s="87">
        <f t="shared" si="16"/>
        <v>0.57370645341506799</v>
      </c>
      <c r="S78" s="47">
        <f t="shared" si="23"/>
        <v>0.28913282667303025</v>
      </c>
      <c r="T78" s="88">
        <f t="shared" si="24"/>
        <v>2.8646851686835397</v>
      </c>
      <c r="U78" s="88">
        <f t="shared" si="25"/>
        <v>289.13282667303025</v>
      </c>
      <c r="V78" s="88">
        <f t="shared" si="26"/>
        <v>57.370645341506915</v>
      </c>
    </row>
    <row r="79" spans="1:22" x14ac:dyDescent="0.2">
      <c r="A79" s="80">
        <v>38</v>
      </c>
      <c r="B79" s="81">
        <v>528.57142857142799</v>
      </c>
      <c r="C79" s="82">
        <v>2.6360469371658399</v>
      </c>
      <c r="D79" s="82">
        <v>0.55011690433291105</v>
      </c>
      <c r="E79" s="75">
        <v>0.28729539968605899</v>
      </c>
      <c r="G79" s="89">
        <f t="shared" si="17"/>
        <v>2.6360469371658724</v>
      </c>
      <c r="H79" s="90">
        <f t="shared" si="18"/>
        <v>287.38765067683528</v>
      </c>
      <c r="I79" s="90">
        <f t="shared" si="12"/>
        <v>0.2873876506768353</v>
      </c>
      <c r="J79" s="90">
        <f t="shared" si="19"/>
        <v>55.011690433291314</v>
      </c>
      <c r="K79" s="90">
        <f t="shared" si="13"/>
        <v>0.55011690433291316</v>
      </c>
      <c r="L79" s="90">
        <f t="shared" si="20"/>
        <v>158.20204311889617</v>
      </c>
      <c r="M79" s="90">
        <f t="shared" si="14"/>
        <v>0.28757895253325527</v>
      </c>
      <c r="N79" s="91">
        <f t="shared" si="15"/>
        <v>0.55048309398928519</v>
      </c>
      <c r="P79" s="86">
        <f t="shared" si="21"/>
        <v>528.57142857142799</v>
      </c>
      <c r="Q79" s="47">
        <f t="shared" si="22"/>
        <v>2.6360469371658399</v>
      </c>
      <c r="R79" s="87">
        <f t="shared" si="16"/>
        <v>0.55011690433291105</v>
      </c>
      <c r="S79" s="47">
        <f t="shared" si="23"/>
        <v>0.2873876506768353</v>
      </c>
      <c r="T79" s="88">
        <f t="shared" si="24"/>
        <v>2.6360469371658724</v>
      </c>
      <c r="U79" s="88">
        <f t="shared" si="25"/>
        <v>287.38765067683528</v>
      </c>
      <c r="V79" s="88">
        <f t="shared" si="26"/>
        <v>55.011690433291314</v>
      </c>
    </row>
    <row r="80" spans="1:22" x14ac:dyDescent="0.2">
      <c r="A80" s="80">
        <v>39</v>
      </c>
      <c r="B80" s="81">
        <v>542.85714285714198</v>
      </c>
      <c r="C80" s="82">
        <v>2.3935796474653701</v>
      </c>
      <c r="D80" s="82">
        <v>0.52331462050170996</v>
      </c>
      <c r="E80" s="75">
        <v>0.28164199434854997</v>
      </c>
      <c r="G80" s="89">
        <f t="shared" si="17"/>
        <v>2.3935796474653657</v>
      </c>
      <c r="H80" s="90">
        <f t="shared" si="18"/>
        <v>284.74544650435911</v>
      </c>
      <c r="I80" s="90">
        <f t="shared" si="12"/>
        <v>0.28474544650435912</v>
      </c>
      <c r="J80" s="90">
        <f t="shared" si="19"/>
        <v>52.331462050171126</v>
      </c>
      <c r="K80" s="90">
        <f t="shared" si="13"/>
        <v>0.52331462050171129</v>
      </c>
      <c r="L80" s="90">
        <f t="shared" si="20"/>
        <v>147.53284077085638</v>
      </c>
      <c r="M80" s="90">
        <f t="shared" si="14"/>
        <v>0.28191996743644188</v>
      </c>
      <c r="N80" s="91">
        <f t="shared" si="15"/>
        <v>0.51812186140998684</v>
      </c>
      <c r="P80" s="86">
        <f t="shared" si="21"/>
        <v>542.85714285714198</v>
      </c>
      <c r="Q80" s="47">
        <f t="shared" si="22"/>
        <v>2.3935796474653701</v>
      </c>
      <c r="R80" s="87">
        <f t="shared" si="16"/>
        <v>0.52331462050170996</v>
      </c>
      <c r="S80" s="47">
        <f t="shared" si="23"/>
        <v>0.28474544650435912</v>
      </c>
      <c r="T80" s="88">
        <f t="shared" si="24"/>
        <v>2.3935796474653657</v>
      </c>
      <c r="U80" s="88">
        <f t="shared" si="25"/>
        <v>284.74544650435911</v>
      </c>
      <c r="V80" s="88">
        <f t="shared" si="26"/>
        <v>52.331462050171126</v>
      </c>
    </row>
    <row r="81" spans="1:22" x14ac:dyDescent="0.2">
      <c r="A81" s="80">
        <v>40</v>
      </c>
      <c r="B81" s="81">
        <v>557.142857142857</v>
      </c>
      <c r="C81" s="82">
        <v>2.1397308463336699</v>
      </c>
      <c r="D81" s="82">
        <v>0.49321885175172198</v>
      </c>
      <c r="E81" s="75">
        <v>0.27416555188108199</v>
      </c>
      <c r="G81" s="89">
        <f t="shared" si="17"/>
        <v>2.1397308463336771</v>
      </c>
      <c r="H81" s="90">
        <f t="shared" si="18"/>
        <v>281.13595501601935</v>
      </c>
      <c r="I81" s="90">
        <f t="shared" si="12"/>
        <v>0.28113595501601935</v>
      </c>
      <c r="J81" s="90">
        <f t="shared" si="19"/>
        <v>49.321885175172312</v>
      </c>
      <c r="K81" s="90">
        <f t="shared" si="13"/>
        <v>0.49321885175172314</v>
      </c>
      <c r="L81" s="90">
        <f t="shared" si="20"/>
        <v>135.35708077030398</v>
      </c>
      <c r="M81" s="90">
        <f t="shared" si="14"/>
        <v>0.2744361459209595</v>
      </c>
      <c r="N81" s="91">
        <f t="shared" si="15"/>
        <v>0.48146485127664024</v>
      </c>
      <c r="P81" s="86">
        <f t="shared" si="21"/>
        <v>557.142857142857</v>
      </c>
      <c r="Q81" s="47">
        <f t="shared" si="22"/>
        <v>2.1397308463336699</v>
      </c>
      <c r="R81" s="87">
        <f t="shared" si="16"/>
        <v>0.49321885175172198</v>
      </c>
      <c r="S81" s="47">
        <f t="shared" si="23"/>
        <v>0.28113595501601935</v>
      </c>
      <c r="T81" s="88">
        <f t="shared" si="24"/>
        <v>2.1397308463336771</v>
      </c>
      <c r="U81" s="88">
        <f t="shared" si="25"/>
        <v>281.13595501601935</v>
      </c>
      <c r="V81" s="88">
        <f t="shared" si="26"/>
        <v>49.321885175172312</v>
      </c>
    </row>
    <row r="82" spans="1:22" x14ac:dyDescent="0.2">
      <c r="A82" s="80">
        <v>41</v>
      </c>
      <c r="B82" s="81">
        <v>571.42857142857099</v>
      </c>
      <c r="C82" s="82">
        <v>1.87757425498405</v>
      </c>
      <c r="D82" s="82">
        <v>0.45975701440844202</v>
      </c>
      <c r="E82" s="75">
        <v>0.26470219849361298</v>
      </c>
      <c r="G82" s="89">
        <f t="shared" si="17"/>
        <v>1.8775742549840615</v>
      </c>
      <c r="H82" s="90">
        <f t="shared" si="18"/>
        <v>276.48729230220766</v>
      </c>
      <c r="I82" s="90">
        <f t="shared" si="12"/>
        <v>0.27648729230220764</v>
      </c>
      <c r="J82" s="90">
        <f t="shared" si="19"/>
        <v>45.975701440844446</v>
      </c>
      <c r="K82" s="90">
        <f t="shared" si="13"/>
        <v>0.45975701440844446</v>
      </c>
      <c r="L82" s="90">
        <f t="shared" si="20"/>
        <v>121.81880582932219</v>
      </c>
      <c r="M82" s="90">
        <f t="shared" si="14"/>
        <v>0.26496345245773528</v>
      </c>
      <c r="N82" s="91">
        <f t="shared" si="15"/>
        <v>0.4405945923047021</v>
      </c>
      <c r="P82" s="86">
        <f t="shared" si="21"/>
        <v>571.42857142857099</v>
      </c>
      <c r="Q82" s="47">
        <f t="shared" si="22"/>
        <v>1.87757425498405</v>
      </c>
      <c r="R82" s="87">
        <f t="shared" si="16"/>
        <v>0.45975701440844202</v>
      </c>
      <c r="S82" s="47">
        <f t="shared" si="23"/>
        <v>0.27648729230220764</v>
      </c>
      <c r="T82" s="88">
        <f t="shared" si="24"/>
        <v>1.8775742549840615</v>
      </c>
      <c r="U82" s="88">
        <f t="shared" si="25"/>
        <v>276.48729230220766</v>
      </c>
      <c r="V82" s="88">
        <f t="shared" si="26"/>
        <v>45.975701440844446</v>
      </c>
    </row>
    <row r="83" spans="1:22" x14ac:dyDescent="0.2">
      <c r="A83" s="80">
        <v>42</v>
      </c>
      <c r="B83" s="81">
        <v>585.71428571428498</v>
      </c>
      <c r="C83" s="82">
        <v>1.61085043044464</v>
      </c>
      <c r="D83" s="82">
        <v>0.422865658070112</v>
      </c>
      <c r="E83" s="75">
        <v>0.25308444703632299</v>
      </c>
      <c r="G83" s="89">
        <f t="shared" si="17"/>
        <v>1.6108504304446569</v>
      </c>
      <c r="H83" s="90">
        <f t="shared" si="18"/>
        <v>270.72594968328872</v>
      </c>
      <c r="I83" s="90">
        <f t="shared" si="12"/>
        <v>0.27072594968328872</v>
      </c>
      <c r="J83" s="90">
        <f t="shared" si="19"/>
        <v>42.286565807011485</v>
      </c>
      <c r="K83" s="90">
        <f t="shared" si="13"/>
        <v>0.42286565807011484</v>
      </c>
      <c r="L83" s="90">
        <f t="shared" si="20"/>
        <v>107.12634782227808</v>
      </c>
      <c r="M83" s="90">
        <f t="shared" si="14"/>
        <v>0.25333423459162907</v>
      </c>
      <c r="N83" s="91">
        <f t="shared" si="15"/>
        <v>0.39570033071303595</v>
      </c>
      <c r="P83" s="86">
        <f t="shared" si="21"/>
        <v>585.71428571428498</v>
      </c>
      <c r="Q83" s="47">
        <f t="shared" si="22"/>
        <v>1.61085043044464</v>
      </c>
      <c r="R83" s="87">
        <f t="shared" si="16"/>
        <v>0.422865658070112</v>
      </c>
      <c r="S83" s="47">
        <f t="shared" si="23"/>
        <v>0.27072594968328872</v>
      </c>
      <c r="T83" s="88">
        <f t="shared" si="24"/>
        <v>1.6108504304446569</v>
      </c>
      <c r="U83" s="88">
        <f t="shared" si="25"/>
        <v>270.72594968328872</v>
      </c>
      <c r="V83" s="88">
        <f t="shared" si="26"/>
        <v>42.286565807011485</v>
      </c>
    </row>
    <row r="84" spans="1:22" x14ac:dyDescent="0.2">
      <c r="A84" s="80">
        <v>43</v>
      </c>
      <c r="B84" s="81">
        <v>600</v>
      </c>
      <c r="C84" s="82">
        <v>1.3440074269119899</v>
      </c>
      <c r="D84" s="82">
        <v>0.38249143238524103</v>
      </c>
      <c r="E84" s="75">
        <v>0.23914320571598199</v>
      </c>
      <c r="G84" s="89">
        <f t="shared" si="17"/>
        <v>1.3440074269119933</v>
      </c>
      <c r="H84" s="90">
        <f t="shared" si="18"/>
        <v>263.77679370960004</v>
      </c>
      <c r="I84" s="90">
        <f t="shared" si="12"/>
        <v>0.26377679370960005</v>
      </c>
      <c r="J84" s="90">
        <f t="shared" si="19"/>
        <v>38.249143238524127</v>
      </c>
      <c r="K84" s="90">
        <f t="shared" si="13"/>
        <v>0.38249143238524125</v>
      </c>
      <c r="L84" s="90">
        <f t="shared" si="20"/>
        <v>91.560505958379323</v>
      </c>
      <c r="M84" s="90">
        <f t="shared" si="14"/>
        <v>0.23937923364035138</v>
      </c>
      <c r="N84" s="91">
        <f t="shared" si="15"/>
        <v>0.34711357534803117</v>
      </c>
      <c r="P84" s="86">
        <f t="shared" si="21"/>
        <v>600</v>
      </c>
      <c r="Q84" s="47">
        <f t="shared" si="22"/>
        <v>1.3440074269119899</v>
      </c>
      <c r="R84" s="87">
        <f t="shared" si="16"/>
        <v>0.38249143238524103</v>
      </c>
      <c r="S84" s="47">
        <f t="shared" si="23"/>
        <v>0.26377679370960005</v>
      </c>
      <c r="T84" s="88">
        <f t="shared" si="24"/>
        <v>1.3440074269119933</v>
      </c>
      <c r="U84" s="88">
        <f t="shared" si="25"/>
        <v>263.77679370960004</v>
      </c>
      <c r="V84" s="88">
        <f t="shared" si="26"/>
        <v>38.249143238524127</v>
      </c>
    </row>
    <row r="85" spans="1:22" x14ac:dyDescent="0.2">
      <c r="A85" s="80">
        <v>44</v>
      </c>
      <c r="B85" s="81">
        <v>614.28571428571399</v>
      </c>
      <c r="C85" s="82">
        <v>1.0822414571044501</v>
      </c>
      <c r="D85" s="82">
        <v>0.33859205383011498</v>
      </c>
      <c r="E85" s="75">
        <v>0.222712534054821</v>
      </c>
      <c r="G85" s="89">
        <f t="shared" si="17"/>
        <v>1.0822414571044732</v>
      </c>
      <c r="H85" s="90">
        <f t="shared" si="18"/>
        <v>255.56306616145471</v>
      </c>
      <c r="I85" s="90">
        <f t="shared" si="12"/>
        <v>0.25556306616145469</v>
      </c>
      <c r="J85" s="90">
        <f t="shared" si="19"/>
        <v>33.85920538301167</v>
      </c>
      <c r="K85" s="90">
        <f t="shared" si="13"/>
        <v>0.3385920538301167</v>
      </c>
      <c r="L85" s="90">
        <f t="shared" si="20"/>
        <v>75.483120676317782</v>
      </c>
      <c r="M85" s="90">
        <f t="shared" si="14"/>
        <v>0.22293234534733133</v>
      </c>
      <c r="N85" s="91">
        <f t="shared" si="15"/>
        <v>0.29536005264794601</v>
      </c>
      <c r="P85" s="86">
        <f t="shared" si="21"/>
        <v>614.28571428571399</v>
      </c>
      <c r="Q85" s="47">
        <f t="shared" si="22"/>
        <v>1.0822414571044501</v>
      </c>
      <c r="R85" s="87">
        <f t="shared" si="16"/>
        <v>0.33859205383011498</v>
      </c>
      <c r="S85" s="47">
        <f t="shared" si="23"/>
        <v>0.25556306616145469</v>
      </c>
      <c r="T85" s="88">
        <f t="shared" si="24"/>
        <v>1.0822414571044732</v>
      </c>
      <c r="U85" s="88">
        <f t="shared" si="25"/>
        <v>255.56306616145471</v>
      </c>
      <c r="V85" s="88">
        <f t="shared" si="26"/>
        <v>33.85920538301167</v>
      </c>
    </row>
    <row r="86" spans="1:22" x14ac:dyDescent="0.2">
      <c r="A86" s="80">
        <v>45</v>
      </c>
      <c r="B86" s="81">
        <v>628.57142857142799</v>
      </c>
      <c r="C86" s="82">
        <v>0.83153755361550397</v>
      </c>
      <c r="D86" s="82">
        <v>0.29113727248632498</v>
      </c>
      <c r="E86" s="75">
        <v>0.203641146858448</v>
      </c>
      <c r="G86" s="89">
        <f t="shared" si="17"/>
        <v>0.83153755361552584</v>
      </c>
      <c r="H86" s="90">
        <f t="shared" si="18"/>
        <v>246.00638404913738</v>
      </c>
      <c r="I86" s="90">
        <f t="shared" si="12"/>
        <v>0.24600638404913738</v>
      </c>
      <c r="J86" s="90">
        <f t="shared" si="19"/>
        <v>29.113727248632728</v>
      </c>
      <c r="K86" s="90">
        <f t="shared" si="13"/>
        <v>0.29113727248632726</v>
      </c>
      <c r="L86" s="90">
        <f t="shared" si="20"/>
        <v>59.346043261011211</v>
      </c>
      <c r="M86" s="90">
        <f t="shared" si="14"/>
        <v>0.20384213520375782</v>
      </c>
      <c r="N86" s="91">
        <f t="shared" si="15"/>
        <v>0.24123781783304216</v>
      </c>
      <c r="P86" s="86">
        <f t="shared" si="21"/>
        <v>628.57142857142799</v>
      </c>
      <c r="Q86" s="47">
        <f t="shared" si="22"/>
        <v>0.83153755361550397</v>
      </c>
      <c r="R86" s="87">
        <f t="shared" si="16"/>
        <v>0.29113727248632498</v>
      </c>
      <c r="S86" s="47">
        <f t="shared" si="23"/>
        <v>0.24600638404913738</v>
      </c>
      <c r="T86" s="88">
        <f t="shared" si="24"/>
        <v>0.83153755361552584</v>
      </c>
      <c r="U86" s="88">
        <f t="shared" si="25"/>
        <v>246.00638404913738</v>
      </c>
      <c r="V86" s="88">
        <f t="shared" si="26"/>
        <v>29.113727248632728</v>
      </c>
    </row>
    <row r="87" spans="1:22" x14ac:dyDescent="0.2">
      <c r="A87" s="80">
        <v>46</v>
      </c>
      <c r="B87" s="81">
        <v>642.85714285714198</v>
      </c>
      <c r="C87" s="82">
        <v>0.59871023026717296</v>
      </c>
      <c r="D87" s="82">
        <v>0.240109838818272</v>
      </c>
      <c r="E87" s="75">
        <v>0.18182267208685199</v>
      </c>
      <c r="G87" s="89">
        <f t="shared" si="17"/>
        <v>0.59871023026716585</v>
      </c>
      <c r="H87" s="90">
        <f t="shared" si="18"/>
        <v>235.02673961290685</v>
      </c>
      <c r="I87" s="90">
        <f t="shared" si="12"/>
        <v>0.23502673961290685</v>
      </c>
      <c r="J87" s="90">
        <f t="shared" si="19"/>
        <v>24.010983881827656</v>
      </c>
      <c r="K87" s="90">
        <f t="shared" si="13"/>
        <v>0.24010983881827655</v>
      </c>
      <c r="L87" s="90">
        <f t="shared" si="20"/>
        <v>43.70050118244761</v>
      </c>
      <c r="M87" s="90">
        <f t="shared" si="14"/>
        <v>0.18200212618326592</v>
      </c>
      <c r="N87" s="91">
        <f t="shared" si="15"/>
        <v>0.18593842238727007</v>
      </c>
      <c r="P87" s="86">
        <f t="shared" si="21"/>
        <v>642.85714285714198</v>
      </c>
      <c r="Q87" s="47">
        <f t="shared" si="22"/>
        <v>0.59871023026717296</v>
      </c>
      <c r="R87" s="87">
        <f t="shared" si="16"/>
        <v>0.240109838818272</v>
      </c>
      <c r="S87" s="47">
        <f t="shared" si="23"/>
        <v>0.23502673961290685</v>
      </c>
      <c r="T87" s="88">
        <f t="shared" si="24"/>
        <v>0.59871023026716585</v>
      </c>
      <c r="U87" s="88">
        <f t="shared" si="25"/>
        <v>235.02673961290685</v>
      </c>
      <c r="V87" s="88">
        <f t="shared" si="26"/>
        <v>24.010983881827656</v>
      </c>
    </row>
    <row r="88" spans="1:22" x14ac:dyDescent="0.2">
      <c r="A88" s="80">
        <v>47</v>
      </c>
      <c r="B88" s="81">
        <v>657.142857142857</v>
      </c>
      <c r="C88" s="82">
        <v>0.39144414346337397</v>
      </c>
      <c r="D88" s="82">
        <v>0.18550647045068699</v>
      </c>
      <c r="E88" s="75">
        <v>0.15728864401662501</v>
      </c>
      <c r="G88" s="89">
        <f t="shared" si="17"/>
        <v>0.39144414346337442</v>
      </c>
      <c r="H88" s="90">
        <f t="shared" si="18"/>
        <v>222.54250032299461</v>
      </c>
      <c r="I88" s="90">
        <f t="shared" si="12"/>
        <v>0.22254250032299461</v>
      </c>
      <c r="J88" s="90">
        <f t="shared" si="19"/>
        <v>18.550647045068843</v>
      </c>
      <c r="K88" s="90">
        <f t="shared" si="13"/>
        <v>0.18550647045068844</v>
      </c>
      <c r="L88" s="90">
        <f t="shared" si="20"/>
        <v>29.206859156627335</v>
      </c>
      <c r="M88" s="90">
        <f t="shared" si="14"/>
        <v>0.15744388368593934</v>
      </c>
      <c r="N88" s="91">
        <f t="shared" si="15"/>
        <v>0.13124171389391676</v>
      </c>
      <c r="P88" s="86">
        <f t="shared" si="21"/>
        <v>657.142857142857</v>
      </c>
      <c r="Q88" s="47">
        <f t="shared" si="22"/>
        <v>0.39144414346337397</v>
      </c>
      <c r="R88" s="87">
        <f t="shared" si="16"/>
        <v>0.18550647045068699</v>
      </c>
      <c r="S88" s="47">
        <f t="shared" si="23"/>
        <v>0.22254250032299461</v>
      </c>
      <c r="T88" s="88">
        <f t="shared" si="24"/>
        <v>0.39144414346337442</v>
      </c>
      <c r="U88" s="88">
        <f t="shared" si="25"/>
        <v>222.54250032299461</v>
      </c>
      <c r="V88" s="88">
        <f t="shared" si="26"/>
        <v>18.550647045068843</v>
      </c>
    </row>
    <row r="89" spans="1:22" x14ac:dyDescent="0.2">
      <c r="A89" s="80">
        <v>48</v>
      </c>
      <c r="B89" s="81">
        <v>671.42857142857099</v>
      </c>
      <c r="C89" s="82">
        <v>0.21833475354335899</v>
      </c>
      <c r="D89" s="82">
        <v>0.12733881894614699</v>
      </c>
      <c r="E89" s="75">
        <v>0.130583621845724</v>
      </c>
      <c r="G89" s="89">
        <f t="shared" si="17"/>
        <v>0.21833475354338816</v>
      </c>
      <c r="H89" s="90">
        <f t="shared" si="18"/>
        <v>208.47040887960816</v>
      </c>
      <c r="I89" s="90">
        <f t="shared" si="12"/>
        <v>0.20847040887960816</v>
      </c>
      <c r="J89" s="90">
        <f t="shared" si="19"/>
        <v>12.733881894615081</v>
      </c>
      <c r="K89" s="90">
        <f t="shared" si="13"/>
        <v>0.12733881894615082</v>
      </c>
      <c r="L89" s="90">
        <f t="shared" si="20"/>
        <v>16.644775928610528</v>
      </c>
      <c r="M89" s="90">
        <f t="shared" si="14"/>
        <v>0.13071250437503498</v>
      </c>
      <c r="N89" s="91">
        <f t="shared" si="15"/>
        <v>7.9842391148294334E-2</v>
      </c>
      <c r="P89" s="86">
        <f t="shared" si="21"/>
        <v>671.42857142857099</v>
      </c>
      <c r="Q89" s="47">
        <f t="shared" si="22"/>
        <v>0.21833475354335899</v>
      </c>
      <c r="R89" s="87">
        <f t="shared" si="16"/>
        <v>0.12733881894614699</v>
      </c>
      <c r="S89" s="47">
        <f t="shared" si="23"/>
        <v>0.20847040887960816</v>
      </c>
      <c r="T89" s="88">
        <f t="shared" si="24"/>
        <v>0.21833475354338816</v>
      </c>
      <c r="U89" s="88">
        <f t="shared" si="25"/>
        <v>208.47040887960816</v>
      </c>
      <c r="V89" s="88">
        <f t="shared" si="26"/>
        <v>12.733881894615081</v>
      </c>
    </row>
    <row r="90" spans="1:22" x14ac:dyDescent="0.2">
      <c r="A90" s="80">
        <v>49</v>
      </c>
      <c r="B90" s="81">
        <v>685.71428571428498</v>
      </c>
      <c r="C90" s="82">
        <v>8.8928986135243804E-2</v>
      </c>
      <c r="D90" s="82">
        <v>6.5634436582594102E-2</v>
      </c>
      <c r="E90" s="75">
        <v>0.105385683394806</v>
      </c>
      <c r="G90" s="89">
        <f t="shared" si="17"/>
        <v>8.8928986135272226E-2</v>
      </c>
      <c r="H90" s="90">
        <f t="shared" si="18"/>
        <v>192.72558321292621</v>
      </c>
      <c r="I90" s="90">
        <f t="shared" si="12"/>
        <v>0.19272558321292621</v>
      </c>
      <c r="J90" s="90">
        <f t="shared" si="19"/>
        <v>6.5634436582598141</v>
      </c>
      <c r="K90" s="90">
        <f t="shared" si="13"/>
        <v>6.5634436582598141E-2</v>
      </c>
      <c r="L90" s="90">
        <f t="shared" si="20"/>
        <v>6.9237567776725468</v>
      </c>
      <c r="M90" s="90">
        <f t="shared" si="14"/>
        <v>0.10548969623528792</v>
      </c>
      <c r="N90" s="91">
        <f t="shared" si="15"/>
        <v>3.5925468026852841E-2</v>
      </c>
      <c r="P90" s="86">
        <f t="shared" si="21"/>
        <v>685.71428571428487</v>
      </c>
      <c r="Q90" s="47">
        <f t="shared" si="22"/>
        <v>8.8928986135243804E-2</v>
      </c>
      <c r="R90" s="87">
        <f t="shared" si="16"/>
        <v>6.5634436582594102E-2</v>
      </c>
      <c r="S90" s="47">
        <f t="shared" si="23"/>
        <v>0.19272558321292621</v>
      </c>
      <c r="T90" s="88">
        <f t="shared" si="24"/>
        <v>8.8928986135272226E-2</v>
      </c>
      <c r="U90" s="88">
        <f t="shared" si="25"/>
        <v>192.72558321292621</v>
      </c>
      <c r="V90" s="88">
        <f t="shared" si="26"/>
        <v>6.5634436582597004</v>
      </c>
    </row>
    <row r="91" spans="1:22" x14ac:dyDescent="0.2">
      <c r="A91" s="92">
        <v>50</v>
      </c>
      <c r="B91" s="93">
        <v>700</v>
      </c>
      <c r="C91" s="94">
        <v>1.3765893509017199E-2</v>
      </c>
      <c r="D91" s="94">
        <v>1E-3</v>
      </c>
      <c r="E91" s="78">
        <v>1.0930229601986701</v>
      </c>
      <c r="G91" s="95">
        <f t="shared" si="17"/>
        <v>1.3765893509017246E-2</v>
      </c>
      <c r="H91" s="96">
        <f t="shared" si="18"/>
        <v>175.2215164831</v>
      </c>
      <c r="I91" s="96">
        <f t="shared" si="12"/>
        <v>0.1752215164831</v>
      </c>
      <c r="J91" s="96">
        <f t="shared" si="19"/>
        <v>4.3774313084014693E-2</v>
      </c>
      <c r="K91" s="96">
        <f t="shared" si="13"/>
        <v>4.3774313084014692E-4</v>
      </c>
      <c r="L91" s="96">
        <f t="shared" si="20"/>
        <v>1.0941017445187629</v>
      </c>
      <c r="M91" s="96">
        <f t="shared" si="14"/>
        <v>2.4994149934891885</v>
      </c>
      <c r="N91" s="97">
        <f t="shared" si="15"/>
        <v>6.2441061262261599E-3</v>
      </c>
      <c r="P91" s="86">
        <f t="shared" si="21"/>
        <v>700</v>
      </c>
      <c r="Q91" s="47">
        <f t="shared" si="22"/>
        <v>1.3765893509017199E-2</v>
      </c>
      <c r="R91" s="87">
        <f t="shared" si="16"/>
        <v>1E-3</v>
      </c>
      <c r="S91" s="47">
        <f t="shared" si="23"/>
        <v>0.1752215164831</v>
      </c>
      <c r="T91" s="88">
        <f t="shared" si="24"/>
        <v>1.3765893509017246E-2</v>
      </c>
      <c r="U91" s="88">
        <f t="shared" si="25"/>
        <v>175.2215164831</v>
      </c>
      <c r="V91" s="88">
        <f t="shared" si="26"/>
        <v>4.3774313084014693E-2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CEEB-927E-470C-9722-633B37305C87}">
  <sheetPr codeName="Лист15"/>
  <dimension ref="A1:AU91"/>
  <sheetViews>
    <sheetView zoomScale="85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NH(2500-3100)Н @ 2910 RPM</v>
      </c>
      <c r="C1" s="64"/>
      <c r="D1" s="64"/>
      <c r="E1" s="65">
        <v>191</v>
      </c>
      <c r="G1" s="64" t="s">
        <v>424</v>
      </c>
      <c r="H1" s="66">
        <f>VLOOKUP(num,'tnav 254'!A1:Q263,7,1)</f>
        <v>320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[0,54,108,162,216,270,324,378,432,486,540]</v>
      </c>
    </row>
    <row r="2" spans="1:47" x14ac:dyDescent="0.2">
      <c r="A2" s="67" t="s">
        <v>144</v>
      </c>
      <c r="B2" s="68" t="str">
        <f>"ЭЦН"&amp;L1&amp;"-"&amp;H1&amp;"@"&amp;f_nom&amp;"Гц"</f>
        <v>ЭЦН5А-320@50Гц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[0,54,108,162,216,270,324,378,432,486,540]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7.5681751740000003</v>
      </c>
      <c r="C5" s="73">
        <f>Напор0*(f_50_hz/f_nom)^2</f>
        <v>7.5681751740000003</v>
      </c>
      <c r="R5" s="47">
        <f>S1+num</f>
        <v>2191</v>
      </c>
      <c r="S5" s="47" t="s">
        <v>478</v>
      </c>
      <c r="T5" s="47" t="s">
        <v>479</v>
      </c>
      <c r="U5" s="47" t="str">
        <f>B2</f>
        <v>ЭЦН5А-320@50Гц</v>
      </c>
      <c r="V5" s="47">
        <v>1000</v>
      </c>
      <c r="W5" s="47">
        <f>q_nom</f>
        <v>320</v>
      </c>
      <c r="X5" s="47">
        <f>VLOOKUP(num,'tnav 254'!A1:Q263,10,1)</f>
        <v>240</v>
      </c>
      <c r="Y5" s="47">
        <f>VLOOKUP(num,'tnav 254'!A1:Q263,11,1)</f>
        <v>400</v>
      </c>
      <c r="Z5" s="47">
        <f>VLOOKUP(num,'tnav 254'!A1:Q263,9,1)</f>
        <v>540</v>
      </c>
      <c r="AA5" s="47">
        <f>VLOOKUP(num,'tnav 254'!A1:Q263,15,1)</f>
        <v>2910</v>
      </c>
      <c r="AB5" s="47">
        <f>f_nom</f>
        <v>50</v>
      </c>
      <c r="AC5" s="87">
        <f>MAX(КПД)</f>
        <v>0.70055468130292098</v>
      </c>
      <c r="AE5" s="47" t="str">
        <f>L1</f>
        <v>5А</v>
      </c>
      <c r="AF5" s="47">
        <f>VLOOKUP(num,'tnav 254'!A1:Q263,12,1)*1000</f>
        <v>103</v>
      </c>
      <c r="AQ5" s="98">
        <f>$R$5</f>
        <v>2191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7.5681751740000003</v>
      </c>
      <c r="AT5" s="104" cm="1">
        <f t="array" ref="AT5">[1]!crv_interpolation(Подача_пласт_м3_сут,$I$42:$I$91,AR5,2)</f>
        <v>0.19758204330000001</v>
      </c>
      <c r="AU5" s="105">
        <v>0</v>
      </c>
    </row>
    <row r="6" spans="1:47" x14ac:dyDescent="0.2">
      <c r="A6" s="74" t="s">
        <v>431</v>
      </c>
      <c r="B6" s="75">
        <v>-1.4081860950000001E-5</v>
      </c>
      <c r="C6" s="76">
        <f>Напор1/(f_50_hz/f_nom)*(f_50_hz/f_nom)^2</f>
        <v>-1.4081860950000001E-5</v>
      </c>
      <c r="R6" s="47">
        <f>T1+num</f>
        <v>3191</v>
      </c>
      <c r="S6" s="47" t="s">
        <v>480</v>
      </c>
      <c r="T6" s="47" t="s">
        <v>481</v>
      </c>
      <c r="U6" s="47" t="str">
        <f>"ЭЦН"&amp;L1&amp;"-"&amp;H1&amp;"@"&amp;f_50_hz&amp;"Гц"</f>
        <v>ЭЦН5А-320@50Гц</v>
      </c>
      <c r="V6" s="47">
        <v>1000</v>
      </c>
      <c r="W6" s="47">
        <f>W5*f_50_hz/f_nom</f>
        <v>320</v>
      </c>
      <c r="X6" s="47">
        <f>X5*f_50_hz/f_nom</f>
        <v>240</v>
      </c>
      <c r="Y6" s="47">
        <f>Y5*f_50_hz/f_nom</f>
        <v>400</v>
      </c>
      <c r="Z6" s="47">
        <f>Z5*f_50_hz/f_nom</f>
        <v>540</v>
      </c>
      <c r="AA6" s="47">
        <f>AA5*f_50_hz/f_nom</f>
        <v>2910</v>
      </c>
      <c r="AB6" s="47">
        <f>f_50_hz</f>
        <v>50</v>
      </c>
      <c r="AC6" s="87">
        <f>AC5</f>
        <v>0.70055468130292098</v>
      </c>
      <c r="AE6" s="47" t="str">
        <f>AE5</f>
        <v>5А</v>
      </c>
      <c r="AF6" s="47">
        <f>AF5</f>
        <v>103</v>
      </c>
      <c r="AQ6" s="100">
        <f t="shared" ref="AQ6:AQ15" si="0">$R$5</f>
        <v>2191</v>
      </c>
      <c r="AR6" s="101">
        <v>54</v>
      </c>
      <c r="AS6" s="106" cm="1">
        <f t="array" ref="AS6">[1]!crv_interpolation(Подача_пласт_м3_сут,Напор_м,AR6,2)</f>
        <v>7.2430122718256937</v>
      </c>
      <c r="AT6" s="106" cm="1">
        <f t="array" ref="AT6">[1]!crv_interpolation(Подача_пласт_м3_сут,$I$42:$I$91,AR6,2)</f>
        <v>0.19609852837029859</v>
      </c>
      <c r="AU6" s="107" cm="1">
        <f t="array" ref="AU6">[1]!crv_interpolation(Подача_пласт_м3_сут,КПД,AR6,2)</f>
        <v>0.22385708706768168</v>
      </c>
    </row>
    <row r="7" spans="1:47" x14ac:dyDescent="0.2">
      <c r="A7" s="74" t="s">
        <v>432</v>
      </c>
      <c r="B7" s="75">
        <v>-1.673854073E-4</v>
      </c>
      <c r="C7" s="76">
        <f>Напор2/((f_50_hz/f_nom)^2)*(f_50_hz/f_nom)^2</f>
        <v>-1.673854073E-4</v>
      </c>
      <c r="AQ7" s="100">
        <f t="shared" si="0"/>
        <v>2191</v>
      </c>
      <c r="AR7" s="101">
        <v>108</v>
      </c>
      <c r="AS7" s="106" cm="1">
        <f t="array" ref="AS7">[1]!crv_interpolation(Подача_пласт_м3_сут,Напор_м,AR7,2)</f>
        <v>6.682462689149637</v>
      </c>
      <c r="AT7" s="106" cm="1">
        <f t="array" ref="AT7">[1]!crv_interpolation(Подача_пласт_м3_сут,$I$42:$I$91,AR7,2)</f>
        <v>0.19958983841667149</v>
      </c>
      <c r="AU7" s="107" cm="1">
        <f t="array" ref="AU7">[1]!crv_interpolation(Подача_пласт_м3_сут,КПД,AR7,2)</f>
        <v>0.41321063452260703</v>
      </c>
    </row>
    <row r="8" spans="1:47" x14ac:dyDescent="0.2">
      <c r="A8" s="74" t="s">
        <v>433</v>
      </c>
      <c r="B8" s="75">
        <v>1.274076567E-6</v>
      </c>
      <c r="C8" s="76">
        <f>Напор3/((f_50_hz/f_nom)^3)*(f_50_hz/f_nom)^2</f>
        <v>1.274076567E-6</v>
      </c>
      <c r="AQ8" s="100">
        <f t="shared" si="0"/>
        <v>2191</v>
      </c>
      <c r="AR8" s="101">
        <v>162</v>
      </c>
      <c r="AS8" s="106" cm="1">
        <f t="array" ref="AS8">[1]!crv_interpolation(Подача_пласт_м3_сут,Напор_м,AR8,2)</f>
        <v>6.129620519006779</v>
      </c>
      <c r="AT8" s="106" cm="1">
        <f t="array" ref="AT8">[1]!crv_interpolation(Подача_пласт_м3_сут,$I$42:$I$91,AR8,2)</f>
        <v>0.20585967185740464</v>
      </c>
      <c r="AU8" s="107" cm="1">
        <f t="array" ref="AU8">[1]!crv_interpolation(Подача_пласт_м3_сут,КПД,AR8,2)</f>
        <v>0.55120635507038684</v>
      </c>
    </row>
    <row r="9" spans="1:47" x14ac:dyDescent="0.2">
      <c r="A9" s="74" t="s">
        <v>434</v>
      </c>
      <c r="B9" s="75">
        <v>-4.7913379470000003E-9</v>
      </c>
      <c r="C9" s="76">
        <f>Напор4/((f_50_hz/f_nom)^4)*(f_50_hz/f_nom)^2</f>
        <v>-4.7913379470000003E-9</v>
      </c>
      <c r="Y9" s="119" t="s">
        <v>489</v>
      </c>
      <c r="Z9" s="47">
        <f>Z5</f>
        <v>540</v>
      </c>
      <c r="AQ9" s="100">
        <f t="shared" si="0"/>
        <v>2191</v>
      </c>
      <c r="AR9" s="101">
        <v>216</v>
      </c>
      <c r="AS9" s="106" cm="1">
        <f t="array" ref="AS9">[1]!crv_interpolation(Подача_пласт_м3_сут,Напор_м,AR9,2)</f>
        <v>5.562133405563225</v>
      </c>
      <c r="AT9" s="106" cm="1">
        <f t="array" ref="AT9">[1]!crv_interpolation(Подача_пласт_м3_сут,$I$42:$I$91,AR9,2)</f>
        <v>0.21265559991984154</v>
      </c>
      <c r="AU9" s="107" cm="1">
        <f t="array" ref="AU9">[1]!crv_interpolation(Подача_пласт_м3_сут,КПД,AR9,2)</f>
        <v>0.63883234052041937</v>
      </c>
    </row>
    <row r="10" spans="1:47" x14ac:dyDescent="0.2">
      <c r="A10" s="74" t="s">
        <v>435</v>
      </c>
      <c r="B10" s="75">
        <v>8.4382255199999997E-12</v>
      </c>
      <c r="C10" s="76">
        <f>Напор5/((f_50_hz/f_nom)^5)*(f_50_hz/f_nom)^2</f>
        <v>8.4382255199999997E-12</v>
      </c>
      <c r="AQ10" s="100">
        <f t="shared" si="0"/>
        <v>2191</v>
      </c>
      <c r="AR10" s="101">
        <v>270</v>
      </c>
      <c r="AS10" s="106" cm="1">
        <f t="array" ref="AS10">[1]!crv_interpolation(Подача_пласт_м3_сут,Напор_м,AR10,2)</f>
        <v>4.9060585196552156</v>
      </c>
      <c r="AT10" s="106" cm="1">
        <f t="array" ref="AT10">[1]!crv_interpolation(Подача_пласт_м3_сут,$I$42:$I$91,AR10,2)</f>
        <v>0.21767328292735899</v>
      </c>
      <c r="AU10" s="107" cm="1">
        <f t="array" ref="AU10">[1]!crv_interpolation(Подача_пласт_м3_сут,КПД,AR10,2)</f>
        <v>0.68580068498536728</v>
      </c>
    </row>
    <row r="11" spans="1:47" x14ac:dyDescent="0.2">
      <c r="A11" s="74" t="s">
        <v>436</v>
      </c>
      <c r="B11" s="75">
        <v>-5.622755678E-15</v>
      </c>
      <c r="C11" s="76">
        <f>Напор6/((f_50_hz/f_nom)^6)*(f_50_hz/f_nom)^2</f>
        <v>-5.622755678E-15</v>
      </c>
      <c r="AQ11" s="100">
        <f t="shared" si="0"/>
        <v>2191</v>
      </c>
      <c r="AR11" s="101">
        <v>324</v>
      </c>
      <c r="AS11" s="106" cm="1">
        <f t="array" ref="AS11">[1]!crv_interpolation(Подача_пласт_м3_сут,Напор_м,AR11,2)</f>
        <v>4.1497989261301766</v>
      </c>
      <c r="AT11" s="106" cm="1">
        <f t="array" ref="AT11">[1]!crv_interpolation(Подача_пласт_м3_сут,$I$42:$I$91,AR11,2)</f>
        <v>0.21855225597432737</v>
      </c>
      <c r="AU11" s="107" cm="1">
        <f t="array" ref="AU11">[1]!crv_interpolation(Подача_пласт_м3_сут,КПД,AR11,2)</f>
        <v>0.70060311069805459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2191</v>
      </c>
      <c r="AR12" s="101">
        <v>378</v>
      </c>
      <c r="AS12" s="106" cm="1">
        <f t="array" ref="AS12">[1]!crv_interpolation(Подача_пласт_м3_сут,Напор_м,AR12,2)</f>
        <v>3.3572738848287638</v>
      </c>
      <c r="AT12" s="106" cm="1">
        <f t="array" ref="AT12">[1]!crv_interpolation(Подача_пласт_м3_сут,$I$42:$I$91,AR12,2)</f>
        <v>0.21287803508943509</v>
      </c>
      <c r="AU12" s="107" cm="1">
        <f t="array" ref="AU12">[1]!crv_interpolation(Подача_пласт_м3_сут,КПД,AR12,2)</f>
        <v>0.68056675197848615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2191</v>
      </c>
      <c r="AR13" s="101">
        <v>432</v>
      </c>
      <c r="AS13" s="106" cm="1">
        <f t="array" ref="AS13">[1]!crv_interpolation(Подача_пласт_м3_сут,Напор_м,AR13,2)</f>
        <v>2.5807346929846835</v>
      </c>
      <c r="AT13" s="106" cm="1">
        <f t="array" ref="AT13">[1]!crv_interpolation(Подача_пласт_м3_сут,$I$42:$I$91,AR13,2)</f>
        <v>0.1981816962615307</v>
      </c>
      <c r="AU13" s="107" cm="1">
        <f t="array" ref="AU13">[1]!crv_interpolation(Подача_пласт_м3_сут,КПД,AR13,2)</f>
        <v>0.60191025459721559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2191</v>
      </c>
      <c r="AR14" s="101">
        <v>486</v>
      </c>
      <c r="AS14" s="106" cm="1">
        <f t="array" ref="AS14">[1]!crv_interpolation(Подача_пласт_м3_сут,Напор_м,AR14,2)</f>
        <v>1.6731626484869582</v>
      </c>
      <c r="AT14" s="106" cm="1">
        <f t="array" ref="AT14">[1]!crv_interpolation(Подача_пласт_м3_сут,$I$42:$I$91,AR14,2)</f>
        <v>0.17193987542552641</v>
      </c>
      <c r="AU14" s="107" cm="1">
        <f t="array" ref="AU14">[1]!crv_interpolation(Подача_пласт_м3_сут,КПД,AR14,2)</f>
        <v>0.40979913913894789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2191</v>
      </c>
      <c r="AR15" s="103">
        <v>540</v>
      </c>
      <c r="AS15" s="108">
        <v>0</v>
      </c>
      <c r="AT15" s="108" cm="1">
        <f t="array" ref="AT15">[1]!crv_interpolation(Подача_пласт_м3_сут,$I$42:$I$91,AR15,2)</f>
        <v>0.13157476845630561</v>
      </c>
      <c r="AU15" s="109">
        <v>0</v>
      </c>
    </row>
    <row r="16" spans="1:47" x14ac:dyDescent="0.2">
      <c r="A16" s="71" t="s">
        <v>441</v>
      </c>
      <c r="B16" s="72">
        <v>197.58204330000001</v>
      </c>
      <c r="C16" s="73">
        <f>Мощность0*(f_50_hz/f_nom)^3</f>
        <v>197.58204330000001</v>
      </c>
      <c r="AQ16" s="98">
        <f>$R$6</f>
        <v>3191</v>
      </c>
      <c r="AR16" s="99">
        <f t="array" ref="AR16:AR26">[1]!decode_json($AR$2)</f>
        <v>0</v>
      </c>
      <c r="AS16" s="104" cm="1">
        <f t="array" ref="AS16">[1]!crv_interpolation(Подача_f50_,$Q$42:$Q$91,AR16,2)</f>
        <v>7.5681751740000003</v>
      </c>
      <c r="AT16" s="104" cm="1">
        <f t="array" ref="AT16">[1]!crv_interpolation(Подача_f50_,$S$42:$S$91,AR16,2)</f>
        <v>0.19758204330000001</v>
      </c>
      <c r="AU16" s="105">
        <v>0</v>
      </c>
    </row>
    <row r="17" spans="1:47" x14ac:dyDescent="0.2">
      <c r="A17" s="74" t="s">
        <v>442</v>
      </c>
      <c r="B17" s="75">
        <v>-8.6832579189999995E-2</v>
      </c>
      <c r="C17" s="76">
        <f>Мощность1/(f_50_hz/f_nom)*(f_50_hz/f_nom)^3</f>
        <v>-8.6832579189999995E-2</v>
      </c>
      <c r="AQ17" s="100">
        <f t="shared" ref="AQ17:AQ26" si="1">$R$6</f>
        <v>3191</v>
      </c>
      <c r="AR17" s="101">
        <v>54</v>
      </c>
      <c r="AS17" s="106" cm="1">
        <f t="array" ref="AS17">[1]!crv_interpolation(Подача_f50_,$Q$42:$Q$91,AR17,2)</f>
        <v>7.2430122718256937</v>
      </c>
      <c r="AT17" s="106" cm="1">
        <f t="array" ref="AT17">[1]!crv_interpolation(Подача_f50_,$S$42:$S$91,AR17,2)</f>
        <v>0.19609852837029859</v>
      </c>
      <c r="AU17" s="107" cm="1">
        <f t="array" ref="AU17">[1]!crv_interpolation(Подача_f50_,$R$42:$R$91,AR17,2)</f>
        <v>0.22385708706768168</v>
      </c>
    </row>
    <row r="18" spans="1:47" x14ac:dyDescent="0.2">
      <c r="A18" s="74" t="s">
        <v>443</v>
      </c>
      <c r="B18" s="75">
        <v>1.2210764469999999E-3</v>
      </c>
      <c r="C18" s="76">
        <f>Мощность2/((f_50_hz/f_nom)^2)*(f_50_hz/f_nom)^3</f>
        <v>1.2210764469999999E-3</v>
      </c>
      <c r="AQ18" s="100">
        <f t="shared" si="1"/>
        <v>3191</v>
      </c>
      <c r="AR18" s="101">
        <v>108</v>
      </c>
      <c r="AS18" s="106" cm="1">
        <f t="array" ref="AS18">[1]!crv_interpolation(Подача_f50_,$Q$42:$Q$91,AR18,2)</f>
        <v>6.682462689149637</v>
      </c>
      <c r="AT18" s="106" cm="1">
        <f t="array" ref="AT18">[1]!crv_interpolation(Подача_f50_,$S$42:$S$91,AR18,2)</f>
        <v>0.19958983841667149</v>
      </c>
      <c r="AU18" s="107" cm="1">
        <f t="array" ref="AU18">[1]!crv_interpolation(Подача_f50_,$R$42:$R$91,AR18,2)</f>
        <v>0.41321063452260703</v>
      </c>
    </row>
    <row r="19" spans="1:47" x14ac:dyDescent="0.2">
      <c r="A19" s="74" t="s">
        <v>444</v>
      </c>
      <c r="B19" s="75">
        <v>-2.2386282449999999E-6</v>
      </c>
      <c r="C19" s="76">
        <f>Мощность3/((f_50_hz/f_nom)^3)*(f_50_hz/f_nom)^3</f>
        <v>-2.2386282449999999E-6</v>
      </c>
      <c r="AQ19" s="100">
        <f t="shared" si="1"/>
        <v>3191</v>
      </c>
      <c r="AR19" s="101">
        <v>162</v>
      </c>
      <c r="AS19" s="106" cm="1">
        <f t="array" ref="AS19">[1]!crv_interpolation(Подача_f50_,$Q$42:$Q$91,AR19,2)</f>
        <v>6.129620519006779</v>
      </c>
      <c r="AT19" s="106" cm="1">
        <f t="array" ref="AT19">[1]!crv_interpolation(Подача_f50_,$S$42:$S$91,AR19,2)</f>
        <v>0.20585967185740464</v>
      </c>
      <c r="AU19" s="107" cm="1">
        <f t="array" ref="AU19">[1]!crv_interpolation(Подача_f50_,$R$42:$R$91,AR19,2)</f>
        <v>0.55120635507038684</v>
      </c>
    </row>
    <row r="20" spans="1:47" x14ac:dyDescent="0.2">
      <c r="A20" s="74" t="s">
        <v>445</v>
      </c>
      <c r="B20" s="75">
        <v>-2.6673017389999999E-10</v>
      </c>
      <c r="C20" s="76">
        <f>Мощность4/((f_50_hz/f_nom)^4)*(f_50_hz/f_nom)^3</f>
        <v>-2.6673017389999999E-10</v>
      </c>
      <c r="AQ20" s="100">
        <f t="shared" si="1"/>
        <v>3191</v>
      </c>
      <c r="AR20" s="101">
        <v>216</v>
      </c>
      <c r="AS20" s="106" cm="1">
        <f t="array" ref="AS20">[1]!crv_interpolation(Подача_f50_,$Q$42:$Q$91,AR20,2)</f>
        <v>5.562133405563225</v>
      </c>
      <c r="AT20" s="106" cm="1">
        <f t="array" ref="AT20">[1]!crv_interpolation(Подача_f50_,$S$42:$S$91,AR20,2)</f>
        <v>0.21265559991984154</v>
      </c>
      <c r="AU20" s="107" cm="1">
        <f t="array" ref="AU20">[1]!crv_interpolation(Подача_f50_,$R$42:$R$91,AR20,2)</f>
        <v>0.63883234052041937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3191</v>
      </c>
      <c r="AR21" s="101">
        <v>270</v>
      </c>
      <c r="AS21" s="106" cm="1">
        <f t="array" ref="AS21">[1]!crv_interpolation(Подача_f50_,$Q$42:$Q$91,AR21,2)</f>
        <v>4.9060585196552156</v>
      </c>
      <c r="AT21" s="106" cm="1">
        <f t="array" ref="AT21">[1]!crv_interpolation(Подача_f50_,$S$42:$S$91,AR21,2)</f>
        <v>0.21767328292735899</v>
      </c>
      <c r="AU21" s="107" cm="1">
        <f t="array" ref="AU21">[1]!crv_interpolation(Подача_f50_,$R$42:$R$91,AR21,2)</f>
        <v>0.68580068498536728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3191</v>
      </c>
      <c r="AR22" s="101">
        <v>324</v>
      </c>
      <c r="AS22" s="106" cm="1">
        <f t="array" ref="AS22">[1]!crv_interpolation(Подача_f50_,$Q$42:$Q$91,AR22,2)</f>
        <v>4.1497989261301766</v>
      </c>
      <c r="AT22" s="106" cm="1">
        <f t="array" ref="AT22">[1]!crv_interpolation(Подача_f50_,$S$42:$S$91,AR22,2)</f>
        <v>0.21855225597432737</v>
      </c>
      <c r="AU22" s="107" cm="1">
        <f t="array" ref="AU22">[1]!crv_interpolation(Подача_f50_,$R$42:$R$91,AR22,2)</f>
        <v>0.70060311069805459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3191</v>
      </c>
      <c r="AR23" s="101">
        <v>378</v>
      </c>
      <c r="AS23" s="106" cm="1">
        <f t="array" ref="AS23">[1]!crv_interpolation(Подача_f50_,$Q$42:$Q$91,AR23,2)</f>
        <v>3.3572738848287638</v>
      </c>
      <c r="AT23" s="106" cm="1">
        <f t="array" ref="AT23">[1]!crv_interpolation(Подача_f50_,$S$42:$S$91,AR23,2)</f>
        <v>0.21287803508943509</v>
      </c>
      <c r="AU23" s="107" cm="1">
        <f t="array" ref="AU23">[1]!crv_interpolation(Подача_f50_,$R$42:$R$91,AR23,2)</f>
        <v>0.68056675197848615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3191</v>
      </c>
      <c r="AR24" s="101">
        <v>432</v>
      </c>
      <c r="AS24" s="106" cm="1">
        <f t="array" ref="AS24">[1]!crv_interpolation(Подача_f50_,$Q$42:$Q$91,AR24,2)</f>
        <v>2.5807346929846835</v>
      </c>
      <c r="AT24" s="106" cm="1">
        <f t="array" ref="AT24">[1]!crv_interpolation(Подача_f50_,$S$42:$S$91,AR24,2)</f>
        <v>0.1981816962615307</v>
      </c>
      <c r="AU24" s="107" cm="1">
        <f t="array" ref="AU24">[1]!crv_interpolation(Подача_f50_,$R$42:$R$91,AR24,2)</f>
        <v>0.60191025459721559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3191</v>
      </c>
      <c r="AR25" s="101">
        <v>486</v>
      </c>
      <c r="AS25" s="106" cm="1">
        <f t="array" ref="AS25">[1]!crv_interpolation(Подача_f50_,$Q$42:$Q$91,AR25,2)</f>
        <v>1.6731626484869595</v>
      </c>
      <c r="AT25" s="106" cm="1">
        <f t="array" ref="AT25">[1]!crv_interpolation(Подача_f50_,$S$42:$S$91,AR25,2)</f>
        <v>0.17193987542552647</v>
      </c>
      <c r="AU25" s="107" cm="1">
        <f t="array" ref="AU25">[1]!crv_interpolation(Подача_f50_,$R$42:$R$91,AR25,2)</f>
        <v>0.40979913913894822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3191</v>
      </c>
      <c r="AR26" s="103">
        <v>540</v>
      </c>
      <c r="AS26" s="108">
        <v>0</v>
      </c>
      <c r="AT26" s="108" cm="1">
        <f t="array" ref="AT26">[1]!crv_interpolation(Подача_f50_,$S$42:$S$91,AR26,2)</f>
        <v>0.13157476845630561</v>
      </c>
      <c r="AU26" s="109">
        <v>0</v>
      </c>
    </row>
    <row r="27" spans="1:47" x14ac:dyDescent="0.2">
      <c r="A27" s="74" t="s">
        <v>452</v>
      </c>
      <c r="B27" s="75">
        <v>8.2631288050000001E-2</v>
      </c>
      <c r="C27" s="73">
        <f>К.П.Д.0</f>
        <v>8.2631288050000001E-2</v>
      </c>
    </row>
    <row r="28" spans="1:47" x14ac:dyDescent="0.2">
      <c r="A28" s="74" t="s">
        <v>453</v>
      </c>
      <c r="B28" s="75">
        <v>0.42099672269999999</v>
      </c>
      <c r="C28" s="76">
        <f>К.П.Д.1/(f_50_hz/f_nom)</f>
        <v>0.42099672269999999</v>
      </c>
    </row>
    <row r="29" spans="1:47" x14ac:dyDescent="0.2">
      <c r="A29" s="74" t="s">
        <v>454</v>
      </c>
      <c r="B29" s="75">
        <v>1.606442707E-4</v>
      </c>
      <c r="C29" s="76">
        <f>К.П.Д.2/((f_50_hz/f_nom)^2)</f>
        <v>1.606442707E-4</v>
      </c>
    </row>
    <row r="30" spans="1:47" x14ac:dyDescent="0.2">
      <c r="A30" s="74" t="s">
        <v>455</v>
      </c>
      <c r="B30" s="75">
        <v>-6.6738710369999996E-6</v>
      </c>
      <c r="C30" s="76">
        <f>К.П.Д.3/((f_50_hz/f_nom)^3)</f>
        <v>-6.6738710369999996E-6</v>
      </c>
    </row>
    <row r="31" spans="1:47" x14ac:dyDescent="0.2">
      <c r="A31" s="74" t="s">
        <v>456</v>
      </c>
      <c r="B31" s="75">
        <v>1.8885746720000001E-8</v>
      </c>
      <c r="C31" s="76">
        <f>К.П.Д.4/((f_50_hz/f_nom)^4)</f>
        <v>1.8885746720000001E-8</v>
      </c>
    </row>
    <row r="32" spans="1:47" x14ac:dyDescent="0.2">
      <c r="A32" s="74" t="s">
        <v>457</v>
      </c>
      <c r="B32" s="75">
        <v>-1.804135163E-11</v>
      </c>
      <c r="C32" s="76">
        <f>К.П.Д.5/((f_50_hz/f_nom)^5)</f>
        <v>-1.804135163E-11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7.5681751740000003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7.5681751740000003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197.58204330000001</v>
      </c>
      <c r="I42" s="84">
        <f>H42/1000</f>
        <v>0.19758204330000001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8.2631288050000001E-2</v>
      </c>
      <c r="K42" s="84">
        <f>J42/100</f>
        <v>8.263128805E-4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7.5681751740000003</v>
      </c>
      <c r="R42" s="87">
        <f>D42</f>
        <v>1E-3</v>
      </c>
      <c r="S42" s="47">
        <f t="shared" ref="S42:S73" si="8">I42*(f_50_hz/f_nom)^3</f>
        <v>0.19758204330000001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7.5681751740000003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197.58204330000001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8.2631288050000001E-2</v>
      </c>
    </row>
    <row r="43" spans="1:22" x14ac:dyDescent="0.2">
      <c r="A43" s="80">
        <v>2</v>
      </c>
      <c r="B43" s="81">
        <v>11.0204081632653</v>
      </c>
      <c r="C43" s="82">
        <v>7.5493270710572098</v>
      </c>
      <c r="D43" s="82">
        <v>4.7330403332995201E-2</v>
      </c>
      <c r="E43" s="75">
        <v>0.19938503325422599</v>
      </c>
      <c r="G43" s="89">
        <f t="shared" si="2"/>
        <v>7.5493270710572151</v>
      </c>
      <c r="H43" s="90">
        <f t="shared" si="3"/>
        <v>196.77041166915561</v>
      </c>
      <c r="I43" s="90">
        <f t="shared" ref="I43:I91" si="12">H43/1000</f>
        <v>0.1967704116691556</v>
      </c>
      <c r="J43" s="90">
        <f t="shared" si="4"/>
        <v>4.7330403332995239</v>
      </c>
      <c r="K43" s="90">
        <f t="shared" ref="K43:K91" si="13">J43/100</f>
        <v>4.7330403332995236E-2</v>
      </c>
      <c r="L43" s="90">
        <f t="shared" si="5"/>
        <v>9.4462880825345916</v>
      </c>
      <c r="M43" s="90">
        <f t="shared" ref="M43:M91" si="14">IF(K43&gt;0,L43/K43,0)/1000</f>
        <v>0.19958182092966326</v>
      </c>
      <c r="N43" s="91">
        <f t="shared" ref="N43:N91" si="15">L43/H43</f>
        <v>4.8006648979407138E-2</v>
      </c>
      <c r="P43" s="86">
        <f t="shared" si="6"/>
        <v>11.0204081632653</v>
      </c>
      <c r="Q43" s="47">
        <f t="shared" si="7"/>
        <v>7.5493270710572098</v>
      </c>
      <c r="R43" s="87">
        <f t="shared" ref="R43:R91" si="16">D43</f>
        <v>4.7330403332995201E-2</v>
      </c>
      <c r="S43" s="47">
        <f t="shared" si="8"/>
        <v>0.1967704116691556</v>
      </c>
      <c r="T43" s="88">
        <f t="shared" si="9"/>
        <v>7.5493270710572151</v>
      </c>
      <c r="U43" s="88">
        <f t="shared" si="10"/>
        <v>196.77041166915561</v>
      </c>
      <c r="V43" s="88">
        <f t="shared" si="11"/>
        <v>4.7330403332995239</v>
      </c>
    </row>
    <row r="44" spans="1:22" x14ac:dyDescent="0.2">
      <c r="A44" s="80">
        <v>3</v>
      </c>
      <c r="B44" s="81">
        <v>22.040816326530599</v>
      </c>
      <c r="C44" s="82">
        <v>7.4991038831821104</v>
      </c>
      <c r="D44" s="82">
        <v>9.3726868623804305E-2</v>
      </c>
      <c r="E44" s="75">
        <v>0.200032138026946</v>
      </c>
      <c r="G44" s="89">
        <f t="shared" si="2"/>
        <v>7.4991038831821175</v>
      </c>
      <c r="H44" s="90">
        <f t="shared" si="3"/>
        <v>196.23734557818901</v>
      </c>
      <c r="I44" s="90">
        <f t="shared" si="12"/>
        <v>0.196237345578189</v>
      </c>
      <c r="J44" s="90">
        <f t="shared" si="4"/>
        <v>9.37268686238043</v>
      </c>
      <c r="K44" s="90">
        <f t="shared" si="13"/>
        <v>9.3726868623804305E-2</v>
      </c>
      <c r="L44" s="90">
        <f t="shared" si="5"/>
        <v>18.766890075004198</v>
      </c>
      <c r="M44" s="90">
        <f t="shared" si="14"/>
        <v>0.20022956437742201</v>
      </c>
      <c r="N44" s="91">
        <f t="shared" si="15"/>
        <v>9.563363191501538E-2</v>
      </c>
      <c r="P44" s="86">
        <f t="shared" si="6"/>
        <v>22.040816326530599</v>
      </c>
      <c r="Q44" s="47">
        <f t="shared" si="7"/>
        <v>7.4991038831821104</v>
      </c>
      <c r="R44" s="87">
        <f t="shared" si="16"/>
        <v>9.3726868623804305E-2</v>
      </c>
      <c r="S44" s="47">
        <f t="shared" si="8"/>
        <v>0.196237345578189</v>
      </c>
      <c r="T44" s="88">
        <f t="shared" si="9"/>
        <v>7.4991038831821175</v>
      </c>
      <c r="U44" s="88">
        <f t="shared" si="10"/>
        <v>196.23734557818901</v>
      </c>
      <c r="V44" s="88">
        <f t="shared" si="11"/>
        <v>9.37268686238043</v>
      </c>
    </row>
    <row r="45" spans="1:22" x14ac:dyDescent="0.2">
      <c r="A45" s="80">
        <v>4</v>
      </c>
      <c r="B45" s="81">
        <v>33.061224489795897</v>
      </c>
      <c r="C45" s="82">
        <v>7.4253932361308497</v>
      </c>
      <c r="D45" s="82">
        <v>0.13957564550492299</v>
      </c>
      <c r="E45" s="75">
        <v>0.199505827983709</v>
      </c>
      <c r="G45" s="89">
        <f t="shared" si="2"/>
        <v>7.4253932361308568</v>
      </c>
      <c r="H45" s="90">
        <f t="shared" si="3"/>
        <v>195.96472601917225</v>
      </c>
      <c r="I45" s="90">
        <f t="shared" si="12"/>
        <v>0.19596472601917225</v>
      </c>
      <c r="J45" s="90">
        <f t="shared" si="4"/>
        <v>13.957564550492386</v>
      </c>
      <c r="K45" s="90">
        <f t="shared" si="13"/>
        <v>0.13957564550492385</v>
      </c>
      <c r="L45" s="90">
        <f t="shared" si="5"/>
        <v>27.87363813001668</v>
      </c>
      <c r="M45" s="90">
        <f t="shared" si="14"/>
        <v>0.19970273488030096</v>
      </c>
      <c r="N45" s="91">
        <f t="shared" si="15"/>
        <v>0.14223803791754674</v>
      </c>
      <c r="P45" s="86">
        <f t="shared" si="6"/>
        <v>33.061224489795897</v>
      </c>
      <c r="Q45" s="47">
        <f t="shared" si="7"/>
        <v>7.4253932361308497</v>
      </c>
      <c r="R45" s="87">
        <f t="shared" si="16"/>
        <v>0.13957564550492299</v>
      </c>
      <c r="S45" s="47">
        <f t="shared" si="8"/>
        <v>0.19596472601917225</v>
      </c>
      <c r="T45" s="88">
        <f t="shared" si="9"/>
        <v>7.4253932361308568</v>
      </c>
      <c r="U45" s="88">
        <f t="shared" si="10"/>
        <v>195.96472601917225</v>
      </c>
      <c r="V45" s="88">
        <f t="shared" si="11"/>
        <v>13.957564550492386</v>
      </c>
    </row>
    <row r="46" spans="1:22" x14ac:dyDescent="0.2">
      <c r="A46" s="80">
        <v>5</v>
      </c>
      <c r="B46" s="81">
        <v>44.081632653061199</v>
      </c>
      <c r="C46" s="82">
        <v>7.3347001072139504</v>
      </c>
      <c r="D46" s="82">
        <v>0.184496487756248</v>
      </c>
      <c r="E46" s="75">
        <v>0.198782784170315</v>
      </c>
      <c r="G46" s="89">
        <f t="shared" si="2"/>
        <v>7.3347001072139522</v>
      </c>
      <c r="H46" s="90">
        <f t="shared" si="3"/>
        <v>195.93433956197887</v>
      </c>
      <c r="I46" s="90">
        <f t="shared" si="12"/>
        <v>0.19593433956197887</v>
      </c>
      <c r="J46" s="90">
        <f t="shared" si="4"/>
        <v>18.449648775624798</v>
      </c>
      <c r="K46" s="90">
        <f t="shared" si="13"/>
        <v>0.18449648775624797</v>
      </c>
      <c r="L46" s="90">
        <f t="shared" si="5"/>
        <v>36.710922475392259</v>
      </c>
      <c r="M46" s="90">
        <f t="shared" si="14"/>
        <v>0.19897897744207352</v>
      </c>
      <c r="N46" s="91">
        <f t="shared" si="15"/>
        <v>0.1873633920295002</v>
      </c>
      <c r="P46" s="86">
        <f t="shared" si="6"/>
        <v>44.081632653061199</v>
      </c>
      <c r="Q46" s="47">
        <f t="shared" si="7"/>
        <v>7.3347001072139504</v>
      </c>
      <c r="R46" s="87">
        <f t="shared" si="16"/>
        <v>0.184496487756248</v>
      </c>
      <c r="S46" s="47">
        <f t="shared" si="8"/>
        <v>0.19593433956197887</v>
      </c>
      <c r="T46" s="88">
        <f t="shared" si="9"/>
        <v>7.3347001072139522</v>
      </c>
      <c r="U46" s="88">
        <f t="shared" si="10"/>
        <v>195.93433956197887</v>
      </c>
      <c r="V46" s="88">
        <f t="shared" si="11"/>
        <v>18.449648775624798</v>
      </c>
    </row>
    <row r="47" spans="1:22" x14ac:dyDescent="0.2">
      <c r="A47" s="80">
        <v>6</v>
      </c>
      <c r="B47" s="81">
        <v>55.1020408163265</v>
      </c>
      <c r="C47" s="82">
        <v>7.2322932914462497</v>
      </c>
      <c r="D47" s="82">
        <v>0.22816544702797001</v>
      </c>
      <c r="E47" s="75">
        <v>0.19811651366944599</v>
      </c>
      <c r="G47" s="89">
        <f t="shared" si="2"/>
        <v>7.2322932914462505</v>
      </c>
      <c r="H47" s="90">
        <f t="shared" si="3"/>
        <v>196.12787835428372</v>
      </c>
      <c r="I47" s="90">
        <f t="shared" si="12"/>
        <v>0.19612787835428372</v>
      </c>
      <c r="J47" s="90">
        <f t="shared" si="4"/>
        <v>22.816544702797078</v>
      </c>
      <c r="K47" s="90">
        <f t="shared" si="13"/>
        <v>0.22816544702797079</v>
      </c>
      <c r="L47" s="90">
        <f t="shared" si="5"/>
        <v>45.247957390999787</v>
      </c>
      <c r="M47" s="90">
        <f t="shared" si="14"/>
        <v>0.19831204935010532</v>
      </c>
      <c r="N47" s="91">
        <f t="shared" si="15"/>
        <v>0.23070640324403174</v>
      </c>
      <c r="P47" s="86">
        <f t="shared" si="6"/>
        <v>55.1020408163265</v>
      </c>
      <c r="Q47" s="47">
        <f t="shared" si="7"/>
        <v>7.2322932914462497</v>
      </c>
      <c r="R47" s="87">
        <f t="shared" si="16"/>
        <v>0.22816544702797001</v>
      </c>
      <c r="S47" s="47">
        <f t="shared" si="8"/>
        <v>0.19612787835428372</v>
      </c>
      <c r="T47" s="88">
        <f t="shared" si="9"/>
        <v>7.2322932914462505</v>
      </c>
      <c r="U47" s="88">
        <f t="shared" si="10"/>
        <v>196.12787835428372</v>
      </c>
      <c r="V47" s="88">
        <f t="shared" si="11"/>
        <v>22.816544702797078</v>
      </c>
    </row>
    <row r="48" spans="1:22" x14ac:dyDescent="0.2">
      <c r="A48" s="80">
        <v>7</v>
      </c>
      <c r="B48" s="81">
        <v>66.122448979591795</v>
      </c>
      <c r="C48" s="82">
        <v>7.1223446155300199</v>
      </c>
      <c r="D48" s="82">
        <v>0.27031135368298898</v>
      </c>
      <c r="E48" s="75">
        <v>0.19762162463758301</v>
      </c>
      <c r="G48" s="89">
        <f t="shared" si="2"/>
        <v>7.1223446155300278</v>
      </c>
      <c r="H48" s="90">
        <f t="shared" si="3"/>
        <v>196.52694012156294</v>
      </c>
      <c r="I48" s="90">
        <f t="shared" si="12"/>
        <v>0.19652694012156294</v>
      </c>
      <c r="J48" s="90">
        <f t="shared" si="4"/>
        <v>27.031135368298969</v>
      </c>
      <c r="K48" s="90">
        <f t="shared" si="13"/>
        <v>0.2703113536829897</v>
      </c>
      <c r="L48" s="90">
        <f t="shared" si="5"/>
        <v>53.472092355879681</v>
      </c>
      <c r="M48" s="90">
        <f t="shared" si="14"/>
        <v>0.19781667187605298</v>
      </c>
      <c r="N48" s="91">
        <f t="shared" si="15"/>
        <v>0.27208530455317825</v>
      </c>
      <c r="P48" s="86">
        <f t="shared" si="6"/>
        <v>66.122448979591795</v>
      </c>
      <c r="Q48" s="47">
        <f t="shared" si="7"/>
        <v>7.1223446155300199</v>
      </c>
      <c r="R48" s="87">
        <f t="shared" si="16"/>
        <v>0.27031135368298898</v>
      </c>
      <c r="S48" s="47">
        <f t="shared" si="8"/>
        <v>0.19652694012156294</v>
      </c>
      <c r="T48" s="88">
        <f t="shared" si="9"/>
        <v>7.1223446155300278</v>
      </c>
      <c r="U48" s="88">
        <f t="shared" si="10"/>
        <v>196.52694012156294</v>
      </c>
      <c r="V48" s="88">
        <f t="shared" si="11"/>
        <v>27.031135368298969</v>
      </c>
    </row>
    <row r="49" spans="1:22" x14ac:dyDescent="0.2">
      <c r="A49" s="80">
        <v>8</v>
      </c>
      <c r="B49" s="81">
        <v>77.142857142857096</v>
      </c>
      <c r="C49" s="82">
        <v>7.0080608996712304</v>
      </c>
      <c r="D49" s="82">
        <v>0.31071229763930802</v>
      </c>
      <c r="E49" s="75">
        <v>0.197361293933244</v>
      </c>
      <c r="G49" s="89">
        <f t="shared" si="2"/>
        <v>7.0080608996712357</v>
      </c>
      <c r="H49" s="90">
        <f t="shared" si="3"/>
        <v>197.113028167094</v>
      </c>
      <c r="I49" s="90">
        <f t="shared" si="12"/>
        <v>0.197113028167094</v>
      </c>
      <c r="J49" s="90">
        <f t="shared" si="4"/>
        <v>31.071229763930813</v>
      </c>
      <c r="K49" s="90">
        <f t="shared" si="13"/>
        <v>0.31071229763930813</v>
      </c>
      <c r="L49" s="90">
        <f t="shared" si="5"/>
        <v>61.383104844441725</v>
      </c>
      <c r="M49" s="90">
        <f t="shared" si="14"/>
        <v>0.19755608423229712</v>
      </c>
      <c r="N49" s="91">
        <f t="shared" si="15"/>
        <v>0.31141069372850821</v>
      </c>
      <c r="P49" s="86">
        <f t="shared" si="6"/>
        <v>77.142857142857096</v>
      </c>
      <c r="Q49" s="47">
        <f t="shared" si="7"/>
        <v>7.0080608996712304</v>
      </c>
      <c r="R49" s="87">
        <f t="shared" si="16"/>
        <v>0.31071229763930802</v>
      </c>
      <c r="S49" s="47">
        <f t="shared" si="8"/>
        <v>0.197113028167094</v>
      </c>
      <c r="T49" s="88">
        <f t="shared" si="9"/>
        <v>7.0080608996712357</v>
      </c>
      <c r="U49" s="88">
        <f t="shared" si="10"/>
        <v>197.113028167094</v>
      </c>
      <c r="V49" s="88">
        <f t="shared" si="11"/>
        <v>31.071229763930813</v>
      </c>
    </row>
    <row r="50" spans="1:22" x14ac:dyDescent="0.2">
      <c r="A50" s="80">
        <v>9</v>
      </c>
      <c r="B50" s="81">
        <v>88.163265306122398</v>
      </c>
      <c r="C50" s="82">
        <v>6.8918086672288696</v>
      </c>
      <c r="D50" s="82">
        <v>0.34919210921243798</v>
      </c>
      <c r="E50" s="75">
        <v>0.19737097963775399</v>
      </c>
      <c r="G50" s="89">
        <f t="shared" si="2"/>
        <v>6.8918086672288759</v>
      </c>
      <c r="H50" s="90">
        <f t="shared" si="3"/>
        <v>197.86755137195564</v>
      </c>
      <c r="I50" s="90">
        <f t="shared" si="12"/>
        <v>0.19786755137195564</v>
      </c>
      <c r="J50" s="90">
        <f t="shared" si="4"/>
        <v>34.919210921243867</v>
      </c>
      <c r="K50" s="90">
        <f t="shared" si="13"/>
        <v>0.34919210921243865</v>
      </c>
      <c r="L50" s="90">
        <f t="shared" si="5"/>
        <v>68.988411250525687</v>
      </c>
      <c r="M50" s="90">
        <f t="shared" si="14"/>
        <v>0.19756577949633761</v>
      </c>
      <c r="N50" s="91">
        <f t="shared" si="15"/>
        <v>0.34865954913870539</v>
      </c>
      <c r="P50" s="86">
        <f t="shared" si="6"/>
        <v>88.163265306122398</v>
      </c>
      <c r="Q50" s="47">
        <f t="shared" si="7"/>
        <v>6.8918086672288696</v>
      </c>
      <c r="R50" s="87">
        <f t="shared" si="16"/>
        <v>0.34919210921243798</v>
      </c>
      <c r="S50" s="47">
        <f t="shared" si="8"/>
        <v>0.19786755137195564</v>
      </c>
      <c r="T50" s="88">
        <f t="shared" si="9"/>
        <v>6.8918086672288759</v>
      </c>
      <c r="U50" s="88">
        <f t="shared" si="10"/>
        <v>197.86755137195564</v>
      </c>
      <c r="V50" s="88">
        <f t="shared" si="11"/>
        <v>34.919210921243867</v>
      </c>
    </row>
    <row r="51" spans="1:22" x14ac:dyDescent="0.2">
      <c r="A51" s="80">
        <v>10</v>
      </c>
      <c r="B51" s="81">
        <v>99.183673469387699</v>
      </c>
      <c r="C51" s="82">
        <v>6.7752316021975201</v>
      </c>
      <c r="D51" s="82">
        <v>0.38561683995780499</v>
      </c>
      <c r="E51" s="75">
        <v>0.19766746048199199</v>
      </c>
      <c r="G51" s="89">
        <f t="shared" si="2"/>
        <v>6.7752316021975227</v>
      </c>
      <c r="H51" s="90">
        <f t="shared" si="3"/>
        <v>198.7718241950281</v>
      </c>
      <c r="I51" s="90">
        <f t="shared" si="12"/>
        <v>0.19877182419502809</v>
      </c>
      <c r="J51" s="90">
        <f t="shared" si="4"/>
        <v>38.561683995780555</v>
      </c>
      <c r="K51" s="90">
        <f t="shared" si="13"/>
        <v>0.38561683995780555</v>
      </c>
      <c r="L51" s="90">
        <f t="shared" si="5"/>
        <v>76.299132418114638</v>
      </c>
      <c r="M51" s="90">
        <f t="shared" si="14"/>
        <v>0.19786255295921035</v>
      </c>
      <c r="N51" s="91">
        <f t="shared" si="15"/>
        <v>0.38385285604287933</v>
      </c>
      <c r="P51" s="86">
        <f t="shared" si="6"/>
        <v>99.183673469387699</v>
      </c>
      <c r="Q51" s="47">
        <f t="shared" si="7"/>
        <v>6.7752316021975201</v>
      </c>
      <c r="R51" s="87">
        <f t="shared" si="16"/>
        <v>0.38561683995780499</v>
      </c>
      <c r="S51" s="47">
        <f t="shared" si="8"/>
        <v>0.19877182419502809</v>
      </c>
      <c r="T51" s="88">
        <f t="shared" si="9"/>
        <v>6.7752316021975227</v>
      </c>
      <c r="U51" s="88">
        <f t="shared" si="10"/>
        <v>198.7718241950281</v>
      </c>
      <c r="V51" s="88">
        <f t="shared" si="11"/>
        <v>38.561683995780555</v>
      </c>
    </row>
    <row r="52" spans="1:22" x14ac:dyDescent="0.2">
      <c r="A52" s="80">
        <v>11</v>
      </c>
      <c r="B52" s="81">
        <v>110.204081632653</v>
      </c>
      <c r="C52" s="82">
        <v>6.6593607545229698</v>
      </c>
      <c r="D52" s="82">
        <v>0.41989124351314799</v>
      </c>
      <c r="E52" s="75">
        <v>0.19825321716176</v>
      </c>
      <c r="G52" s="89">
        <f t="shared" si="2"/>
        <v>6.6593607545229743</v>
      </c>
      <c r="H52" s="90">
        <f t="shared" si="3"/>
        <v>199.8070666729927</v>
      </c>
      <c r="I52" s="90">
        <f t="shared" si="12"/>
        <v>0.19980706667299269</v>
      </c>
      <c r="J52" s="90">
        <f t="shared" si="4"/>
        <v>41.9891243513148</v>
      </c>
      <c r="K52" s="90">
        <f t="shared" si="13"/>
        <v>0.41989124351314799</v>
      </c>
      <c r="L52" s="90">
        <f t="shared" si="5"/>
        <v>83.326950257487624</v>
      </c>
      <c r="M52" s="90">
        <f t="shared" si="14"/>
        <v>0.19844888776509678</v>
      </c>
      <c r="N52" s="91">
        <f t="shared" si="15"/>
        <v>0.4170370530180586</v>
      </c>
      <c r="P52" s="86">
        <f t="shared" si="6"/>
        <v>110.204081632653</v>
      </c>
      <c r="Q52" s="47">
        <f t="shared" si="7"/>
        <v>6.6593607545229698</v>
      </c>
      <c r="R52" s="87">
        <f t="shared" si="16"/>
        <v>0.41989124351314799</v>
      </c>
      <c r="S52" s="47">
        <f t="shared" si="8"/>
        <v>0.19980706667299269</v>
      </c>
      <c r="T52" s="88">
        <f t="shared" si="9"/>
        <v>6.6593607545229743</v>
      </c>
      <c r="U52" s="88">
        <f t="shared" si="10"/>
        <v>199.8070666729927</v>
      </c>
      <c r="V52" s="88">
        <f t="shared" si="11"/>
        <v>41.9891243513148</v>
      </c>
    </row>
    <row r="53" spans="1:22" x14ac:dyDescent="0.2">
      <c r="A53" s="80">
        <v>12</v>
      </c>
      <c r="B53" s="81">
        <v>121.224489795918</v>
      </c>
      <c r="C53" s="82">
        <v>6.5447174932510404</v>
      </c>
      <c r="D53" s="82">
        <v>0.45195525644092299</v>
      </c>
      <c r="E53" s="75">
        <v>0.19911898378180801</v>
      </c>
      <c r="G53" s="89">
        <f t="shared" si="2"/>
        <v>6.5447174932510519</v>
      </c>
      <c r="H53" s="90">
        <f t="shared" si="3"/>
        <v>200.95440442033231</v>
      </c>
      <c r="I53" s="90">
        <f t="shared" si="12"/>
        <v>0.2009544044203323</v>
      </c>
      <c r="J53" s="90">
        <f t="shared" si="4"/>
        <v>45.195525644092243</v>
      </c>
      <c r="K53" s="90">
        <f t="shared" si="13"/>
        <v>0.45195525644092244</v>
      </c>
      <c r="L53" s="90">
        <f t="shared" si="5"/>
        <v>90.08169192560176</v>
      </c>
      <c r="M53" s="90">
        <f t="shared" si="14"/>
        <v>0.19931550887355778</v>
      </c>
      <c r="N53" s="91">
        <f t="shared" si="15"/>
        <v>0.44826930857996866</v>
      </c>
      <c r="P53" s="86">
        <f t="shared" si="6"/>
        <v>121.224489795918</v>
      </c>
      <c r="Q53" s="47">
        <f t="shared" si="7"/>
        <v>6.5447174932510404</v>
      </c>
      <c r="R53" s="87">
        <f t="shared" si="16"/>
        <v>0.45195525644092299</v>
      </c>
      <c r="S53" s="47">
        <f t="shared" si="8"/>
        <v>0.2009544044203323</v>
      </c>
      <c r="T53" s="88">
        <f t="shared" si="9"/>
        <v>6.5447174932510519</v>
      </c>
      <c r="U53" s="88">
        <f t="shared" si="10"/>
        <v>200.95440442033231</v>
      </c>
      <c r="V53" s="88">
        <f t="shared" si="11"/>
        <v>45.195525644092243</v>
      </c>
    </row>
    <row r="54" spans="1:22" x14ac:dyDescent="0.2">
      <c r="A54" s="80">
        <v>13</v>
      </c>
      <c r="B54" s="81">
        <v>132.24489795918299</v>
      </c>
      <c r="C54" s="82">
        <v>6.4314092075095202</v>
      </c>
      <c r="D54" s="82">
        <v>0.48178047907070898</v>
      </c>
      <c r="E54" s="75">
        <v>0.20024547410393601</v>
      </c>
      <c r="G54" s="89">
        <f t="shared" si="2"/>
        <v>6.4314092075095255</v>
      </c>
      <c r="H54" s="90">
        <f t="shared" si="3"/>
        <v>202.19486862933098</v>
      </c>
      <c r="I54" s="90">
        <f t="shared" si="12"/>
        <v>0.20219486862933098</v>
      </c>
      <c r="J54" s="90">
        <f t="shared" si="4"/>
        <v>48.178047907070756</v>
      </c>
      <c r="K54" s="90">
        <f t="shared" si="13"/>
        <v>0.48178047907070753</v>
      </c>
      <c r="L54" s="90">
        <f t="shared" si="5"/>
        <v>96.569578049491938</v>
      </c>
      <c r="M54" s="90">
        <f t="shared" si="14"/>
        <v>0.200443111011393</v>
      </c>
      <c r="N54" s="91">
        <f t="shared" si="15"/>
        <v>0.47760647292452241</v>
      </c>
      <c r="P54" s="86">
        <f t="shared" si="6"/>
        <v>132.24489795918299</v>
      </c>
      <c r="Q54" s="47">
        <f t="shared" si="7"/>
        <v>6.4314092075095202</v>
      </c>
      <c r="R54" s="87">
        <f t="shared" si="16"/>
        <v>0.48178047907070898</v>
      </c>
      <c r="S54" s="47">
        <f t="shared" si="8"/>
        <v>0.20219486862933098</v>
      </c>
      <c r="T54" s="88">
        <f t="shared" si="9"/>
        <v>6.4314092075095255</v>
      </c>
      <c r="U54" s="88">
        <f t="shared" si="10"/>
        <v>202.19486862933098</v>
      </c>
      <c r="V54" s="88">
        <f t="shared" si="11"/>
        <v>48.178047907070756</v>
      </c>
    </row>
    <row r="55" spans="1:22" x14ac:dyDescent="0.2">
      <c r="A55" s="80">
        <v>14</v>
      </c>
      <c r="B55" s="81">
        <v>143.26530612244801</v>
      </c>
      <c r="C55" s="82">
        <v>6.3192177553231801</v>
      </c>
      <c r="D55" s="82">
        <v>0.50936665634160705</v>
      </c>
      <c r="E55" s="75">
        <v>0.20160471285371001</v>
      </c>
      <c r="G55" s="89">
        <f t="shared" si="2"/>
        <v>6.3192177553231978</v>
      </c>
      <c r="H55" s="90">
        <f t="shared" si="3"/>
        <v>203.50939607007422</v>
      </c>
      <c r="I55" s="90">
        <f t="shared" si="12"/>
        <v>0.20350939607007421</v>
      </c>
      <c r="J55" s="90">
        <f t="shared" si="4"/>
        <v>50.936665634160512</v>
      </c>
      <c r="K55" s="90">
        <f t="shared" si="13"/>
        <v>0.50936665634160516</v>
      </c>
      <c r="L55" s="90">
        <f t="shared" si="5"/>
        <v>102.79207147147446</v>
      </c>
      <c r="M55" s="90">
        <f t="shared" si="14"/>
        <v>0.20180369129332501</v>
      </c>
      <c r="N55" s="91">
        <f t="shared" si="15"/>
        <v>0.5050974228044004</v>
      </c>
      <c r="P55" s="86">
        <f t="shared" si="6"/>
        <v>143.26530612244801</v>
      </c>
      <c r="Q55" s="47">
        <f t="shared" si="7"/>
        <v>6.3192177553231801</v>
      </c>
      <c r="R55" s="87">
        <f t="shared" si="16"/>
        <v>0.50936665634160705</v>
      </c>
      <c r="S55" s="47">
        <f t="shared" si="8"/>
        <v>0.20350939607007421</v>
      </c>
      <c r="T55" s="88">
        <f t="shared" si="9"/>
        <v>6.3192177553231978</v>
      </c>
      <c r="U55" s="88">
        <f t="shared" si="10"/>
        <v>203.50939607007422</v>
      </c>
      <c r="V55" s="88">
        <f t="shared" si="11"/>
        <v>50.936665634160512</v>
      </c>
    </row>
    <row r="56" spans="1:22" x14ac:dyDescent="0.2">
      <c r="A56" s="80">
        <v>15</v>
      </c>
      <c r="B56" s="81">
        <v>154.28571428571399</v>
      </c>
      <c r="C56" s="82">
        <v>6.2076806602620902</v>
      </c>
      <c r="D56" s="82">
        <v>0.53473815864464502</v>
      </c>
      <c r="E56" s="75">
        <v>0.20316118909671699</v>
      </c>
      <c r="G56" s="89">
        <f t="shared" si="2"/>
        <v>6.2076806602621026</v>
      </c>
      <c r="H56" s="90">
        <f t="shared" si="3"/>
        <v>204.87882909044882</v>
      </c>
      <c r="I56" s="90">
        <f t="shared" si="12"/>
        <v>0.20487882909044883</v>
      </c>
      <c r="J56" s="90">
        <f t="shared" si="4"/>
        <v>53.473815864464505</v>
      </c>
      <c r="K56" s="90">
        <f t="shared" si="13"/>
        <v>0.53473815864464502</v>
      </c>
      <c r="L56" s="90">
        <f t="shared" si="5"/>
        <v>108.74526299494819</v>
      </c>
      <c r="M56" s="90">
        <f t="shared" si="14"/>
        <v>0.20336170373660165</v>
      </c>
      <c r="N56" s="91">
        <f t="shared" si="15"/>
        <v>0.53077842878016401</v>
      </c>
      <c r="P56" s="86">
        <f t="shared" si="6"/>
        <v>154.28571428571399</v>
      </c>
      <c r="Q56" s="47">
        <f t="shared" si="7"/>
        <v>6.2076806602620902</v>
      </c>
      <c r="R56" s="87">
        <f t="shared" si="16"/>
        <v>0.53473815864464502</v>
      </c>
      <c r="S56" s="47">
        <f t="shared" si="8"/>
        <v>0.20487882909044883</v>
      </c>
      <c r="T56" s="88">
        <f t="shared" si="9"/>
        <v>6.2076806602621026</v>
      </c>
      <c r="U56" s="88">
        <f t="shared" si="10"/>
        <v>204.87882909044882</v>
      </c>
      <c r="V56" s="88">
        <f t="shared" si="11"/>
        <v>53.473815864464505</v>
      </c>
    </row>
    <row r="57" spans="1:22" x14ac:dyDescent="0.2">
      <c r="A57" s="80">
        <v>16</v>
      </c>
      <c r="B57" s="81">
        <v>165.30612244897901</v>
      </c>
      <c r="C57" s="82">
        <v>6.0961650559228699</v>
      </c>
      <c r="D57" s="82">
        <v>0.55794046266518205</v>
      </c>
      <c r="E57" s="75">
        <v>0.20487295760764099</v>
      </c>
      <c r="G57" s="89">
        <f t="shared" si="2"/>
        <v>6.0961650559228824</v>
      </c>
      <c r="H57" s="90">
        <f t="shared" si="3"/>
        <v>206.28391561614268</v>
      </c>
      <c r="I57" s="90">
        <f t="shared" si="12"/>
        <v>0.20628391561614268</v>
      </c>
      <c r="J57" s="90">
        <f t="shared" si="4"/>
        <v>55.794046266518073</v>
      </c>
      <c r="K57" s="90">
        <f t="shared" si="13"/>
        <v>0.55794046266518071</v>
      </c>
      <c r="L57" s="90">
        <f t="shared" si="5"/>
        <v>114.41973060957235</v>
      </c>
      <c r="M57" s="90">
        <f t="shared" si="14"/>
        <v>0.20507516171709431</v>
      </c>
      <c r="N57" s="91">
        <f t="shared" si="15"/>
        <v>0.55467112046916411</v>
      </c>
      <c r="P57" s="86">
        <f t="shared" si="6"/>
        <v>165.30612244897901</v>
      </c>
      <c r="Q57" s="47">
        <f t="shared" si="7"/>
        <v>6.0961650559228699</v>
      </c>
      <c r="R57" s="87">
        <f t="shared" si="16"/>
        <v>0.55794046266518205</v>
      </c>
      <c r="S57" s="47">
        <f t="shared" si="8"/>
        <v>0.20628391561614268</v>
      </c>
      <c r="T57" s="88">
        <f t="shared" si="9"/>
        <v>6.0961650559228824</v>
      </c>
      <c r="U57" s="88">
        <f t="shared" si="10"/>
        <v>206.28391561614268</v>
      </c>
      <c r="V57" s="88">
        <f t="shared" si="11"/>
        <v>55.794046266518073</v>
      </c>
    </row>
    <row r="58" spans="1:22" x14ac:dyDescent="0.2">
      <c r="A58" s="80">
        <v>17</v>
      </c>
      <c r="B58" s="81">
        <v>176.326530612244</v>
      </c>
      <c r="C58" s="82">
        <v>5.9839343782432204</v>
      </c>
      <c r="D58" s="82">
        <v>0.57903663222530599</v>
      </c>
      <c r="E58" s="75">
        <v>0.20669276936299599</v>
      </c>
      <c r="G58" s="89">
        <f t="shared" si="2"/>
        <v>5.9839343782432337</v>
      </c>
      <c r="H58" s="90">
        <f t="shared" si="3"/>
        <v>207.70530915064535</v>
      </c>
      <c r="I58" s="90">
        <f t="shared" si="12"/>
        <v>0.20770530915064536</v>
      </c>
      <c r="J58" s="90">
        <f t="shared" si="4"/>
        <v>57.90366322253049</v>
      </c>
      <c r="K58" s="90">
        <f t="shared" si="13"/>
        <v>0.57903663222530488</v>
      </c>
      <c r="L58" s="90">
        <f t="shared" si="5"/>
        <v>119.80080867462388</v>
      </c>
      <c r="M58" s="90">
        <f t="shared" si="14"/>
        <v>0.2068967695777994</v>
      </c>
      <c r="N58" s="91">
        <f t="shared" si="15"/>
        <v>0.5767826020649971</v>
      </c>
      <c r="P58" s="86">
        <f t="shared" si="6"/>
        <v>176.326530612244</v>
      </c>
      <c r="Q58" s="47">
        <f t="shared" si="7"/>
        <v>5.9839343782432204</v>
      </c>
      <c r="R58" s="87">
        <f t="shared" si="16"/>
        <v>0.57903663222530599</v>
      </c>
      <c r="S58" s="47">
        <f t="shared" si="8"/>
        <v>0.20770530915064536</v>
      </c>
      <c r="T58" s="88">
        <f t="shared" si="9"/>
        <v>5.9839343782432337</v>
      </c>
      <c r="U58" s="88">
        <f t="shared" si="10"/>
        <v>207.70530915064535</v>
      </c>
      <c r="V58" s="88">
        <f t="shared" si="11"/>
        <v>57.90366322253049</v>
      </c>
    </row>
    <row r="59" spans="1:22" x14ac:dyDescent="0.2">
      <c r="A59" s="80">
        <v>18</v>
      </c>
      <c r="B59" s="81">
        <v>187.34693877551001</v>
      </c>
      <c r="C59" s="82">
        <v>5.8702078056495504</v>
      </c>
      <c r="D59" s="82">
        <v>0.59810379912624401</v>
      </c>
      <c r="E59" s="75">
        <v>0.20856928627916499</v>
      </c>
      <c r="G59" s="89">
        <f t="shared" si="2"/>
        <v>5.8702078056495495</v>
      </c>
      <c r="H59" s="90">
        <f t="shared" si="3"/>
        <v>209.12356877524763</v>
      </c>
      <c r="I59" s="90">
        <f t="shared" si="12"/>
        <v>0.20912356877524763</v>
      </c>
      <c r="J59" s="90">
        <f t="shared" si="4"/>
        <v>59.810379912624427</v>
      </c>
      <c r="K59" s="90">
        <f t="shared" si="13"/>
        <v>0.59810379912624423</v>
      </c>
      <c r="L59" s="90">
        <f t="shared" si="5"/>
        <v>124.86920353930799</v>
      </c>
      <c r="M59" s="90">
        <f t="shared" si="14"/>
        <v>0.20877513856579152</v>
      </c>
      <c r="N59" s="91">
        <f t="shared" si="15"/>
        <v>0.59710727141190512</v>
      </c>
      <c r="P59" s="86">
        <f t="shared" si="6"/>
        <v>187.34693877551001</v>
      </c>
      <c r="Q59" s="47">
        <f t="shared" si="7"/>
        <v>5.8702078056495504</v>
      </c>
      <c r="R59" s="87">
        <f t="shared" si="16"/>
        <v>0.59810379912624401</v>
      </c>
      <c r="S59" s="47">
        <f t="shared" si="8"/>
        <v>0.20912356877524763</v>
      </c>
      <c r="T59" s="88">
        <f t="shared" si="9"/>
        <v>5.8702078056495495</v>
      </c>
      <c r="U59" s="88">
        <f t="shared" si="10"/>
        <v>209.12356877524763</v>
      </c>
      <c r="V59" s="88">
        <f t="shared" si="11"/>
        <v>59.810379912624427</v>
      </c>
    </row>
    <row r="60" spans="1:22" x14ac:dyDescent="0.2">
      <c r="A60" s="80">
        <v>19</v>
      </c>
      <c r="B60" s="81">
        <v>198.367346938775</v>
      </c>
      <c r="C60" s="82">
        <v>5.7542124470377196</v>
      </c>
      <c r="D60" s="82">
        <v>0.61522964399075997</v>
      </c>
      <c r="E60" s="75">
        <v>0.21044841690881</v>
      </c>
      <c r="G60" s="89">
        <f t="shared" si="2"/>
        <v>5.7542124470377303</v>
      </c>
      <c r="H60" s="90">
        <f t="shared" si="3"/>
        <v>210.5191591490414</v>
      </c>
      <c r="I60" s="90">
        <f t="shared" si="12"/>
        <v>0.2105191591490414</v>
      </c>
      <c r="J60" s="90">
        <f t="shared" si="4"/>
        <v>61.522964399075946</v>
      </c>
      <c r="K60" s="90">
        <f t="shared" si="13"/>
        <v>0.61522964399075941</v>
      </c>
      <c r="L60" s="90">
        <f t="shared" si="5"/>
        <v>129.60189207881606</v>
      </c>
      <c r="M60" s="90">
        <f t="shared" si="14"/>
        <v>0.2106561238469235</v>
      </c>
      <c r="N60" s="91">
        <f t="shared" si="15"/>
        <v>0.61562991512360032</v>
      </c>
      <c r="P60" s="86">
        <f t="shared" si="6"/>
        <v>198.367346938775</v>
      </c>
      <c r="Q60" s="47">
        <f t="shared" si="7"/>
        <v>5.7542124470377196</v>
      </c>
      <c r="R60" s="87">
        <f t="shared" si="16"/>
        <v>0.61522964399075997</v>
      </c>
      <c r="S60" s="47">
        <f t="shared" si="8"/>
        <v>0.2105191591490414</v>
      </c>
      <c r="T60" s="88">
        <f t="shared" si="9"/>
        <v>5.7542124470377303</v>
      </c>
      <c r="U60" s="88">
        <f t="shared" si="10"/>
        <v>210.5191591490414</v>
      </c>
      <c r="V60" s="88">
        <f t="shared" si="11"/>
        <v>61.522964399075946</v>
      </c>
    </row>
    <row r="61" spans="1:22" x14ac:dyDescent="0.2">
      <c r="A61" s="80">
        <v>20</v>
      </c>
      <c r="B61" s="81">
        <v>209.38775510203999</v>
      </c>
      <c r="C61" s="82">
        <v>5.6352282775869904</v>
      </c>
      <c r="D61" s="82">
        <v>0.63050887710555803</v>
      </c>
      <c r="E61" s="75">
        <v>0.21227479401253699</v>
      </c>
      <c r="G61" s="89">
        <f t="shared" si="2"/>
        <v>5.6352282775870064</v>
      </c>
      <c r="H61" s="90">
        <f t="shared" si="3"/>
        <v>211.87245050892014</v>
      </c>
      <c r="I61" s="90">
        <f t="shared" si="12"/>
        <v>0.21187245050892015</v>
      </c>
      <c r="J61" s="90">
        <f t="shared" si="4"/>
        <v>63.050887710555756</v>
      </c>
      <c r="K61" s="90">
        <f t="shared" si="13"/>
        <v>0.63050887710555759</v>
      </c>
      <c r="L61" s="90">
        <f t="shared" si="5"/>
        <v>133.97323962492794</v>
      </c>
      <c r="M61" s="90">
        <f t="shared" si="14"/>
        <v>0.21248430353582257</v>
      </c>
      <c r="N61" s="91">
        <f t="shared" si="15"/>
        <v>0.63232968374662502</v>
      </c>
      <c r="P61" s="86">
        <f t="shared" si="6"/>
        <v>209.38775510203999</v>
      </c>
      <c r="Q61" s="47">
        <f t="shared" si="7"/>
        <v>5.6352282775869904</v>
      </c>
      <c r="R61" s="87">
        <f t="shared" si="16"/>
        <v>0.63050887710555803</v>
      </c>
      <c r="S61" s="47">
        <f t="shared" si="8"/>
        <v>0.21187245050892015</v>
      </c>
      <c r="T61" s="88">
        <f t="shared" si="9"/>
        <v>5.6352282775870064</v>
      </c>
      <c r="U61" s="88">
        <f t="shared" si="10"/>
        <v>211.87245050892014</v>
      </c>
      <c r="V61" s="88">
        <f t="shared" si="11"/>
        <v>63.050887710555756</v>
      </c>
    </row>
    <row r="62" spans="1:22" x14ac:dyDescent="0.2">
      <c r="A62" s="80">
        <v>21</v>
      </c>
      <c r="B62" s="81">
        <v>220.408163265306</v>
      </c>
      <c r="C62" s="82">
        <v>5.5126258224070304</v>
      </c>
      <c r="D62" s="82">
        <v>0.64403971926368897</v>
      </c>
      <c r="E62" s="75">
        <v>0.213993399415737</v>
      </c>
      <c r="G62" s="89">
        <f t="shared" si="2"/>
        <v>5.5126258224070375</v>
      </c>
      <c r="H62" s="90">
        <f t="shared" si="3"/>
        <v>213.16371866957871</v>
      </c>
      <c r="I62" s="90">
        <f t="shared" si="12"/>
        <v>0.2131637186695787</v>
      </c>
      <c r="J62" s="90">
        <f t="shared" si="4"/>
        <v>64.403971926368911</v>
      </c>
      <c r="K62" s="90">
        <f t="shared" si="13"/>
        <v>0.64403971926368908</v>
      </c>
      <c r="L62" s="90">
        <f t="shared" si="5"/>
        <v>137.95627376993096</v>
      </c>
      <c r="M62" s="90">
        <f t="shared" si="14"/>
        <v>0.21420460515642134</v>
      </c>
      <c r="N62" s="91">
        <f t="shared" si="15"/>
        <v>0.64718458953033431</v>
      </c>
      <c r="P62" s="86">
        <f t="shared" si="6"/>
        <v>220.408163265306</v>
      </c>
      <c r="Q62" s="47">
        <f t="shared" si="7"/>
        <v>5.5126258224070304</v>
      </c>
      <c r="R62" s="87">
        <f t="shared" si="16"/>
        <v>0.64403971926368897</v>
      </c>
      <c r="S62" s="47">
        <f t="shared" si="8"/>
        <v>0.2131637186695787</v>
      </c>
      <c r="T62" s="88">
        <f t="shared" si="9"/>
        <v>5.5126258224070375</v>
      </c>
      <c r="U62" s="88">
        <f t="shared" si="10"/>
        <v>213.16371866957871</v>
      </c>
      <c r="V62" s="88">
        <f t="shared" si="11"/>
        <v>64.403971926368911</v>
      </c>
    </row>
    <row r="63" spans="1:22" x14ac:dyDescent="0.2">
      <c r="A63" s="80">
        <v>22</v>
      </c>
      <c r="B63" s="81">
        <v>231.42857142857099</v>
      </c>
      <c r="C63" s="82">
        <v>5.3858965880180802</v>
      </c>
      <c r="D63" s="82">
        <v>0.65592038260694796</v>
      </c>
      <c r="E63" s="75">
        <v>0.21555132537108701</v>
      </c>
      <c r="G63" s="89">
        <f t="shared" si="2"/>
        <v>5.3858965880180918</v>
      </c>
      <c r="H63" s="90">
        <f t="shared" si="3"/>
        <v>214.37314502351288</v>
      </c>
      <c r="I63" s="90">
        <f t="shared" si="12"/>
        <v>0.21437314502351287</v>
      </c>
      <c r="J63" s="90">
        <f t="shared" si="4"/>
        <v>65.592038260694821</v>
      </c>
      <c r="K63" s="90">
        <f t="shared" si="13"/>
        <v>0.65592038260694818</v>
      </c>
      <c r="L63" s="90">
        <f t="shared" si="5"/>
        <v>141.5240505226534</v>
      </c>
      <c r="M63" s="90">
        <f t="shared" si="14"/>
        <v>0.21576406874286733</v>
      </c>
      <c r="N63" s="91">
        <f t="shared" si="15"/>
        <v>0.66017621053761544</v>
      </c>
      <c r="P63" s="86">
        <f t="shared" si="6"/>
        <v>231.42857142857099</v>
      </c>
      <c r="Q63" s="47">
        <f t="shared" si="7"/>
        <v>5.3858965880180802</v>
      </c>
      <c r="R63" s="87">
        <f t="shared" si="16"/>
        <v>0.65592038260694796</v>
      </c>
      <c r="S63" s="47">
        <f t="shared" si="8"/>
        <v>0.21437314502351287</v>
      </c>
      <c r="T63" s="88">
        <f t="shared" si="9"/>
        <v>5.3858965880180918</v>
      </c>
      <c r="U63" s="88">
        <f t="shared" si="10"/>
        <v>214.37314502351288</v>
      </c>
      <c r="V63" s="88">
        <f t="shared" si="11"/>
        <v>65.592038260694821</v>
      </c>
    </row>
    <row r="64" spans="1:22" x14ac:dyDescent="0.2">
      <c r="A64" s="80">
        <v>23</v>
      </c>
      <c r="B64" s="81">
        <v>242.44897959183601</v>
      </c>
      <c r="C64" s="82">
        <v>5.2546762416643196</v>
      </c>
      <c r="D64" s="82">
        <v>0.66624555146828301</v>
      </c>
      <c r="E64" s="75">
        <v>0.21689964464653</v>
      </c>
      <c r="G64" s="89">
        <f t="shared" si="2"/>
        <v>5.2546762416643373</v>
      </c>
      <c r="H64" s="90">
        <f t="shared" si="3"/>
        <v>215.48081654102018</v>
      </c>
      <c r="I64" s="90">
        <f t="shared" si="12"/>
        <v>0.21548081654102016</v>
      </c>
      <c r="J64" s="90">
        <f t="shared" si="4"/>
        <v>66.624555146828257</v>
      </c>
      <c r="K64" s="90">
        <f t="shared" si="13"/>
        <v>0.66624555146828257</v>
      </c>
      <c r="L64" s="90">
        <f t="shared" si="5"/>
        <v>144.65104929540692</v>
      </c>
      <c r="M64" s="90">
        <f t="shared" si="14"/>
        <v>0.21711371877324004</v>
      </c>
      <c r="N64" s="91">
        <f t="shared" si="15"/>
        <v>0.67129432502345432</v>
      </c>
      <c r="P64" s="86">
        <f t="shared" si="6"/>
        <v>242.44897959183601</v>
      </c>
      <c r="Q64" s="47">
        <f t="shared" si="7"/>
        <v>5.2546762416643196</v>
      </c>
      <c r="R64" s="87">
        <f t="shared" si="16"/>
        <v>0.66624555146828301</v>
      </c>
      <c r="S64" s="47">
        <f t="shared" si="8"/>
        <v>0.21548081654102016</v>
      </c>
      <c r="T64" s="88">
        <f t="shared" si="9"/>
        <v>5.2546762416643373</v>
      </c>
      <c r="U64" s="88">
        <f t="shared" si="10"/>
        <v>215.48081654102018</v>
      </c>
      <c r="V64" s="88">
        <f t="shared" si="11"/>
        <v>66.624555146828257</v>
      </c>
    </row>
    <row r="65" spans="1:22" x14ac:dyDescent="0.2">
      <c r="A65" s="80">
        <v>24</v>
      </c>
      <c r="B65" s="81">
        <v>253.46938775510199</v>
      </c>
      <c r="C65" s="82">
        <v>5.1187605384603003</v>
      </c>
      <c r="D65" s="82">
        <v>0.67510286321419299</v>
      </c>
      <c r="E65" s="75">
        <v>0.21799534425049999</v>
      </c>
      <c r="G65" s="89">
        <f t="shared" si="2"/>
        <v>5.1187605384603101</v>
      </c>
      <c r="H65" s="90">
        <f t="shared" si="3"/>
        <v>216.46672577019936</v>
      </c>
      <c r="I65" s="90">
        <f t="shared" si="12"/>
        <v>0.21646672577019935</v>
      </c>
      <c r="J65" s="90">
        <f t="shared" si="4"/>
        <v>67.510286321419272</v>
      </c>
      <c r="K65" s="90">
        <f t="shared" si="13"/>
        <v>0.67510286321419277</v>
      </c>
      <c r="L65" s="90">
        <f t="shared" si="5"/>
        <v>147.31453320061192</v>
      </c>
      <c r="M65" s="90">
        <f t="shared" si="14"/>
        <v>0.21821049980330598</v>
      </c>
      <c r="N65" s="91">
        <f t="shared" si="15"/>
        <v>0.68054123642541131</v>
      </c>
      <c r="P65" s="86">
        <f t="shared" si="6"/>
        <v>253.46938775510199</v>
      </c>
      <c r="Q65" s="47">
        <f t="shared" si="7"/>
        <v>5.1187605384603003</v>
      </c>
      <c r="R65" s="87">
        <f t="shared" si="16"/>
        <v>0.67510286321419299</v>
      </c>
      <c r="S65" s="47">
        <f t="shared" si="8"/>
        <v>0.21646672577019935</v>
      </c>
      <c r="T65" s="88">
        <f t="shared" si="9"/>
        <v>5.1187605384603101</v>
      </c>
      <c r="U65" s="88">
        <f t="shared" si="10"/>
        <v>216.46672577019936</v>
      </c>
      <c r="V65" s="88">
        <f t="shared" si="11"/>
        <v>67.510286321419272</v>
      </c>
    </row>
    <row r="66" spans="1:22" x14ac:dyDescent="0.2">
      <c r="A66" s="80">
        <v>25</v>
      </c>
      <c r="B66" s="81">
        <v>264.48979591836701</v>
      </c>
      <c r="C66" s="82">
        <v>4.9781139963705403</v>
      </c>
      <c r="D66" s="82">
        <v>0.68256938908713305</v>
      </c>
      <c r="E66" s="75">
        <v>0.21880326110999601</v>
      </c>
      <c r="G66" s="89">
        <f t="shared" si="2"/>
        <v>4.9781139963705439</v>
      </c>
      <c r="H66" s="90">
        <f t="shared" si="3"/>
        <v>217.31077083695033</v>
      </c>
      <c r="I66" s="90">
        <f t="shared" si="12"/>
        <v>0.21731077083695033</v>
      </c>
      <c r="J66" s="90">
        <f t="shared" si="4"/>
        <v>68.256938908713295</v>
      </c>
      <c r="K66" s="90">
        <f t="shared" si="13"/>
        <v>0.68256938908713294</v>
      </c>
      <c r="L66" s="90">
        <f t="shared" si="5"/>
        <v>149.49581113590287</v>
      </c>
      <c r="M66" s="90">
        <f t="shared" si="14"/>
        <v>0.21901921405505495</v>
      </c>
      <c r="N66" s="91">
        <f t="shared" si="15"/>
        <v>0.68793557981564812</v>
      </c>
      <c r="P66" s="86">
        <f t="shared" si="6"/>
        <v>264.48979591836701</v>
      </c>
      <c r="Q66" s="47">
        <f t="shared" si="7"/>
        <v>4.9781139963705403</v>
      </c>
      <c r="R66" s="87">
        <f t="shared" si="16"/>
        <v>0.68256938908713305</v>
      </c>
      <c r="S66" s="47">
        <f t="shared" si="8"/>
        <v>0.21731077083695033</v>
      </c>
      <c r="T66" s="88">
        <f t="shared" si="9"/>
        <v>4.9781139963705439</v>
      </c>
      <c r="U66" s="88">
        <f t="shared" si="10"/>
        <v>217.31077083695033</v>
      </c>
      <c r="V66" s="88">
        <f t="shared" si="11"/>
        <v>68.256938908713295</v>
      </c>
    </row>
    <row r="67" spans="1:22" x14ac:dyDescent="0.2">
      <c r="A67" s="80">
        <v>26</v>
      </c>
      <c r="B67" s="81">
        <v>275.51020408163203</v>
      </c>
      <c r="C67" s="82">
        <v>4.8328713190222601</v>
      </c>
      <c r="D67" s="82">
        <v>0.68870811504791796</v>
      </c>
      <c r="E67" s="75">
        <v>0.219297943551304</v>
      </c>
      <c r="G67" s="89">
        <f t="shared" si="2"/>
        <v>4.8328713190222672</v>
      </c>
      <c r="H67" s="90">
        <f t="shared" si="3"/>
        <v>217.99275544497451</v>
      </c>
      <c r="I67" s="90">
        <f t="shared" si="12"/>
        <v>0.21799275544497451</v>
      </c>
      <c r="J67" s="90">
        <f t="shared" si="4"/>
        <v>68.870811504791803</v>
      </c>
      <c r="K67" s="90">
        <f t="shared" si="13"/>
        <v>0.68870811504791807</v>
      </c>
      <c r="L67" s="90">
        <f t="shared" si="5"/>
        <v>151.18133813650596</v>
      </c>
      <c r="M67" s="90">
        <f t="shared" si="14"/>
        <v>0.21951438473465243</v>
      </c>
      <c r="N67" s="91">
        <f t="shared" si="15"/>
        <v>0.6935154236107951</v>
      </c>
      <c r="P67" s="86">
        <f t="shared" si="6"/>
        <v>275.51020408163203</v>
      </c>
      <c r="Q67" s="47">
        <f t="shared" si="7"/>
        <v>4.8328713190222601</v>
      </c>
      <c r="R67" s="87">
        <f t="shared" si="16"/>
        <v>0.68870811504791796</v>
      </c>
      <c r="S67" s="47">
        <f t="shared" si="8"/>
        <v>0.21799275544497451</v>
      </c>
      <c r="T67" s="88">
        <f t="shared" si="9"/>
        <v>4.8328713190222672</v>
      </c>
      <c r="U67" s="88">
        <f t="shared" si="10"/>
        <v>217.99275544497451</v>
      </c>
      <c r="V67" s="88">
        <f t="shared" si="11"/>
        <v>68.870811504791803</v>
      </c>
    </row>
    <row r="68" spans="1:22" x14ac:dyDescent="0.2">
      <c r="A68" s="80">
        <v>27</v>
      </c>
      <c r="B68" s="81">
        <v>286.53061224489699</v>
      </c>
      <c r="C68" s="82">
        <v>4.68333156635126</v>
      </c>
      <c r="D68" s="82">
        <v>0.69356442261812401</v>
      </c>
      <c r="E68" s="75">
        <v>0.21946535175329901</v>
      </c>
      <c r="G68" s="89">
        <f t="shared" si="2"/>
        <v>4.6833315663512831</v>
      </c>
      <c r="H68" s="90">
        <f t="shared" si="3"/>
        <v>218.49238887577457</v>
      </c>
      <c r="I68" s="90">
        <f t="shared" si="12"/>
        <v>0.21849238887577457</v>
      </c>
      <c r="J68" s="90">
        <f t="shared" si="4"/>
        <v>69.356442261812361</v>
      </c>
      <c r="K68" s="90">
        <f t="shared" si="13"/>
        <v>0.69356442261812357</v>
      </c>
      <c r="L68" s="90">
        <f t="shared" si="5"/>
        <v>152.36359047366687</v>
      </c>
      <c r="M68" s="90">
        <f t="shared" si="14"/>
        <v>0.2196819581640482</v>
      </c>
      <c r="N68" s="91">
        <f t="shared" si="15"/>
        <v>0.69734049436520329</v>
      </c>
      <c r="P68" s="86">
        <f t="shared" si="6"/>
        <v>286.53061224489699</v>
      </c>
      <c r="Q68" s="47">
        <f t="shared" si="7"/>
        <v>4.68333156635126</v>
      </c>
      <c r="R68" s="87">
        <f t="shared" si="16"/>
        <v>0.69356442261812401</v>
      </c>
      <c r="S68" s="47">
        <f t="shared" si="8"/>
        <v>0.21849238887577457</v>
      </c>
      <c r="T68" s="88">
        <f t="shared" si="9"/>
        <v>4.6833315663512831</v>
      </c>
      <c r="U68" s="88">
        <f t="shared" si="10"/>
        <v>218.49238887577457</v>
      </c>
      <c r="V68" s="88">
        <f t="shared" si="11"/>
        <v>69.356442261812361</v>
      </c>
    </row>
    <row r="69" spans="1:22" x14ac:dyDescent="0.2">
      <c r="A69" s="80">
        <v>28</v>
      </c>
      <c r="B69" s="81">
        <v>297.55102040816303</v>
      </c>
      <c r="C69" s="82">
        <v>4.5299450730809498</v>
      </c>
      <c r="D69" s="82">
        <v>0.69716256972249202</v>
      </c>
      <c r="E69" s="75">
        <v>0.21930430512059099</v>
      </c>
      <c r="G69" s="89">
        <f t="shared" si="2"/>
        <v>4.5299450730809632</v>
      </c>
      <c r="H69" s="90">
        <f t="shared" si="3"/>
        <v>218.78928598865451</v>
      </c>
      <c r="I69" s="90">
        <f t="shared" si="12"/>
        <v>0.21878928598865452</v>
      </c>
      <c r="J69" s="90">
        <f t="shared" si="4"/>
        <v>69.716256972249255</v>
      </c>
      <c r="K69" s="90">
        <f t="shared" si="13"/>
        <v>0.69716256972249258</v>
      </c>
      <c r="L69" s="90">
        <f t="shared" si="5"/>
        <v>153.04165197792736</v>
      </c>
      <c r="M69" s="90">
        <f t="shared" si="14"/>
        <v>0.21952075258263792</v>
      </c>
      <c r="N69" s="91">
        <f t="shared" si="15"/>
        <v>0.69949335629653941</v>
      </c>
      <c r="P69" s="86">
        <f t="shared" si="6"/>
        <v>297.55102040816303</v>
      </c>
      <c r="Q69" s="47">
        <f t="shared" si="7"/>
        <v>4.5299450730809498</v>
      </c>
      <c r="R69" s="87">
        <f t="shared" si="16"/>
        <v>0.69716256972249202</v>
      </c>
      <c r="S69" s="47">
        <f t="shared" si="8"/>
        <v>0.21878928598865452</v>
      </c>
      <c r="T69" s="88">
        <f t="shared" si="9"/>
        <v>4.5299450730809632</v>
      </c>
      <c r="U69" s="88">
        <f t="shared" si="10"/>
        <v>218.78928598865451</v>
      </c>
      <c r="V69" s="88">
        <f t="shared" si="11"/>
        <v>69.716256972249255</v>
      </c>
    </row>
    <row r="70" spans="1:22" x14ac:dyDescent="0.2">
      <c r="A70" s="80">
        <v>29</v>
      </c>
      <c r="B70" s="81">
        <v>308.57142857142799</v>
      </c>
      <c r="C70" s="82">
        <v>4.37329311503448</v>
      </c>
      <c r="D70" s="82">
        <v>0.69950217153133198</v>
      </c>
      <c r="E70" s="75">
        <v>0.218827586171947</v>
      </c>
      <c r="G70" s="89">
        <f t="shared" si="2"/>
        <v>4.3732931150344987</v>
      </c>
      <c r="H70" s="90">
        <f t="shared" si="3"/>
        <v>218.86296722071955</v>
      </c>
      <c r="I70" s="90">
        <f t="shared" si="12"/>
        <v>0.21886296722071955</v>
      </c>
      <c r="J70" s="90">
        <f t="shared" si="4"/>
        <v>69.950217153133167</v>
      </c>
      <c r="K70" s="90">
        <f t="shared" si="13"/>
        <v>0.69950217153133165</v>
      </c>
      <c r="L70" s="90">
        <f t="shared" si="5"/>
        <v>153.22144806602918</v>
      </c>
      <c r="M70" s="90">
        <f t="shared" si="14"/>
        <v>0.2190435631251878</v>
      </c>
      <c r="N70" s="91">
        <f t="shared" si="15"/>
        <v>0.70007936935035686</v>
      </c>
      <c r="P70" s="86">
        <f t="shared" si="6"/>
        <v>308.57142857142799</v>
      </c>
      <c r="Q70" s="47">
        <f t="shared" si="7"/>
        <v>4.37329311503448</v>
      </c>
      <c r="R70" s="87">
        <f t="shared" si="16"/>
        <v>0.69950217153133198</v>
      </c>
      <c r="S70" s="47">
        <f t="shared" si="8"/>
        <v>0.21886296722071955</v>
      </c>
      <c r="T70" s="88">
        <f t="shared" si="9"/>
        <v>4.3732931150344987</v>
      </c>
      <c r="U70" s="88">
        <f t="shared" si="10"/>
        <v>218.86296722071955</v>
      </c>
      <c r="V70" s="88">
        <f t="shared" si="11"/>
        <v>69.950217153133167</v>
      </c>
    </row>
    <row r="71" spans="1:22" x14ac:dyDescent="0.2">
      <c r="A71" s="80">
        <v>30</v>
      </c>
      <c r="B71" s="81">
        <v>319.591836734693</v>
      </c>
      <c r="C71" s="82">
        <v>4.21406032328004</v>
      </c>
      <c r="D71" s="82">
        <v>0.70055468130292098</v>
      </c>
      <c r="E71" s="75">
        <v>0.21806261992293599</v>
      </c>
      <c r="G71" s="89">
        <f t="shared" si="2"/>
        <v>4.2140603232800578</v>
      </c>
      <c r="H71" s="90">
        <f t="shared" si="3"/>
        <v>218.69285858687655</v>
      </c>
      <c r="I71" s="90">
        <f t="shared" si="12"/>
        <v>0.21869285858687657</v>
      </c>
      <c r="J71" s="90">
        <f t="shared" si="4"/>
        <v>70.055468130292155</v>
      </c>
      <c r="K71" s="90">
        <f t="shared" si="13"/>
        <v>0.70055468130292153</v>
      </c>
      <c r="L71" s="90">
        <f t="shared" si="5"/>
        <v>152.91556395024685</v>
      </c>
      <c r="M71" s="90">
        <f t="shared" si="14"/>
        <v>0.21827784187502389</v>
      </c>
      <c r="N71" s="91">
        <f t="shared" si="15"/>
        <v>0.69922522819601163</v>
      </c>
      <c r="P71" s="86">
        <f t="shared" si="6"/>
        <v>319.591836734693</v>
      </c>
      <c r="Q71" s="47">
        <f t="shared" si="7"/>
        <v>4.21406032328004</v>
      </c>
      <c r="R71" s="87">
        <f t="shared" si="16"/>
        <v>0.70055468130292098</v>
      </c>
      <c r="S71" s="47">
        <f t="shared" si="8"/>
        <v>0.21869285858687657</v>
      </c>
      <c r="T71" s="88">
        <f t="shared" si="9"/>
        <v>4.2140603232800578</v>
      </c>
      <c r="U71" s="88">
        <f t="shared" si="10"/>
        <v>218.69285858687655</v>
      </c>
      <c r="V71" s="88">
        <f t="shared" si="11"/>
        <v>70.055468130292155</v>
      </c>
    </row>
    <row r="72" spans="1:22" x14ac:dyDescent="0.2">
      <c r="A72" s="80">
        <v>31</v>
      </c>
      <c r="B72" s="81">
        <v>330.61224489795899</v>
      </c>
      <c r="C72" s="82">
        <v>4.0529998461092598</v>
      </c>
      <c r="D72" s="82">
        <v>0.70025987122591304</v>
      </c>
      <c r="E72" s="75">
        <v>0.217051664913336</v>
      </c>
      <c r="G72" s="89">
        <f t="shared" si="2"/>
        <v>4.0529998461092545</v>
      </c>
      <c r="H72" s="90">
        <f t="shared" si="3"/>
        <v>218.25829167983335</v>
      </c>
      <c r="I72" s="90">
        <f t="shared" si="12"/>
        <v>0.21825829167983335</v>
      </c>
      <c r="J72" s="90">
        <f t="shared" si="4"/>
        <v>70.025987122591403</v>
      </c>
      <c r="K72" s="90">
        <f t="shared" si="13"/>
        <v>0.70025987122591404</v>
      </c>
      <c r="L72" s="90">
        <f t="shared" si="5"/>
        <v>152.14258350892277</v>
      </c>
      <c r="M72" s="90">
        <f t="shared" si="14"/>
        <v>0.21726588907996894</v>
      </c>
      <c r="N72" s="91">
        <f t="shared" si="15"/>
        <v>0.69707584686909951</v>
      </c>
      <c r="P72" s="86">
        <f t="shared" si="6"/>
        <v>330.61224489795893</v>
      </c>
      <c r="Q72" s="47">
        <f t="shared" si="7"/>
        <v>4.0529998461092598</v>
      </c>
      <c r="R72" s="87">
        <f t="shared" si="16"/>
        <v>0.70025987122591304</v>
      </c>
      <c r="S72" s="47">
        <f t="shared" si="8"/>
        <v>0.21825829167983335</v>
      </c>
      <c r="T72" s="88">
        <f t="shared" si="9"/>
        <v>4.0529998461092775</v>
      </c>
      <c r="U72" s="88">
        <f t="shared" si="10"/>
        <v>218.25829167983332</v>
      </c>
      <c r="V72" s="88">
        <f t="shared" si="11"/>
        <v>70.025987122591332</v>
      </c>
    </row>
    <row r="73" spans="1:22" x14ac:dyDescent="0.2">
      <c r="A73" s="80">
        <v>32</v>
      </c>
      <c r="B73" s="81">
        <v>341.632653061224</v>
      </c>
      <c r="C73" s="82">
        <v>3.89089125884882</v>
      </c>
      <c r="D73" s="82">
        <v>0.69852231326173797</v>
      </c>
      <c r="E73" s="75">
        <v>0.21585147605385799</v>
      </c>
      <c r="G73" s="89">
        <f t="shared" si="2"/>
        <v>3.8908912588488391</v>
      </c>
      <c r="H73" s="90">
        <f t="shared" si="3"/>
        <v>217.53850367009932</v>
      </c>
      <c r="I73" s="90">
        <f t="shared" si="12"/>
        <v>0.2175385036700993</v>
      </c>
      <c r="J73" s="90">
        <f t="shared" si="4"/>
        <v>69.852231326173808</v>
      </c>
      <c r="K73" s="90">
        <f t="shared" si="13"/>
        <v>0.69852231326173808</v>
      </c>
      <c r="L73" s="90">
        <f t="shared" si="5"/>
        <v>150.92588529700421</v>
      </c>
      <c r="M73" s="90">
        <f t="shared" si="14"/>
        <v>0.21606451566630472</v>
      </c>
      <c r="N73" s="91">
        <f t="shared" si="15"/>
        <v>0.6937892959210834</v>
      </c>
      <c r="P73" s="86">
        <f t="shared" si="6"/>
        <v>341.63265306122395</v>
      </c>
      <c r="Q73" s="47">
        <f t="shared" si="7"/>
        <v>3.89089125884882</v>
      </c>
      <c r="R73" s="87">
        <f t="shared" si="16"/>
        <v>0.69852231326173797</v>
      </c>
      <c r="S73" s="47">
        <f t="shared" si="8"/>
        <v>0.2175385036700993</v>
      </c>
      <c r="T73" s="88">
        <f t="shared" si="9"/>
        <v>3.890891258848832</v>
      </c>
      <c r="U73" s="88">
        <f t="shared" si="10"/>
        <v>217.53850367009935</v>
      </c>
      <c r="V73" s="88">
        <f t="shared" si="11"/>
        <v>69.85223132617385</v>
      </c>
    </row>
    <row r="74" spans="1:22" x14ac:dyDescent="0.2">
      <c r="A74" s="80">
        <v>33</v>
      </c>
      <c r="B74" s="81">
        <v>352.65306122448902</v>
      </c>
      <c r="C74" s="82">
        <v>3.7284912215051298</v>
      </c>
      <c r="D74" s="82">
        <v>0.69520785998700296</v>
      </c>
      <c r="E74" s="75">
        <v>0.21453242837563999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3.7284912215051627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216.51263730598509</v>
      </c>
      <c r="I74" s="90">
        <f t="shared" si="12"/>
        <v>0.21651263730598511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69.520785998700376</v>
      </c>
      <c r="K74" s="90">
        <f t="shared" si="13"/>
        <v>0.69520785998700374</v>
      </c>
      <c r="L74" s="90">
        <f t="shared" ref="L74:L91" si="20">Подача_пласт_м3_сут*Напор_м*9.81*1000/86400</f>
        <v>149.29183217536831</v>
      </c>
      <c r="M74" s="90">
        <f t="shared" si="14"/>
        <v>0.21474416612343708</v>
      </c>
      <c r="N74" s="91">
        <f t="shared" si="15"/>
        <v>0.68952941515548849</v>
      </c>
      <c r="P74" s="86">
        <f t="shared" ref="P74:P91" si="21">Подача_пласт_м3_сут*f_50_hz/f_nom</f>
        <v>352.65306122448897</v>
      </c>
      <c r="Q74" s="47">
        <f t="shared" ref="Q74:Q91" si="22">Напор_м*(f_50_hz/f_nom)^2</f>
        <v>3.7284912215051298</v>
      </c>
      <c r="R74" s="87">
        <f t="shared" si="16"/>
        <v>0.69520785998700296</v>
      </c>
      <c r="S74" s="47">
        <f t="shared" ref="S74:S91" si="23">I74*(f_50_hz/f_nom)^3</f>
        <v>0.21651263730598511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3.728491221505168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216.51263730598515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69.520785998700319</v>
      </c>
    </row>
    <row r="75" spans="1:22" x14ac:dyDescent="0.2">
      <c r="A75" s="80">
        <v>34</v>
      </c>
      <c r="B75" s="81">
        <v>363.67346938775501</v>
      </c>
      <c r="C75" s="82">
        <v>3.5664768842422001</v>
      </c>
      <c r="D75" s="82">
        <v>0.69014012543589998</v>
      </c>
      <c r="E75" s="75">
        <v>0.21317712166907099</v>
      </c>
      <c r="G75" s="89">
        <f t="shared" si="17"/>
        <v>3.5664768842422188</v>
      </c>
      <c r="H75" s="90">
        <f t="shared" si="18"/>
        <v>215.15974091360252</v>
      </c>
      <c r="I75" s="90">
        <f t="shared" si="12"/>
        <v>0.21515974091360252</v>
      </c>
      <c r="J75" s="90">
        <f t="shared" si="19"/>
        <v>69.01401254359007</v>
      </c>
      <c r="K75" s="90">
        <f t="shared" si="13"/>
        <v>0.69014012543590075</v>
      </c>
      <c r="L75" s="90">
        <f t="shared" si="20"/>
        <v>147.2672910377203</v>
      </c>
      <c r="M75" s="90">
        <f t="shared" si="14"/>
        <v>0.21338752176553205</v>
      </c>
      <c r="N75" s="91">
        <f t="shared" si="15"/>
        <v>0.68445560685470219</v>
      </c>
      <c r="P75" s="86">
        <f t="shared" si="21"/>
        <v>363.67346938775501</v>
      </c>
      <c r="Q75" s="47">
        <f t="shared" si="22"/>
        <v>3.5664768842422001</v>
      </c>
      <c r="R75" s="87">
        <f t="shared" si="16"/>
        <v>0.69014012543589998</v>
      </c>
      <c r="S75" s="47">
        <f t="shared" si="23"/>
        <v>0.21515974091360252</v>
      </c>
      <c r="T75" s="88">
        <f t="shared" si="24"/>
        <v>3.5664768842422188</v>
      </c>
      <c r="U75" s="88">
        <f t="shared" si="25"/>
        <v>215.15974091360252</v>
      </c>
      <c r="V75" s="88">
        <f t="shared" si="26"/>
        <v>69.01401254359007</v>
      </c>
    </row>
    <row r="76" spans="1:22" x14ac:dyDescent="0.2">
      <c r="A76" s="80">
        <v>35</v>
      </c>
      <c r="B76" s="81">
        <v>374.69387755102002</v>
      </c>
      <c r="C76" s="82">
        <v>3.4053820406926301</v>
      </c>
      <c r="D76" s="82">
        <v>0.68309696594260505</v>
      </c>
      <c r="E76" s="75">
        <v>0.21187851532159899</v>
      </c>
      <c r="G76" s="89">
        <f t="shared" si="17"/>
        <v>3.4053820406926167</v>
      </c>
      <c r="H76" s="90">
        <f t="shared" si="18"/>
        <v>213.45876839686517</v>
      </c>
      <c r="I76" s="90">
        <f t="shared" si="12"/>
        <v>0.21345876839686517</v>
      </c>
      <c r="J76" s="90">
        <f t="shared" si="19"/>
        <v>68.3096965942606</v>
      </c>
      <c r="K76" s="90">
        <f t="shared" si="13"/>
        <v>0.68309696594260605</v>
      </c>
      <c r="L76" s="90">
        <f t="shared" si="20"/>
        <v>144.87641911385441</v>
      </c>
      <c r="M76" s="90">
        <f t="shared" si="14"/>
        <v>0.2120876337284551</v>
      </c>
      <c r="N76" s="91">
        <f t="shared" si="15"/>
        <v>0.67870914932151394</v>
      </c>
      <c r="P76" s="86">
        <f t="shared" si="21"/>
        <v>374.69387755102002</v>
      </c>
      <c r="Q76" s="47">
        <f t="shared" si="22"/>
        <v>3.4053820406926301</v>
      </c>
      <c r="R76" s="87">
        <f t="shared" si="16"/>
        <v>0.68309696594260505</v>
      </c>
      <c r="S76" s="47">
        <f t="shared" si="23"/>
        <v>0.21345876839686517</v>
      </c>
      <c r="T76" s="88">
        <f t="shared" si="24"/>
        <v>3.4053820406926167</v>
      </c>
      <c r="U76" s="88">
        <f t="shared" si="25"/>
        <v>213.45876839686517</v>
      </c>
      <c r="V76" s="88">
        <f t="shared" si="26"/>
        <v>68.3096965942606</v>
      </c>
    </row>
    <row r="77" spans="1:22" x14ac:dyDescent="0.2">
      <c r="A77" s="80">
        <v>36</v>
      </c>
      <c r="B77" s="81">
        <v>385.71428571428498</v>
      </c>
      <c r="C77" s="82">
        <v>3.2455260291016002</v>
      </c>
      <c r="D77" s="82">
        <v>0.67380696098368298</v>
      </c>
      <c r="E77" s="75">
        <v>0.210737666438745</v>
      </c>
      <c r="G77" s="89">
        <f t="shared" si="17"/>
        <v>3.245526029101601</v>
      </c>
      <c r="H77" s="90">
        <f t="shared" si="18"/>
        <v>211.38857923748745</v>
      </c>
      <c r="I77" s="90">
        <f t="shared" si="12"/>
        <v>0.21138857923748744</v>
      </c>
      <c r="J77" s="90">
        <f t="shared" si="19"/>
        <v>67.380696098368446</v>
      </c>
      <c r="K77" s="90">
        <f t="shared" si="13"/>
        <v>0.67380696098368442</v>
      </c>
      <c r="L77" s="90">
        <f t="shared" si="20"/>
        <v>142.13665332806536</v>
      </c>
      <c r="M77" s="90">
        <f t="shared" si="14"/>
        <v>0.21094565885837899</v>
      </c>
      <c r="N77" s="91">
        <f t="shared" si="15"/>
        <v>0.67239513998710387</v>
      </c>
      <c r="P77" s="86">
        <f t="shared" si="21"/>
        <v>385.71428571428498</v>
      </c>
      <c r="Q77" s="47">
        <f t="shared" si="22"/>
        <v>3.2455260291016002</v>
      </c>
      <c r="R77" s="87">
        <f t="shared" si="16"/>
        <v>0.67380696098368298</v>
      </c>
      <c r="S77" s="47">
        <f t="shared" si="23"/>
        <v>0.21138857923748744</v>
      </c>
      <c r="T77" s="88">
        <f t="shared" si="24"/>
        <v>3.245526029101601</v>
      </c>
      <c r="U77" s="88">
        <f t="shared" si="25"/>
        <v>211.38857923748745</v>
      </c>
      <c r="V77" s="88">
        <f t="shared" si="26"/>
        <v>67.380696098368446</v>
      </c>
    </row>
    <row r="78" spans="1:22" x14ac:dyDescent="0.2">
      <c r="A78" s="80">
        <v>37</v>
      </c>
      <c r="B78" s="81">
        <v>396.73469387755102</v>
      </c>
      <c r="C78" s="82">
        <v>3.0869353813043201</v>
      </c>
      <c r="D78" s="82">
        <v>0.66194589402048898</v>
      </c>
      <c r="E78" s="75">
        <v>0.209861158383085</v>
      </c>
      <c r="G78" s="89">
        <f t="shared" si="17"/>
        <v>3.0869353813043432</v>
      </c>
      <c r="H78" s="90">
        <f t="shared" si="18"/>
        <v>208.92793849498514</v>
      </c>
      <c r="I78" s="90">
        <f t="shared" si="12"/>
        <v>0.20892793849498514</v>
      </c>
      <c r="J78" s="90">
        <f t="shared" si="19"/>
        <v>66.194589402048962</v>
      </c>
      <c r="K78" s="90">
        <f t="shared" si="13"/>
        <v>0.66194589402048964</v>
      </c>
      <c r="L78" s="90">
        <f t="shared" si="20"/>
        <v>139.05383919150941</v>
      </c>
      <c r="M78" s="90">
        <f t="shared" si="14"/>
        <v>0.21006828571279751</v>
      </c>
      <c r="N78" s="91">
        <f t="shared" si="15"/>
        <v>0.66555885341704601</v>
      </c>
      <c r="P78" s="86">
        <f t="shared" si="21"/>
        <v>396.73469387755102</v>
      </c>
      <c r="Q78" s="47">
        <f t="shared" si="22"/>
        <v>3.0869353813043201</v>
      </c>
      <c r="R78" s="87">
        <f t="shared" si="16"/>
        <v>0.66194589402048898</v>
      </c>
      <c r="S78" s="47">
        <f t="shared" si="23"/>
        <v>0.20892793849498514</v>
      </c>
      <c r="T78" s="88">
        <f t="shared" si="24"/>
        <v>3.0869353813043432</v>
      </c>
      <c r="U78" s="88">
        <f t="shared" si="25"/>
        <v>208.92793849498514</v>
      </c>
      <c r="V78" s="88">
        <f t="shared" si="26"/>
        <v>66.194589402048962</v>
      </c>
    </row>
    <row r="79" spans="1:22" x14ac:dyDescent="0.2">
      <c r="A79" s="80">
        <v>38</v>
      </c>
      <c r="B79" s="81">
        <v>407.75510204081598</v>
      </c>
      <c r="C79" s="82">
        <v>2.9292582195364001</v>
      </c>
      <c r="D79" s="82">
        <v>0.64713323334157402</v>
      </c>
      <c r="E79" s="75">
        <v>0.20935830663817501</v>
      </c>
      <c r="G79" s="89">
        <f t="shared" si="17"/>
        <v>2.9292582195363899</v>
      </c>
      <c r="H79" s="90">
        <f t="shared" si="18"/>
        <v>206.05551680667588</v>
      </c>
      <c r="I79" s="90">
        <f t="shared" si="12"/>
        <v>0.20605551680667589</v>
      </c>
      <c r="J79" s="90">
        <f t="shared" si="19"/>
        <v>64.713323334157394</v>
      </c>
      <c r="K79" s="90">
        <f t="shared" si="13"/>
        <v>0.64713323334157391</v>
      </c>
      <c r="L79" s="90">
        <f t="shared" si="20"/>
        <v>135.61643570728651</v>
      </c>
      <c r="M79" s="90">
        <f t="shared" si="14"/>
        <v>0.20956493766671477</v>
      </c>
      <c r="N79" s="91">
        <f t="shared" si="15"/>
        <v>0.65815484005955405</v>
      </c>
      <c r="P79" s="86">
        <f t="shared" si="21"/>
        <v>407.75510204081598</v>
      </c>
      <c r="Q79" s="47">
        <f t="shared" si="22"/>
        <v>2.9292582195364001</v>
      </c>
      <c r="R79" s="87">
        <f t="shared" si="16"/>
        <v>0.64713323334157402</v>
      </c>
      <c r="S79" s="47">
        <f t="shared" si="23"/>
        <v>0.20605551680667589</v>
      </c>
      <c r="T79" s="88">
        <f t="shared" si="24"/>
        <v>2.9292582195363899</v>
      </c>
      <c r="U79" s="88">
        <f t="shared" si="25"/>
        <v>206.05551680667588</v>
      </c>
      <c r="V79" s="88">
        <f t="shared" si="26"/>
        <v>64.713323334157394</v>
      </c>
    </row>
    <row r="80" spans="1:22" x14ac:dyDescent="0.2">
      <c r="A80" s="80">
        <v>39</v>
      </c>
      <c r="B80" s="81">
        <v>418.775510204081</v>
      </c>
      <c r="C80" s="82">
        <v>2.7716714010772101</v>
      </c>
      <c r="D80" s="82">
        <v>0.62892861290508195</v>
      </c>
      <c r="E80" s="75">
        <v>0.20933820846277401</v>
      </c>
      <c r="G80" s="89">
        <f t="shared" si="17"/>
        <v>2.7716714010772421</v>
      </c>
      <c r="H80" s="90">
        <f t="shared" si="18"/>
        <v>202.74989038767819</v>
      </c>
      <c r="I80" s="90">
        <f t="shared" si="12"/>
        <v>0.20274989038767818</v>
      </c>
      <c r="J80" s="90">
        <f t="shared" si="19"/>
        <v>62.892861290508279</v>
      </c>
      <c r="K80" s="90">
        <f t="shared" si="13"/>
        <v>0.62892861290508284</v>
      </c>
      <c r="L80" s="90">
        <f t="shared" si="20"/>
        <v>131.78873276703584</v>
      </c>
      <c r="M80" s="90">
        <f t="shared" si="14"/>
        <v>0.20954481965495381</v>
      </c>
      <c r="N80" s="91">
        <f t="shared" si="15"/>
        <v>0.6500064316436498</v>
      </c>
      <c r="P80" s="86">
        <f t="shared" si="21"/>
        <v>418.775510204081</v>
      </c>
      <c r="Q80" s="47">
        <f t="shared" si="22"/>
        <v>2.7716714010772101</v>
      </c>
      <c r="R80" s="87">
        <f t="shared" si="16"/>
        <v>0.62892861290508195</v>
      </c>
      <c r="S80" s="47">
        <f t="shared" si="23"/>
        <v>0.20274989038767818</v>
      </c>
      <c r="T80" s="88">
        <f t="shared" si="24"/>
        <v>2.7716714010772421</v>
      </c>
      <c r="U80" s="88">
        <f t="shared" si="25"/>
        <v>202.74989038767819</v>
      </c>
      <c r="V80" s="88">
        <f t="shared" si="26"/>
        <v>62.892861290508279</v>
      </c>
    </row>
    <row r="81" spans="1:22" x14ac:dyDescent="0.2">
      <c r="A81" s="80">
        <v>40</v>
      </c>
      <c r="B81" s="81">
        <v>429.79591836734699</v>
      </c>
      <c r="C81" s="82">
        <v>2.6127804107267498</v>
      </c>
      <c r="D81" s="82">
        <v>0.60682831318116204</v>
      </c>
      <c r="E81" s="75">
        <v>0.20990665197348901</v>
      </c>
      <c r="G81" s="89">
        <f t="shared" si="17"/>
        <v>2.6127804107267565</v>
      </c>
      <c r="H81" s="90">
        <f t="shared" si="18"/>
        <v>198.98954103091157</v>
      </c>
      <c r="I81" s="90">
        <f t="shared" si="12"/>
        <v>0.19898954103091157</v>
      </c>
      <c r="J81" s="90">
        <f t="shared" si="19"/>
        <v>60.682831318116257</v>
      </c>
      <c r="K81" s="90">
        <f t="shared" si="13"/>
        <v>0.60682831318116259</v>
      </c>
      <c r="L81" s="90">
        <f t="shared" si="20"/>
        <v>127.50301751785045</v>
      </c>
      <c r="M81" s="90">
        <f t="shared" si="14"/>
        <v>0.21011382420415459</v>
      </c>
      <c r="N81" s="91">
        <f t="shared" si="15"/>
        <v>0.64075235742185965</v>
      </c>
      <c r="P81" s="86">
        <f t="shared" si="21"/>
        <v>429.79591836734699</v>
      </c>
      <c r="Q81" s="47">
        <f t="shared" si="22"/>
        <v>2.6127804107267498</v>
      </c>
      <c r="R81" s="87">
        <f t="shared" si="16"/>
        <v>0.60682831318116204</v>
      </c>
      <c r="S81" s="47">
        <f t="shared" si="23"/>
        <v>0.19898954103091157</v>
      </c>
      <c r="T81" s="88">
        <f t="shared" si="24"/>
        <v>2.6127804107267565</v>
      </c>
      <c r="U81" s="88">
        <f t="shared" si="25"/>
        <v>198.98954103091157</v>
      </c>
      <c r="V81" s="88">
        <f t="shared" si="26"/>
        <v>60.682831318116257</v>
      </c>
    </row>
    <row r="82" spans="1:22" x14ac:dyDescent="0.2">
      <c r="A82" s="80">
        <v>41</v>
      </c>
      <c r="B82" s="81">
        <v>440.816326530612</v>
      </c>
      <c r="C82" s="82">
        <v>2.45051200111538</v>
      </c>
      <c r="D82" s="82">
        <v>0.58026174199436298</v>
      </c>
      <c r="E82" s="75">
        <v>0.21116279739506499</v>
      </c>
      <c r="G82" s="89">
        <f t="shared" si="17"/>
        <v>2.4505120011154347</v>
      </c>
      <c r="H82" s="90">
        <f t="shared" si="18"/>
        <v>194.75285610709784</v>
      </c>
      <c r="I82" s="90">
        <f t="shared" si="12"/>
        <v>0.19475285610709783</v>
      </c>
      <c r="J82" s="90">
        <f t="shared" si="19"/>
        <v>58.026174199436355</v>
      </c>
      <c r="K82" s="90">
        <f t="shared" si="13"/>
        <v>0.58026174199436353</v>
      </c>
      <c r="L82" s="90">
        <f t="shared" si="20"/>
        <v>122.65062617827483</v>
      </c>
      <c r="M82" s="90">
        <f t="shared" si="14"/>
        <v>0.21137120940754048</v>
      </c>
      <c r="N82" s="91">
        <f t="shared" si="15"/>
        <v>0.62977575081531645</v>
      </c>
      <c r="P82" s="86">
        <f t="shared" si="21"/>
        <v>440.816326530612</v>
      </c>
      <c r="Q82" s="47">
        <f t="shared" si="22"/>
        <v>2.45051200111538</v>
      </c>
      <c r="R82" s="87">
        <f t="shared" si="16"/>
        <v>0.58026174199436298</v>
      </c>
      <c r="S82" s="47">
        <f t="shared" si="23"/>
        <v>0.19475285610709783</v>
      </c>
      <c r="T82" s="88">
        <f t="shared" si="24"/>
        <v>2.4505120011154347</v>
      </c>
      <c r="U82" s="88">
        <f t="shared" si="25"/>
        <v>194.75285610709784</v>
      </c>
      <c r="V82" s="88">
        <f t="shared" si="26"/>
        <v>58.026174199436355</v>
      </c>
    </row>
    <row r="83" spans="1:22" x14ac:dyDescent="0.2">
      <c r="A83" s="80">
        <v>42</v>
      </c>
      <c r="B83" s="81">
        <v>451.83673469387702</v>
      </c>
      <c r="C83" s="82">
        <v>2.2819995808468101</v>
      </c>
      <c r="D83" s="82">
        <v>0.54858791536603901</v>
      </c>
      <c r="E83" s="75">
        <v>0.213195336050781</v>
      </c>
      <c r="G83" s="89">
        <f t="shared" si="17"/>
        <v>2.2819995808468505</v>
      </c>
      <c r="H83" s="90">
        <f t="shared" si="18"/>
        <v>190.01812856475945</v>
      </c>
      <c r="I83" s="90">
        <f t="shared" si="12"/>
        <v>0.19001812856475944</v>
      </c>
      <c r="J83" s="90">
        <f t="shared" si="19"/>
        <v>54.858791536604201</v>
      </c>
      <c r="K83" s="90">
        <f t="shared" si="13"/>
        <v>0.54858791536604201</v>
      </c>
      <c r="L83" s="90">
        <f t="shared" si="20"/>
        <v>117.07181778219318</v>
      </c>
      <c r="M83" s="90">
        <f t="shared" si="14"/>
        <v>0.21340575412434615</v>
      </c>
      <c r="N83" s="91">
        <f t="shared" si="15"/>
        <v>0.61610867692707705</v>
      </c>
      <c r="P83" s="86">
        <f t="shared" si="21"/>
        <v>451.83673469387702</v>
      </c>
      <c r="Q83" s="47">
        <f t="shared" si="22"/>
        <v>2.2819995808468101</v>
      </c>
      <c r="R83" s="87">
        <f t="shared" si="16"/>
        <v>0.54858791536603901</v>
      </c>
      <c r="S83" s="47">
        <f t="shared" si="23"/>
        <v>0.19001812856475944</v>
      </c>
      <c r="T83" s="88">
        <f t="shared" si="24"/>
        <v>2.2819995808468505</v>
      </c>
      <c r="U83" s="88">
        <f t="shared" si="25"/>
        <v>190.01812856475945</v>
      </c>
      <c r="V83" s="88">
        <f t="shared" si="26"/>
        <v>54.858791536604201</v>
      </c>
    </row>
    <row r="84" spans="1:22" x14ac:dyDescent="0.2">
      <c r="A84" s="80">
        <v>43</v>
      </c>
      <c r="B84" s="81">
        <v>462.85714285714198</v>
      </c>
      <c r="C84" s="82">
        <v>2.1034613504741402</v>
      </c>
      <c r="D84" s="82">
        <v>0.51109193835675604</v>
      </c>
      <c r="E84" s="75">
        <v>0.216077385019628</v>
      </c>
      <c r="G84" s="89">
        <f t="shared" si="17"/>
        <v>2.103461350474177</v>
      </c>
      <c r="H84" s="90">
        <f t="shared" si="18"/>
        <v>184.76355693022018</v>
      </c>
      <c r="I84" s="90">
        <f t="shared" si="12"/>
        <v>0.18476355693022017</v>
      </c>
      <c r="J84" s="90">
        <f t="shared" si="19"/>
        <v>51.109193835676024</v>
      </c>
      <c r="K84" s="90">
        <f t="shared" si="13"/>
        <v>0.51109193835676026</v>
      </c>
      <c r="L84" s="90">
        <f t="shared" si="20"/>
        <v>110.54440632938183</v>
      </c>
      <c r="M84" s="90">
        <f t="shared" si="14"/>
        <v>0.21629064759815858</v>
      </c>
      <c r="N84" s="91">
        <f t="shared" si="15"/>
        <v>0.59830200373946707</v>
      </c>
      <c r="P84" s="86">
        <f t="shared" si="21"/>
        <v>462.85714285714198</v>
      </c>
      <c r="Q84" s="47">
        <f t="shared" si="22"/>
        <v>2.1034613504741402</v>
      </c>
      <c r="R84" s="87">
        <f t="shared" si="16"/>
        <v>0.51109193835675604</v>
      </c>
      <c r="S84" s="47">
        <f t="shared" si="23"/>
        <v>0.18476355693022017</v>
      </c>
      <c r="T84" s="88">
        <f t="shared" si="24"/>
        <v>2.103461350474177</v>
      </c>
      <c r="U84" s="88">
        <f t="shared" si="25"/>
        <v>184.76355693022018</v>
      </c>
      <c r="V84" s="88">
        <f t="shared" si="26"/>
        <v>51.109193835676024</v>
      </c>
    </row>
    <row r="85" spans="1:22" x14ac:dyDescent="0.2">
      <c r="A85" s="80">
        <v>44</v>
      </c>
      <c r="B85" s="81">
        <v>473.87755102040802</v>
      </c>
      <c r="C85" s="82">
        <v>1.9100711863092199</v>
      </c>
      <c r="D85" s="82">
        <v>0.46698148590868799</v>
      </c>
      <c r="E85" s="75">
        <v>0.21985829979781399</v>
      </c>
      <c r="G85" s="89">
        <f t="shared" si="17"/>
        <v>1.9100711863092315</v>
      </c>
      <c r="H85" s="90">
        <f t="shared" si="18"/>
        <v>178.96724530760477</v>
      </c>
      <c r="I85" s="90">
        <f t="shared" si="12"/>
        <v>0.17896724530760477</v>
      </c>
      <c r="J85" s="90">
        <f t="shared" si="19"/>
        <v>46.698148590869039</v>
      </c>
      <c r="K85" s="90">
        <f t="shared" si="13"/>
        <v>0.46698148590869037</v>
      </c>
      <c r="L85" s="90">
        <f t="shared" si="20"/>
        <v>102.7710878215329</v>
      </c>
      <c r="M85" s="90">
        <f t="shared" si="14"/>
        <v>0.22007529403773385</v>
      </c>
      <c r="N85" s="91">
        <f t="shared" si="15"/>
        <v>0.57424523490257851</v>
      </c>
      <c r="P85" s="86">
        <f t="shared" si="21"/>
        <v>473.87755102040796</v>
      </c>
      <c r="Q85" s="47">
        <f t="shared" si="22"/>
        <v>1.9100711863092199</v>
      </c>
      <c r="R85" s="87">
        <f t="shared" si="16"/>
        <v>0.46698148590868799</v>
      </c>
      <c r="S85" s="47">
        <f t="shared" si="23"/>
        <v>0.17896724530760477</v>
      </c>
      <c r="T85" s="88">
        <f t="shared" si="24"/>
        <v>1.910071186309203</v>
      </c>
      <c r="U85" s="88">
        <f t="shared" si="25"/>
        <v>178.96724530760474</v>
      </c>
      <c r="V85" s="88">
        <f t="shared" si="26"/>
        <v>46.698148590869096</v>
      </c>
    </row>
    <row r="86" spans="1:22" x14ac:dyDescent="0.2">
      <c r="A86" s="80">
        <v>45</v>
      </c>
      <c r="B86" s="81">
        <v>484.89795918367298</v>
      </c>
      <c r="C86" s="82">
        <v>1.6958222720647</v>
      </c>
      <c r="D86" s="82">
        <v>0.41538328368802802</v>
      </c>
      <c r="E86" s="75">
        <v>0.224547650428495</v>
      </c>
      <c r="G86" s="89">
        <f t="shared" si="17"/>
        <v>1.6958222720646603</v>
      </c>
      <c r="H86" s="90">
        <f t="shared" si="18"/>
        <v>172.60720337884075</v>
      </c>
      <c r="I86" s="90">
        <f t="shared" si="12"/>
        <v>0.17260720337884075</v>
      </c>
      <c r="J86" s="90">
        <f t="shared" si="19"/>
        <v>41.53832836880315</v>
      </c>
      <c r="K86" s="90">
        <f t="shared" si="13"/>
        <v>0.41538328368803151</v>
      </c>
      <c r="L86" s="90">
        <f t="shared" si="20"/>
        <v>93.365398662500823</v>
      </c>
      <c r="M86" s="90">
        <f t="shared" si="14"/>
        <v>0.22476927293160348</v>
      </c>
      <c r="N86" s="91">
        <f t="shared" si="15"/>
        <v>0.5409125276051262</v>
      </c>
      <c r="P86" s="86">
        <f t="shared" si="21"/>
        <v>484.89795918367304</v>
      </c>
      <c r="Q86" s="47">
        <f t="shared" si="22"/>
        <v>1.6958222720647</v>
      </c>
      <c r="R86" s="87">
        <f t="shared" si="16"/>
        <v>0.41538328368802802</v>
      </c>
      <c r="S86" s="47">
        <f t="shared" si="23"/>
        <v>0.17260720337884075</v>
      </c>
      <c r="T86" s="88">
        <f t="shared" si="24"/>
        <v>1.6958222720646887</v>
      </c>
      <c r="U86" s="88">
        <f t="shared" si="25"/>
        <v>172.60720337884078</v>
      </c>
      <c r="V86" s="88">
        <f t="shared" si="26"/>
        <v>41.538328368803093</v>
      </c>
    </row>
    <row r="87" spans="1:22" x14ac:dyDescent="0.2">
      <c r="A87" s="80">
        <v>46</v>
      </c>
      <c r="B87" s="81">
        <v>495.918367346938</v>
      </c>
      <c r="C87" s="82">
        <v>1.45338347832991</v>
      </c>
      <c r="D87" s="82">
        <v>0.35533958892738099</v>
      </c>
      <c r="E87" s="75">
        <v>0.23007723854776499</v>
      </c>
      <c r="G87" s="89">
        <f t="shared" si="17"/>
        <v>1.4533834783299824</v>
      </c>
      <c r="H87" s="90">
        <f t="shared" si="18"/>
        <v>165.66134640365553</v>
      </c>
      <c r="I87" s="90">
        <f t="shared" si="12"/>
        <v>0.16566134640365554</v>
      </c>
      <c r="J87" s="90">
        <f t="shared" si="19"/>
        <v>35.533958892738383</v>
      </c>
      <c r="K87" s="90">
        <f t="shared" si="13"/>
        <v>0.35533958892738382</v>
      </c>
      <c r="L87" s="90">
        <f t="shared" si="20"/>
        <v>81.836241901624717</v>
      </c>
      <c r="M87" s="90">
        <f t="shared" si="14"/>
        <v>0.23030431860590839</v>
      </c>
      <c r="N87" s="91">
        <f t="shared" si="15"/>
        <v>0.49399720380287154</v>
      </c>
      <c r="P87" s="86">
        <f t="shared" si="21"/>
        <v>495.91836734693806</v>
      </c>
      <c r="Q87" s="47">
        <f t="shared" si="22"/>
        <v>1.45338347832991</v>
      </c>
      <c r="R87" s="87">
        <f t="shared" si="16"/>
        <v>0.35533958892738099</v>
      </c>
      <c r="S87" s="47">
        <f t="shared" si="23"/>
        <v>0.16566134640365554</v>
      </c>
      <c r="T87" s="88">
        <f t="shared" si="24"/>
        <v>1.4533834783299397</v>
      </c>
      <c r="U87" s="88">
        <f t="shared" si="25"/>
        <v>165.66134640365559</v>
      </c>
      <c r="V87" s="88">
        <f t="shared" si="26"/>
        <v>35.533958892738383</v>
      </c>
    </row>
    <row r="88" spans="1:22" x14ac:dyDescent="0.2">
      <c r="A88" s="80">
        <v>47</v>
      </c>
      <c r="B88" s="81">
        <v>506.93877551020398</v>
      </c>
      <c r="C88" s="82">
        <v>1.1739484898794701</v>
      </c>
      <c r="D88" s="82">
        <v>0.28580467126817699</v>
      </c>
      <c r="E88" s="75">
        <v>0.23619030638783001</v>
      </c>
      <c r="G88" s="89">
        <f t="shared" si="17"/>
        <v>1.1739484898794927</v>
      </c>
      <c r="H88" s="90">
        <f t="shared" si="18"/>
        <v>158.10749521957777</v>
      </c>
      <c r="I88" s="90">
        <f t="shared" si="12"/>
        <v>0.15810749521957776</v>
      </c>
      <c r="J88" s="90">
        <f t="shared" si="19"/>
        <v>28.580467126817553</v>
      </c>
      <c r="K88" s="90">
        <f t="shared" si="13"/>
        <v>0.28580467126817555</v>
      </c>
      <c r="L88" s="90">
        <f t="shared" si="20"/>
        <v>67.570917798853259</v>
      </c>
      <c r="M88" s="90">
        <f t="shared" si="14"/>
        <v>0.23642341987983212</v>
      </c>
      <c r="N88" s="91">
        <f t="shared" si="15"/>
        <v>0.42737327351250226</v>
      </c>
      <c r="P88" s="86">
        <f t="shared" si="21"/>
        <v>506.93877551020398</v>
      </c>
      <c r="Q88" s="47">
        <f t="shared" si="22"/>
        <v>1.1739484898794701</v>
      </c>
      <c r="R88" s="87">
        <f t="shared" si="16"/>
        <v>0.28580467126817699</v>
      </c>
      <c r="S88" s="47">
        <f t="shared" si="23"/>
        <v>0.15810749521957776</v>
      </c>
      <c r="T88" s="88">
        <f t="shared" si="24"/>
        <v>1.1739484898794927</v>
      </c>
      <c r="U88" s="88">
        <f t="shared" si="25"/>
        <v>158.10749521957777</v>
      </c>
      <c r="V88" s="88">
        <f t="shared" si="26"/>
        <v>28.580467126817553</v>
      </c>
    </row>
    <row r="89" spans="1:22" x14ac:dyDescent="0.2">
      <c r="A89" s="80">
        <v>48</v>
      </c>
      <c r="B89" s="81">
        <v>517.95918367346906</v>
      </c>
      <c r="C89" s="82">
        <v>0.84707768081470602</v>
      </c>
      <c r="D89" s="82">
        <v>0.20564129360306599</v>
      </c>
      <c r="E89" s="75">
        <v>0.242011101737515</v>
      </c>
      <c r="G89" s="89">
        <f t="shared" si="17"/>
        <v>0.84707768081464963</v>
      </c>
      <c r="H89" s="90">
        <f t="shared" si="18"/>
        <v>149.92337624193914</v>
      </c>
      <c r="I89" s="90">
        <f t="shared" si="12"/>
        <v>0.14992337624193913</v>
      </c>
      <c r="J89" s="90">
        <f t="shared" si="19"/>
        <v>20.564129360306652</v>
      </c>
      <c r="K89" s="90">
        <f t="shared" si="13"/>
        <v>0.20564129360306652</v>
      </c>
      <c r="L89" s="90">
        <f t="shared" si="20"/>
        <v>49.816595190463815</v>
      </c>
      <c r="M89" s="90">
        <f t="shared" si="14"/>
        <v>0.24224996019827094</v>
      </c>
      <c r="N89" s="91">
        <f t="shared" si="15"/>
        <v>0.33228037174184355</v>
      </c>
      <c r="P89" s="86">
        <f t="shared" si="21"/>
        <v>517.95918367346906</v>
      </c>
      <c r="Q89" s="47">
        <f t="shared" si="22"/>
        <v>0.84707768081470602</v>
      </c>
      <c r="R89" s="87">
        <f t="shared" si="16"/>
        <v>0.20564129360306599</v>
      </c>
      <c r="S89" s="47">
        <f t="shared" si="23"/>
        <v>0.14992337624193913</v>
      </c>
      <c r="T89" s="88">
        <f t="shared" si="24"/>
        <v>0.84707768081464963</v>
      </c>
      <c r="U89" s="88">
        <f t="shared" si="25"/>
        <v>149.92337624193914</v>
      </c>
      <c r="V89" s="88">
        <f t="shared" si="26"/>
        <v>20.564129360306652</v>
      </c>
    </row>
    <row r="90" spans="1:22" x14ac:dyDescent="0.2">
      <c r="A90" s="80">
        <v>49</v>
      </c>
      <c r="B90" s="81">
        <v>528.97959183673402</v>
      </c>
      <c r="C90" s="82">
        <v>0.46053273753892598</v>
      </c>
      <c r="D90" s="82">
        <v>0.11361719291832501</v>
      </c>
      <c r="E90" s="75">
        <v>0.243210437668509</v>
      </c>
      <c r="G90" s="89">
        <f t="shared" si="17"/>
        <v>0.46053273753896917</v>
      </c>
      <c r="H90" s="90">
        <f t="shared" si="18"/>
        <v>141.08662146387101</v>
      </c>
      <c r="I90" s="90">
        <f t="shared" si="12"/>
        <v>0.14108662146387102</v>
      </c>
      <c r="J90" s="90">
        <f t="shared" si="19"/>
        <v>11.361719291833197</v>
      </c>
      <c r="K90" s="90">
        <f t="shared" si="13"/>
        <v>0.11361719291833197</v>
      </c>
      <c r="L90" s="90">
        <f t="shared" si="20"/>
        <v>27.660160134225663</v>
      </c>
      <c r="M90" s="90">
        <f t="shared" si="14"/>
        <v>0.24345047984161855</v>
      </c>
      <c r="N90" s="91">
        <f t="shared" si="15"/>
        <v>0.19605090721737059</v>
      </c>
      <c r="P90" s="86">
        <f t="shared" si="21"/>
        <v>528.97959183673402</v>
      </c>
      <c r="Q90" s="47">
        <f t="shared" si="22"/>
        <v>0.46053273753892598</v>
      </c>
      <c r="R90" s="87">
        <f t="shared" si="16"/>
        <v>0.11361719291832501</v>
      </c>
      <c r="S90" s="47">
        <f t="shared" si="23"/>
        <v>0.14108662146387102</v>
      </c>
      <c r="T90" s="88">
        <f t="shared" si="24"/>
        <v>0.46053273753896917</v>
      </c>
      <c r="U90" s="88">
        <f t="shared" si="25"/>
        <v>141.08662146387101</v>
      </c>
      <c r="V90" s="88">
        <f t="shared" si="26"/>
        <v>11.361719291833197</v>
      </c>
    </row>
    <row r="91" spans="1:22" x14ac:dyDescent="0.2">
      <c r="A91" s="92">
        <v>50</v>
      </c>
      <c r="B91" s="93">
        <v>540</v>
      </c>
      <c r="C91" s="94">
        <v>1.0402956559119E-4</v>
      </c>
      <c r="D91" s="94">
        <v>8.4015611362644894E-3</v>
      </c>
      <c r="E91" s="78">
        <v>7.5843329835972005E-4</v>
      </c>
      <c r="G91" s="95">
        <f t="shared" si="17"/>
        <v>1.0402956559119048E-4</v>
      </c>
      <c r="H91" s="96">
        <f t="shared" si="18"/>
        <v>131.57476845630561</v>
      </c>
      <c r="I91" s="96">
        <f t="shared" si="12"/>
        <v>0.13157476845630561</v>
      </c>
      <c r="J91" s="96">
        <f t="shared" si="19"/>
        <v>0.84015611362644904</v>
      </c>
      <c r="K91" s="96">
        <f t="shared" si="13"/>
        <v>8.4015611362644911E-3</v>
      </c>
      <c r="L91" s="96">
        <f t="shared" si="20"/>
        <v>6.3783127403098374E-3</v>
      </c>
      <c r="M91" s="96">
        <f t="shared" si="14"/>
        <v>7.5918185166545934E-4</v>
      </c>
      <c r="N91" s="97">
        <f t="shared" si="15"/>
        <v>4.8476716433880694E-5</v>
      </c>
      <c r="P91" s="86">
        <f t="shared" si="21"/>
        <v>540</v>
      </c>
      <c r="Q91" s="47">
        <f t="shared" si="22"/>
        <v>1.0402956559119E-4</v>
      </c>
      <c r="R91" s="87">
        <f t="shared" si="16"/>
        <v>8.4015611362644894E-3</v>
      </c>
      <c r="S91" s="47">
        <f t="shared" si="23"/>
        <v>0.13157476845630561</v>
      </c>
      <c r="T91" s="88">
        <f t="shared" si="24"/>
        <v>1.0402956559119048E-4</v>
      </c>
      <c r="U91" s="88">
        <f t="shared" si="25"/>
        <v>131.57476845630561</v>
      </c>
      <c r="V91" s="88">
        <f t="shared" si="26"/>
        <v>0.84015611362644904</v>
      </c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1A3B4-3E57-42ED-8EFA-9E0BB3522BCB}">
  <sheetPr codeName="Лист16"/>
  <dimension ref="A1:AU91"/>
  <sheetViews>
    <sheetView zoomScale="85" zoomScaleNormal="85" workbookViewId="0">
      <selection activeCell="B42" sqref="B42:E91"/>
    </sheetView>
  </sheetViews>
  <sheetFormatPr defaultRowHeight="12.75" x14ac:dyDescent="0.2"/>
  <cols>
    <col min="1" max="1" width="15.5703125" style="47" customWidth="1"/>
    <col min="2" max="2" width="14.42578125" style="47" customWidth="1"/>
    <col min="3" max="3" width="14.85546875" style="47" customWidth="1"/>
    <col min="4" max="5" width="12" style="47" customWidth="1"/>
    <col min="6" max="6" width="9.140625" style="47"/>
    <col min="7" max="8" width="10.42578125" style="47" customWidth="1"/>
    <col min="9" max="9" width="10.28515625" style="47" customWidth="1"/>
    <col min="10" max="18" width="9.140625" style="47"/>
    <col min="19" max="19" width="11.5703125" style="47" customWidth="1"/>
    <col min="20" max="20" width="10.28515625" style="47" customWidth="1"/>
    <col min="21" max="21" width="17.140625" style="47" customWidth="1"/>
    <col min="22" max="256" width="9.140625" style="47"/>
    <col min="257" max="257" width="15.5703125" style="47" customWidth="1"/>
    <col min="258" max="258" width="14.42578125" style="47" customWidth="1"/>
    <col min="259" max="259" width="14.85546875" style="47" customWidth="1"/>
    <col min="260" max="261" width="12" style="47" customWidth="1"/>
    <col min="262" max="262" width="9.140625" style="47"/>
    <col min="263" max="264" width="10.42578125" style="47" customWidth="1"/>
    <col min="265" max="265" width="10.28515625" style="47" customWidth="1"/>
    <col min="266" max="274" width="9.140625" style="47"/>
    <col min="275" max="275" width="11.5703125" style="47" customWidth="1"/>
    <col min="276" max="512" width="9.140625" style="47"/>
    <col min="513" max="513" width="15.5703125" style="47" customWidth="1"/>
    <col min="514" max="514" width="14.42578125" style="47" customWidth="1"/>
    <col min="515" max="515" width="14.85546875" style="47" customWidth="1"/>
    <col min="516" max="517" width="12" style="47" customWidth="1"/>
    <col min="518" max="518" width="9.140625" style="47"/>
    <col min="519" max="520" width="10.42578125" style="47" customWidth="1"/>
    <col min="521" max="521" width="10.28515625" style="47" customWidth="1"/>
    <col min="522" max="530" width="9.140625" style="47"/>
    <col min="531" max="531" width="11.5703125" style="47" customWidth="1"/>
    <col min="532" max="768" width="9.140625" style="47"/>
    <col min="769" max="769" width="15.5703125" style="47" customWidth="1"/>
    <col min="770" max="770" width="14.42578125" style="47" customWidth="1"/>
    <col min="771" max="771" width="14.85546875" style="47" customWidth="1"/>
    <col min="772" max="773" width="12" style="47" customWidth="1"/>
    <col min="774" max="774" width="9.140625" style="47"/>
    <col min="775" max="776" width="10.42578125" style="47" customWidth="1"/>
    <col min="777" max="777" width="10.28515625" style="47" customWidth="1"/>
    <col min="778" max="786" width="9.140625" style="47"/>
    <col min="787" max="787" width="11.5703125" style="47" customWidth="1"/>
    <col min="788" max="1024" width="9.140625" style="47"/>
    <col min="1025" max="1025" width="15.5703125" style="47" customWidth="1"/>
    <col min="1026" max="1026" width="14.42578125" style="47" customWidth="1"/>
    <col min="1027" max="1027" width="14.85546875" style="47" customWidth="1"/>
    <col min="1028" max="1029" width="12" style="47" customWidth="1"/>
    <col min="1030" max="1030" width="9.140625" style="47"/>
    <col min="1031" max="1032" width="10.42578125" style="47" customWidth="1"/>
    <col min="1033" max="1033" width="10.28515625" style="47" customWidth="1"/>
    <col min="1034" max="1042" width="9.140625" style="47"/>
    <col min="1043" max="1043" width="11.5703125" style="47" customWidth="1"/>
    <col min="1044" max="1280" width="9.140625" style="47"/>
    <col min="1281" max="1281" width="15.5703125" style="47" customWidth="1"/>
    <col min="1282" max="1282" width="14.42578125" style="47" customWidth="1"/>
    <col min="1283" max="1283" width="14.85546875" style="47" customWidth="1"/>
    <col min="1284" max="1285" width="12" style="47" customWidth="1"/>
    <col min="1286" max="1286" width="9.140625" style="47"/>
    <col min="1287" max="1288" width="10.42578125" style="47" customWidth="1"/>
    <col min="1289" max="1289" width="10.28515625" style="47" customWidth="1"/>
    <col min="1290" max="1298" width="9.140625" style="47"/>
    <col min="1299" max="1299" width="11.5703125" style="47" customWidth="1"/>
    <col min="1300" max="1536" width="9.140625" style="47"/>
    <col min="1537" max="1537" width="15.5703125" style="47" customWidth="1"/>
    <col min="1538" max="1538" width="14.42578125" style="47" customWidth="1"/>
    <col min="1539" max="1539" width="14.85546875" style="47" customWidth="1"/>
    <col min="1540" max="1541" width="12" style="47" customWidth="1"/>
    <col min="1542" max="1542" width="9.140625" style="47"/>
    <col min="1543" max="1544" width="10.42578125" style="47" customWidth="1"/>
    <col min="1545" max="1545" width="10.28515625" style="47" customWidth="1"/>
    <col min="1546" max="1554" width="9.140625" style="47"/>
    <col min="1555" max="1555" width="11.5703125" style="47" customWidth="1"/>
    <col min="1556" max="1792" width="9.140625" style="47"/>
    <col min="1793" max="1793" width="15.5703125" style="47" customWidth="1"/>
    <col min="1794" max="1794" width="14.42578125" style="47" customWidth="1"/>
    <col min="1795" max="1795" width="14.85546875" style="47" customWidth="1"/>
    <col min="1796" max="1797" width="12" style="47" customWidth="1"/>
    <col min="1798" max="1798" width="9.140625" style="47"/>
    <col min="1799" max="1800" width="10.42578125" style="47" customWidth="1"/>
    <col min="1801" max="1801" width="10.28515625" style="47" customWidth="1"/>
    <col min="1802" max="1810" width="9.140625" style="47"/>
    <col min="1811" max="1811" width="11.5703125" style="47" customWidth="1"/>
    <col min="1812" max="2048" width="9.140625" style="47"/>
    <col min="2049" max="2049" width="15.5703125" style="47" customWidth="1"/>
    <col min="2050" max="2050" width="14.42578125" style="47" customWidth="1"/>
    <col min="2051" max="2051" width="14.85546875" style="47" customWidth="1"/>
    <col min="2052" max="2053" width="12" style="47" customWidth="1"/>
    <col min="2054" max="2054" width="9.140625" style="47"/>
    <col min="2055" max="2056" width="10.42578125" style="47" customWidth="1"/>
    <col min="2057" max="2057" width="10.28515625" style="47" customWidth="1"/>
    <col min="2058" max="2066" width="9.140625" style="47"/>
    <col min="2067" max="2067" width="11.5703125" style="47" customWidth="1"/>
    <col min="2068" max="2304" width="9.140625" style="47"/>
    <col min="2305" max="2305" width="15.5703125" style="47" customWidth="1"/>
    <col min="2306" max="2306" width="14.42578125" style="47" customWidth="1"/>
    <col min="2307" max="2307" width="14.85546875" style="47" customWidth="1"/>
    <col min="2308" max="2309" width="12" style="47" customWidth="1"/>
    <col min="2310" max="2310" width="9.140625" style="47"/>
    <col min="2311" max="2312" width="10.42578125" style="47" customWidth="1"/>
    <col min="2313" max="2313" width="10.28515625" style="47" customWidth="1"/>
    <col min="2314" max="2322" width="9.140625" style="47"/>
    <col min="2323" max="2323" width="11.5703125" style="47" customWidth="1"/>
    <col min="2324" max="2560" width="9.140625" style="47"/>
    <col min="2561" max="2561" width="15.5703125" style="47" customWidth="1"/>
    <col min="2562" max="2562" width="14.42578125" style="47" customWidth="1"/>
    <col min="2563" max="2563" width="14.85546875" style="47" customWidth="1"/>
    <col min="2564" max="2565" width="12" style="47" customWidth="1"/>
    <col min="2566" max="2566" width="9.140625" style="47"/>
    <col min="2567" max="2568" width="10.42578125" style="47" customWidth="1"/>
    <col min="2569" max="2569" width="10.28515625" style="47" customWidth="1"/>
    <col min="2570" max="2578" width="9.140625" style="47"/>
    <col min="2579" max="2579" width="11.5703125" style="47" customWidth="1"/>
    <col min="2580" max="2816" width="9.140625" style="47"/>
    <col min="2817" max="2817" width="15.5703125" style="47" customWidth="1"/>
    <col min="2818" max="2818" width="14.42578125" style="47" customWidth="1"/>
    <col min="2819" max="2819" width="14.85546875" style="47" customWidth="1"/>
    <col min="2820" max="2821" width="12" style="47" customWidth="1"/>
    <col min="2822" max="2822" width="9.140625" style="47"/>
    <col min="2823" max="2824" width="10.42578125" style="47" customWidth="1"/>
    <col min="2825" max="2825" width="10.28515625" style="47" customWidth="1"/>
    <col min="2826" max="2834" width="9.140625" style="47"/>
    <col min="2835" max="2835" width="11.5703125" style="47" customWidth="1"/>
    <col min="2836" max="3072" width="9.140625" style="47"/>
    <col min="3073" max="3073" width="15.5703125" style="47" customWidth="1"/>
    <col min="3074" max="3074" width="14.42578125" style="47" customWidth="1"/>
    <col min="3075" max="3075" width="14.85546875" style="47" customWidth="1"/>
    <col min="3076" max="3077" width="12" style="47" customWidth="1"/>
    <col min="3078" max="3078" width="9.140625" style="47"/>
    <col min="3079" max="3080" width="10.42578125" style="47" customWidth="1"/>
    <col min="3081" max="3081" width="10.28515625" style="47" customWidth="1"/>
    <col min="3082" max="3090" width="9.140625" style="47"/>
    <col min="3091" max="3091" width="11.5703125" style="47" customWidth="1"/>
    <col min="3092" max="3328" width="9.140625" style="47"/>
    <col min="3329" max="3329" width="15.5703125" style="47" customWidth="1"/>
    <col min="3330" max="3330" width="14.42578125" style="47" customWidth="1"/>
    <col min="3331" max="3331" width="14.85546875" style="47" customWidth="1"/>
    <col min="3332" max="3333" width="12" style="47" customWidth="1"/>
    <col min="3334" max="3334" width="9.140625" style="47"/>
    <col min="3335" max="3336" width="10.42578125" style="47" customWidth="1"/>
    <col min="3337" max="3337" width="10.28515625" style="47" customWidth="1"/>
    <col min="3338" max="3346" width="9.140625" style="47"/>
    <col min="3347" max="3347" width="11.5703125" style="47" customWidth="1"/>
    <col min="3348" max="3584" width="9.140625" style="47"/>
    <col min="3585" max="3585" width="15.5703125" style="47" customWidth="1"/>
    <col min="3586" max="3586" width="14.42578125" style="47" customWidth="1"/>
    <col min="3587" max="3587" width="14.85546875" style="47" customWidth="1"/>
    <col min="3588" max="3589" width="12" style="47" customWidth="1"/>
    <col min="3590" max="3590" width="9.140625" style="47"/>
    <col min="3591" max="3592" width="10.42578125" style="47" customWidth="1"/>
    <col min="3593" max="3593" width="10.28515625" style="47" customWidth="1"/>
    <col min="3594" max="3602" width="9.140625" style="47"/>
    <col min="3603" max="3603" width="11.5703125" style="47" customWidth="1"/>
    <col min="3604" max="3840" width="9.140625" style="47"/>
    <col min="3841" max="3841" width="15.5703125" style="47" customWidth="1"/>
    <col min="3842" max="3842" width="14.42578125" style="47" customWidth="1"/>
    <col min="3843" max="3843" width="14.85546875" style="47" customWidth="1"/>
    <col min="3844" max="3845" width="12" style="47" customWidth="1"/>
    <col min="3846" max="3846" width="9.140625" style="47"/>
    <col min="3847" max="3848" width="10.42578125" style="47" customWidth="1"/>
    <col min="3849" max="3849" width="10.28515625" style="47" customWidth="1"/>
    <col min="3850" max="3858" width="9.140625" style="47"/>
    <col min="3859" max="3859" width="11.5703125" style="47" customWidth="1"/>
    <col min="3860" max="4096" width="9.140625" style="47"/>
    <col min="4097" max="4097" width="15.5703125" style="47" customWidth="1"/>
    <col min="4098" max="4098" width="14.42578125" style="47" customWidth="1"/>
    <col min="4099" max="4099" width="14.85546875" style="47" customWidth="1"/>
    <col min="4100" max="4101" width="12" style="47" customWidth="1"/>
    <col min="4102" max="4102" width="9.140625" style="47"/>
    <col min="4103" max="4104" width="10.42578125" style="47" customWidth="1"/>
    <col min="4105" max="4105" width="10.28515625" style="47" customWidth="1"/>
    <col min="4106" max="4114" width="9.140625" style="47"/>
    <col min="4115" max="4115" width="11.5703125" style="47" customWidth="1"/>
    <col min="4116" max="4352" width="9.140625" style="47"/>
    <col min="4353" max="4353" width="15.5703125" style="47" customWidth="1"/>
    <col min="4354" max="4354" width="14.42578125" style="47" customWidth="1"/>
    <col min="4355" max="4355" width="14.85546875" style="47" customWidth="1"/>
    <col min="4356" max="4357" width="12" style="47" customWidth="1"/>
    <col min="4358" max="4358" width="9.140625" style="47"/>
    <col min="4359" max="4360" width="10.42578125" style="47" customWidth="1"/>
    <col min="4361" max="4361" width="10.28515625" style="47" customWidth="1"/>
    <col min="4362" max="4370" width="9.140625" style="47"/>
    <col min="4371" max="4371" width="11.5703125" style="47" customWidth="1"/>
    <col min="4372" max="4608" width="9.140625" style="47"/>
    <col min="4609" max="4609" width="15.5703125" style="47" customWidth="1"/>
    <col min="4610" max="4610" width="14.42578125" style="47" customWidth="1"/>
    <col min="4611" max="4611" width="14.85546875" style="47" customWidth="1"/>
    <col min="4612" max="4613" width="12" style="47" customWidth="1"/>
    <col min="4614" max="4614" width="9.140625" style="47"/>
    <col min="4615" max="4616" width="10.42578125" style="47" customWidth="1"/>
    <col min="4617" max="4617" width="10.28515625" style="47" customWidth="1"/>
    <col min="4618" max="4626" width="9.140625" style="47"/>
    <col min="4627" max="4627" width="11.5703125" style="47" customWidth="1"/>
    <col min="4628" max="4864" width="9.140625" style="47"/>
    <col min="4865" max="4865" width="15.5703125" style="47" customWidth="1"/>
    <col min="4866" max="4866" width="14.42578125" style="47" customWidth="1"/>
    <col min="4867" max="4867" width="14.85546875" style="47" customWidth="1"/>
    <col min="4868" max="4869" width="12" style="47" customWidth="1"/>
    <col min="4870" max="4870" width="9.140625" style="47"/>
    <col min="4871" max="4872" width="10.42578125" style="47" customWidth="1"/>
    <col min="4873" max="4873" width="10.28515625" style="47" customWidth="1"/>
    <col min="4874" max="4882" width="9.140625" style="47"/>
    <col min="4883" max="4883" width="11.5703125" style="47" customWidth="1"/>
    <col min="4884" max="5120" width="9.140625" style="47"/>
    <col min="5121" max="5121" width="15.5703125" style="47" customWidth="1"/>
    <col min="5122" max="5122" width="14.42578125" style="47" customWidth="1"/>
    <col min="5123" max="5123" width="14.85546875" style="47" customWidth="1"/>
    <col min="5124" max="5125" width="12" style="47" customWidth="1"/>
    <col min="5126" max="5126" width="9.140625" style="47"/>
    <col min="5127" max="5128" width="10.42578125" style="47" customWidth="1"/>
    <col min="5129" max="5129" width="10.28515625" style="47" customWidth="1"/>
    <col min="5130" max="5138" width="9.140625" style="47"/>
    <col min="5139" max="5139" width="11.5703125" style="47" customWidth="1"/>
    <col min="5140" max="5376" width="9.140625" style="47"/>
    <col min="5377" max="5377" width="15.5703125" style="47" customWidth="1"/>
    <col min="5378" max="5378" width="14.42578125" style="47" customWidth="1"/>
    <col min="5379" max="5379" width="14.85546875" style="47" customWidth="1"/>
    <col min="5380" max="5381" width="12" style="47" customWidth="1"/>
    <col min="5382" max="5382" width="9.140625" style="47"/>
    <col min="5383" max="5384" width="10.42578125" style="47" customWidth="1"/>
    <col min="5385" max="5385" width="10.28515625" style="47" customWidth="1"/>
    <col min="5386" max="5394" width="9.140625" style="47"/>
    <col min="5395" max="5395" width="11.5703125" style="47" customWidth="1"/>
    <col min="5396" max="5632" width="9.140625" style="47"/>
    <col min="5633" max="5633" width="15.5703125" style="47" customWidth="1"/>
    <col min="5634" max="5634" width="14.42578125" style="47" customWidth="1"/>
    <col min="5635" max="5635" width="14.85546875" style="47" customWidth="1"/>
    <col min="5636" max="5637" width="12" style="47" customWidth="1"/>
    <col min="5638" max="5638" width="9.140625" style="47"/>
    <col min="5639" max="5640" width="10.42578125" style="47" customWidth="1"/>
    <col min="5641" max="5641" width="10.28515625" style="47" customWidth="1"/>
    <col min="5642" max="5650" width="9.140625" style="47"/>
    <col min="5651" max="5651" width="11.5703125" style="47" customWidth="1"/>
    <col min="5652" max="5888" width="9.140625" style="47"/>
    <col min="5889" max="5889" width="15.5703125" style="47" customWidth="1"/>
    <col min="5890" max="5890" width="14.42578125" style="47" customWidth="1"/>
    <col min="5891" max="5891" width="14.85546875" style="47" customWidth="1"/>
    <col min="5892" max="5893" width="12" style="47" customWidth="1"/>
    <col min="5894" max="5894" width="9.140625" style="47"/>
    <col min="5895" max="5896" width="10.42578125" style="47" customWidth="1"/>
    <col min="5897" max="5897" width="10.28515625" style="47" customWidth="1"/>
    <col min="5898" max="5906" width="9.140625" style="47"/>
    <col min="5907" max="5907" width="11.5703125" style="47" customWidth="1"/>
    <col min="5908" max="6144" width="9.140625" style="47"/>
    <col min="6145" max="6145" width="15.5703125" style="47" customWidth="1"/>
    <col min="6146" max="6146" width="14.42578125" style="47" customWidth="1"/>
    <col min="6147" max="6147" width="14.85546875" style="47" customWidth="1"/>
    <col min="6148" max="6149" width="12" style="47" customWidth="1"/>
    <col min="6150" max="6150" width="9.140625" style="47"/>
    <col min="6151" max="6152" width="10.42578125" style="47" customWidth="1"/>
    <col min="6153" max="6153" width="10.28515625" style="47" customWidth="1"/>
    <col min="6154" max="6162" width="9.140625" style="47"/>
    <col min="6163" max="6163" width="11.5703125" style="47" customWidth="1"/>
    <col min="6164" max="6400" width="9.140625" style="47"/>
    <col min="6401" max="6401" width="15.5703125" style="47" customWidth="1"/>
    <col min="6402" max="6402" width="14.42578125" style="47" customWidth="1"/>
    <col min="6403" max="6403" width="14.85546875" style="47" customWidth="1"/>
    <col min="6404" max="6405" width="12" style="47" customWidth="1"/>
    <col min="6406" max="6406" width="9.140625" style="47"/>
    <col min="6407" max="6408" width="10.42578125" style="47" customWidth="1"/>
    <col min="6409" max="6409" width="10.28515625" style="47" customWidth="1"/>
    <col min="6410" max="6418" width="9.140625" style="47"/>
    <col min="6419" max="6419" width="11.5703125" style="47" customWidth="1"/>
    <col min="6420" max="6656" width="9.140625" style="47"/>
    <col min="6657" max="6657" width="15.5703125" style="47" customWidth="1"/>
    <col min="6658" max="6658" width="14.42578125" style="47" customWidth="1"/>
    <col min="6659" max="6659" width="14.85546875" style="47" customWidth="1"/>
    <col min="6660" max="6661" width="12" style="47" customWidth="1"/>
    <col min="6662" max="6662" width="9.140625" style="47"/>
    <col min="6663" max="6664" width="10.42578125" style="47" customWidth="1"/>
    <col min="6665" max="6665" width="10.28515625" style="47" customWidth="1"/>
    <col min="6666" max="6674" width="9.140625" style="47"/>
    <col min="6675" max="6675" width="11.5703125" style="47" customWidth="1"/>
    <col min="6676" max="6912" width="9.140625" style="47"/>
    <col min="6913" max="6913" width="15.5703125" style="47" customWidth="1"/>
    <col min="6914" max="6914" width="14.42578125" style="47" customWidth="1"/>
    <col min="6915" max="6915" width="14.85546875" style="47" customWidth="1"/>
    <col min="6916" max="6917" width="12" style="47" customWidth="1"/>
    <col min="6918" max="6918" width="9.140625" style="47"/>
    <col min="6919" max="6920" width="10.42578125" style="47" customWidth="1"/>
    <col min="6921" max="6921" width="10.28515625" style="47" customWidth="1"/>
    <col min="6922" max="6930" width="9.140625" style="47"/>
    <col min="6931" max="6931" width="11.5703125" style="47" customWidth="1"/>
    <col min="6932" max="7168" width="9.140625" style="47"/>
    <col min="7169" max="7169" width="15.5703125" style="47" customWidth="1"/>
    <col min="7170" max="7170" width="14.42578125" style="47" customWidth="1"/>
    <col min="7171" max="7171" width="14.85546875" style="47" customWidth="1"/>
    <col min="7172" max="7173" width="12" style="47" customWidth="1"/>
    <col min="7174" max="7174" width="9.140625" style="47"/>
    <col min="7175" max="7176" width="10.42578125" style="47" customWidth="1"/>
    <col min="7177" max="7177" width="10.28515625" style="47" customWidth="1"/>
    <col min="7178" max="7186" width="9.140625" style="47"/>
    <col min="7187" max="7187" width="11.5703125" style="47" customWidth="1"/>
    <col min="7188" max="7424" width="9.140625" style="47"/>
    <col min="7425" max="7425" width="15.5703125" style="47" customWidth="1"/>
    <col min="7426" max="7426" width="14.42578125" style="47" customWidth="1"/>
    <col min="7427" max="7427" width="14.85546875" style="47" customWidth="1"/>
    <col min="7428" max="7429" width="12" style="47" customWidth="1"/>
    <col min="7430" max="7430" width="9.140625" style="47"/>
    <col min="7431" max="7432" width="10.42578125" style="47" customWidth="1"/>
    <col min="7433" max="7433" width="10.28515625" style="47" customWidth="1"/>
    <col min="7434" max="7442" width="9.140625" style="47"/>
    <col min="7443" max="7443" width="11.5703125" style="47" customWidth="1"/>
    <col min="7444" max="7680" width="9.140625" style="47"/>
    <col min="7681" max="7681" width="15.5703125" style="47" customWidth="1"/>
    <col min="7682" max="7682" width="14.42578125" style="47" customWidth="1"/>
    <col min="7683" max="7683" width="14.85546875" style="47" customWidth="1"/>
    <col min="7684" max="7685" width="12" style="47" customWidth="1"/>
    <col min="7686" max="7686" width="9.140625" style="47"/>
    <col min="7687" max="7688" width="10.42578125" style="47" customWidth="1"/>
    <col min="7689" max="7689" width="10.28515625" style="47" customWidth="1"/>
    <col min="7690" max="7698" width="9.140625" style="47"/>
    <col min="7699" max="7699" width="11.5703125" style="47" customWidth="1"/>
    <col min="7700" max="7936" width="9.140625" style="47"/>
    <col min="7937" max="7937" width="15.5703125" style="47" customWidth="1"/>
    <col min="7938" max="7938" width="14.42578125" style="47" customWidth="1"/>
    <col min="7939" max="7939" width="14.85546875" style="47" customWidth="1"/>
    <col min="7940" max="7941" width="12" style="47" customWidth="1"/>
    <col min="7942" max="7942" width="9.140625" style="47"/>
    <col min="7943" max="7944" width="10.42578125" style="47" customWidth="1"/>
    <col min="7945" max="7945" width="10.28515625" style="47" customWidth="1"/>
    <col min="7946" max="7954" width="9.140625" style="47"/>
    <col min="7955" max="7955" width="11.5703125" style="47" customWidth="1"/>
    <col min="7956" max="8192" width="9.140625" style="47"/>
    <col min="8193" max="8193" width="15.5703125" style="47" customWidth="1"/>
    <col min="8194" max="8194" width="14.42578125" style="47" customWidth="1"/>
    <col min="8195" max="8195" width="14.85546875" style="47" customWidth="1"/>
    <col min="8196" max="8197" width="12" style="47" customWidth="1"/>
    <col min="8198" max="8198" width="9.140625" style="47"/>
    <col min="8199" max="8200" width="10.42578125" style="47" customWidth="1"/>
    <col min="8201" max="8201" width="10.28515625" style="47" customWidth="1"/>
    <col min="8202" max="8210" width="9.140625" style="47"/>
    <col min="8211" max="8211" width="11.5703125" style="47" customWidth="1"/>
    <col min="8212" max="8448" width="9.140625" style="47"/>
    <col min="8449" max="8449" width="15.5703125" style="47" customWidth="1"/>
    <col min="8450" max="8450" width="14.42578125" style="47" customWidth="1"/>
    <col min="8451" max="8451" width="14.85546875" style="47" customWidth="1"/>
    <col min="8452" max="8453" width="12" style="47" customWidth="1"/>
    <col min="8454" max="8454" width="9.140625" style="47"/>
    <col min="8455" max="8456" width="10.42578125" style="47" customWidth="1"/>
    <col min="8457" max="8457" width="10.28515625" style="47" customWidth="1"/>
    <col min="8458" max="8466" width="9.140625" style="47"/>
    <col min="8467" max="8467" width="11.5703125" style="47" customWidth="1"/>
    <col min="8468" max="8704" width="9.140625" style="47"/>
    <col min="8705" max="8705" width="15.5703125" style="47" customWidth="1"/>
    <col min="8706" max="8706" width="14.42578125" style="47" customWidth="1"/>
    <col min="8707" max="8707" width="14.85546875" style="47" customWidth="1"/>
    <col min="8708" max="8709" width="12" style="47" customWidth="1"/>
    <col min="8710" max="8710" width="9.140625" style="47"/>
    <col min="8711" max="8712" width="10.42578125" style="47" customWidth="1"/>
    <col min="8713" max="8713" width="10.28515625" style="47" customWidth="1"/>
    <col min="8714" max="8722" width="9.140625" style="47"/>
    <col min="8723" max="8723" width="11.5703125" style="47" customWidth="1"/>
    <col min="8724" max="8960" width="9.140625" style="47"/>
    <col min="8961" max="8961" width="15.5703125" style="47" customWidth="1"/>
    <col min="8962" max="8962" width="14.42578125" style="47" customWidth="1"/>
    <col min="8963" max="8963" width="14.85546875" style="47" customWidth="1"/>
    <col min="8964" max="8965" width="12" style="47" customWidth="1"/>
    <col min="8966" max="8966" width="9.140625" style="47"/>
    <col min="8967" max="8968" width="10.42578125" style="47" customWidth="1"/>
    <col min="8969" max="8969" width="10.28515625" style="47" customWidth="1"/>
    <col min="8970" max="8978" width="9.140625" style="47"/>
    <col min="8979" max="8979" width="11.5703125" style="47" customWidth="1"/>
    <col min="8980" max="9216" width="9.140625" style="47"/>
    <col min="9217" max="9217" width="15.5703125" style="47" customWidth="1"/>
    <col min="9218" max="9218" width="14.42578125" style="47" customWidth="1"/>
    <col min="9219" max="9219" width="14.85546875" style="47" customWidth="1"/>
    <col min="9220" max="9221" width="12" style="47" customWidth="1"/>
    <col min="9222" max="9222" width="9.140625" style="47"/>
    <col min="9223" max="9224" width="10.42578125" style="47" customWidth="1"/>
    <col min="9225" max="9225" width="10.28515625" style="47" customWidth="1"/>
    <col min="9226" max="9234" width="9.140625" style="47"/>
    <col min="9235" max="9235" width="11.5703125" style="47" customWidth="1"/>
    <col min="9236" max="9472" width="9.140625" style="47"/>
    <col min="9473" max="9473" width="15.5703125" style="47" customWidth="1"/>
    <col min="9474" max="9474" width="14.42578125" style="47" customWidth="1"/>
    <col min="9475" max="9475" width="14.85546875" style="47" customWidth="1"/>
    <col min="9476" max="9477" width="12" style="47" customWidth="1"/>
    <col min="9478" max="9478" width="9.140625" style="47"/>
    <col min="9479" max="9480" width="10.42578125" style="47" customWidth="1"/>
    <col min="9481" max="9481" width="10.28515625" style="47" customWidth="1"/>
    <col min="9482" max="9490" width="9.140625" style="47"/>
    <col min="9491" max="9491" width="11.5703125" style="47" customWidth="1"/>
    <col min="9492" max="9728" width="9.140625" style="47"/>
    <col min="9729" max="9729" width="15.5703125" style="47" customWidth="1"/>
    <col min="9730" max="9730" width="14.42578125" style="47" customWidth="1"/>
    <col min="9731" max="9731" width="14.85546875" style="47" customWidth="1"/>
    <col min="9732" max="9733" width="12" style="47" customWidth="1"/>
    <col min="9734" max="9734" width="9.140625" style="47"/>
    <col min="9735" max="9736" width="10.42578125" style="47" customWidth="1"/>
    <col min="9737" max="9737" width="10.28515625" style="47" customWidth="1"/>
    <col min="9738" max="9746" width="9.140625" style="47"/>
    <col min="9747" max="9747" width="11.5703125" style="47" customWidth="1"/>
    <col min="9748" max="9984" width="9.140625" style="47"/>
    <col min="9985" max="9985" width="15.5703125" style="47" customWidth="1"/>
    <col min="9986" max="9986" width="14.42578125" style="47" customWidth="1"/>
    <col min="9987" max="9987" width="14.85546875" style="47" customWidth="1"/>
    <col min="9988" max="9989" width="12" style="47" customWidth="1"/>
    <col min="9990" max="9990" width="9.140625" style="47"/>
    <col min="9991" max="9992" width="10.42578125" style="47" customWidth="1"/>
    <col min="9993" max="9993" width="10.28515625" style="47" customWidth="1"/>
    <col min="9994" max="10002" width="9.140625" style="47"/>
    <col min="10003" max="10003" width="11.5703125" style="47" customWidth="1"/>
    <col min="10004" max="10240" width="9.140625" style="47"/>
    <col min="10241" max="10241" width="15.5703125" style="47" customWidth="1"/>
    <col min="10242" max="10242" width="14.42578125" style="47" customWidth="1"/>
    <col min="10243" max="10243" width="14.85546875" style="47" customWidth="1"/>
    <col min="10244" max="10245" width="12" style="47" customWidth="1"/>
    <col min="10246" max="10246" width="9.140625" style="47"/>
    <col min="10247" max="10248" width="10.42578125" style="47" customWidth="1"/>
    <col min="10249" max="10249" width="10.28515625" style="47" customWidth="1"/>
    <col min="10250" max="10258" width="9.140625" style="47"/>
    <col min="10259" max="10259" width="11.5703125" style="47" customWidth="1"/>
    <col min="10260" max="10496" width="9.140625" style="47"/>
    <col min="10497" max="10497" width="15.5703125" style="47" customWidth="1"/>
    <col min="10498" max="10498" width="14.42578125" style="47" customWidth="1"/>
    <col min="10499" max="10499" width="14.85546875" style="47" customWidth="1"/>
    <col min="10500" max="10501" width="12" style="47" customWidth="1"/>
    <col min="10502" max="10502" width="9.140625" style="47"/>
    <col min="10503" max="10504" width="10.42578125" style="47" customWidth="1"/>
    <col min="10505" max="10505" width="10.28515625" style="47" customWidth="1"/>
    <col min="10506" max="10514" width="9.140625" style="47"/>
    <col min="10515" max="10515" width="11.5703125" style="47" customWidth="1"/>
    <col min="10516" max="10752" width="9.140625" style="47"/>
    <col min="10753" max="10753" width="15.5703125" style="47" customWidth="1"/>
    <col min="10754" max="10754" width="14.42578125" style="47" customWidth="1"/>
    <col min="10755" max="10755" width="14.85546875" style="47" customWidth="1"/>
    <col min="10756" max="10757" width="12" style="47" customWidth="1"/>
    <col min="10758" max="10758" width="9.140625" style="47"/>
    <col min="10759" max="10760" width="10.42578125" style="47" customWidth="1"/>
    <col min="10761" max="10761" width="10.28515625" style="47" customWidth="1"/>
    <col min="10762" max="10770" width="9.140625" style="47"/>
    <col min="10771" max="10771" width="11.5703125" style="47" customWidth="1"/>
    <col min="10772" max="11008" width="9.140625" style="47"/>
    <col min="11009" max="11009" width="15.5703125" style="47" customWidth="1"/>
    <col min="11010" max="11010" width="14.42578125" style="47" customWidth="1"/>
    <col min="11011" max="11011" width="14.85546875" style="47" customWidth="1"/>
    <col min="11012" max="11013" width="12" style="47" customWidth="1"/>
    <col min="11014" max="11014" width="9.140625" style="47"/>
    <col min="11015" max="11016" width="10.42578125" style="47" customWidth="1"/>
    <col min="11017" max="11017" width="10.28515625" style="47" customWidth="1"/>
    <col min="11018" max="11026" width="9.140625" style="47"/>
    <col min="11027" max="11027" width="11.5703125" style="47" customWidth="1"/>
    <col min="11028" max="11264" width="9.140625" style="47"/>
    <col min="11265" max="11265" width="15.5703125" style="47" customWidth="1"/>
    <col min="11266" max="11266" width="14.42578125" style="47" customWidth="1"/>
    <col min="11267" max="11267" width="14.85546875" style="47" customWidth="1"/>
    <col min="11268" max="11269" width="12" style="47" customWidth="1"/>
    <col min="11270" max="11270" width="9.140625" style="47"/>
    <col min="11271" max="11272" width="10.42578125" style="47" customWidth="1"/>
    <col min="11273" max="11273" width="10.28515625" style="47" customWidth="1"/>
    <col min="11274" max="11282" width="9.140625" style="47"/>
    <col min="11283" max="11283" width="11.5703125" style="47" customWidth="1"/>
    <col min="11284" max="11520" width="9.140625" style="47"/>
    <col min="11521" max="11521" width="15.5703125" style="47" customWidth="1"/>
    <col min="11522" max="11522" width="14.42578125" style="47" customWidth="1"/>
    <col min="11523" max="11523" width="14.85546875" style="47" customWidth="1"/>
    <col min="11524" max="11525" width="12" style="47" customWidth="1"/>
    <col min="11526" max="11526" width="9.140625" style="47"/>
    <col min="11527" max="11528" width="10.42578125" style="47" customWidth="1"/>
    <col min="11529" max="11529" width="10.28515625" style="47" customWidth="1"/>
    <col min="11530" max="11538" width="9.140625" style="47"/>
    <col min="11539" max="11539" width="11.5703125" style="47" customWidth="1"/>
    <col min="11540" max="11776" width="9.140625" style="47"/>
    <col min="11777" max="11777" width="15.5703125" style="47" customWidth="1"/>
    <col min="11778" max="11778" width="14.42578125" style="47" customWidth="1"/>
    <col min="11779" max="11779" width="14.85546875" style="47" customWidth="1"/>
    <col min="11780" max="11781" width="12" style="47" customWidth="1"/>
    <col min="11782" max="11782" width="9.140625" style="47"/>
    <col min="11783" max="11784" width="10.42578125" style="47" customWidth="1"/>
    <col min="11785" max="11785" width="10.28515625" style="47" customWidth="1"/>
    <col min="11786" max="11794" width="9.140625" style="47"/>
    <col min="11795" max="11795" width="11.5703125" style="47" customWidth="1"/>
    <col min="11796" max="12032" width="9.140625" style="47"/>
    <col min="12033" max="12033" width="15.5703125" style="47" customWidth="1"/>
    <col min="12034" max="12034" width="14.42578125" style="47" customWidth="1"/>
    <col min="12035" max="12035" width="14.85546875" style="47" customWidth="1"/>
    <col min="12036" max="12037" width="12" style="47" customWidth="1"/>
    <col min="12038" max="12038" width="9.140625" style="47"/>
    <col min="12039" max="12040" width="10.42578125" style="47" customWidth="1"/>
    <col min="12041" max="12041" width="10.28515625" style="47" customWidth="1"/>
    <col min="12042" max="12050" width="9.140625" style="47"/>
    <col min="12051" max="12051" width="11.5703125" style="47" customWidth="1"/>
    <col min="12052" max="12288" width="9.140625" style="47"/>
    <col min="12289" max="12289" width="15.5703125" style="47" customWidth="1"/>
    <col min="12290" max="12290" width="14.42578125" style="47" customWidth="1"/>
    <col min="12291" max="12291" width="14.85546875" style="47" customWidth="1"/>
    <col min="12292" max="12293" width="12" style="47" customWidth="1"/>
    <col min="12294" max="12294" width="9.140625" style="47"/>
    <col min="12295" max="12296" width="10.42578125" style="47" customWidth="1"/>
    <col min="12297" max="12297" width="10.28515625" style="47" customWidth="1"/>
    <col min="12298" max="12306" width="9.140625" style="47"/>
    <col min="12307" max="12307" width="11.5703125" style="47" customWidth="1"/>
    <col min="12308" max="12544" width="9.140625" style="47"/>
    <col min="12545" max="12545" width="15.5703125" style="47" customWidth="1"/>
    <col min="12546" max="12546" width="14.42578125" style="47" customWidth="1"/>
    <col min="12547" max="12547" width="14.85546875" style="47" customWidth="1"/>
    <col min="12548" max="12549" width="12" style="47" customWidth="1"/>
    <col min="12550" max="12550" width="9.140625" style="47"/>
    <col min="12551" max="12552" width="10.42578125" style="47" customWidth="1"/>
    <col min="12553" max="12553" width="10.28515625" style="47" customWidth="1"/>
    <col min="12554" max="12562" width="9.140625" style="47"/>
    <col min="12563" max="12563" width="11.5703125" style="47" customWidth="1"/>
    <col min="12564" max="12800" width="9.140625" style="47"/>
    <col min="12801" max="12801" width="15.5703125" style="47" customWidth="1"/>
    <col min="12802" max="12802" width="14.42578125" style="47" customWidth="1"/>
    <col min="12803" max="12803" width="14.85546875" style="47" customWidth="1"/>
    <col min="12804" max="12805" width="12" style="47" customWidth="1"/>
    <col min="12806" max="12806" width="9.140625" style="47"/>
    <col min="12807" max="12808" width="10.42578125" style="47" customWidth="1"/>
    <col min="12809" max="12809" width="10.28515625" style="47" customWidth="1"/>
    <col min="12810" max="12818" width="9.140625" style="47"/>
    <col min="12819" max="12819" width="11.5703125" style="47" customWidth="1"/>
    <col min="12820" max="13056" width="9.140625" style="47"/>
    <col min="13057" max="13057" width="15.5703125" style="47" customWidth="1"/>
    <col min="13058" max="13058" width="14.42578125" style="47" customWidth="1"/>
    <col min="13059" max="13059" width="14.85546875" style="47" customWidth="1"/>
    <col min="13060" max="13061" width="12" style="47" customWidth="1"/>
    <col min="13062" max="13062" width="9.140625" style="47"/>
    <col min="13063" max="13064" width="10.42578125" style="47" customWidth="1"/>
    <col min="13065" max="13065" width="10.28515625" style="47" customWidth="1"/>
    <col min="13066" max="13074" width="9.140625" style="47"/>
    <col min="13075" max="13075" width="11.5703125" style="47" customWidth="1"/>
    <col min="13076" max="13312" width="9.140625" style="47"/>
    <col min="13313" max="13313" width="15.5703125" style="47" customWidth="1"/>
    <col min="13314" max="13314" width="14.42578125" style="47" customWidth="1"/>
    <col min="13315" max="13315" width="14.85546875" style="47" customWidth="1"/>
    <col min="13316" max="13317" width="12" style="47" customWidth="1"/>
    <col min="13318" max="13318" width="9.140625" style="47"/>
    <col min="13319" max="13320" width="10.42578125" style="47" customWidth="1"/>
    <col min="13321" max="13321" width="10.28515625" style="47" customWidth="1"/>
    <col min="13322" max="13330" width="9.140625" style="47"/>
    <col min="13331" max="13331" width="11.5703125" style="47" customWidth="1"/>
    <col min="13332" max="13568" width="9.140625" style="47"/>
    <col min="13569" max="13569" width="15.5703125" style="47" customWidth="1"/>
    <col min="13570" max="13570" width="14.42578125" style="47" customWidth="1"/>
    <col min="13571" max="13571" width="14.85546875" style="47" customWidth="1"/>
    <col min="13572" max="13573" width="12" style="47" customWidth="1"/>
    <col min="13574" max="13574" width="9.140625" style="47"/>
    <col min="13575" max="13576" width="10.42578125" style="47" customWidth="1"/>
    <col min="13577" max="13577" width="10.28515625" style="47" customWidth="1"/>
    <col min="13578" max="13586" width="9.140625" style="47"/>
    <col min="13587" max="13587" width="11.5703125" style="47" customWidth="1"/>
    <col min="13588" max="13824" width="9.140625" style="47"/>
    <col min="13825" max="13825" width="15.5703125" style="47" customWidth="1"/>
    <col min="13826" max="13826" width="14.42578125" style="47" customWidth="1"/>
    <col min="13827" max="13827" width="14.85546875" style="47" customWidth="1"/>
    <col min="13828" max="13829" width="12" style="47" customWidth="1"/>
    <col min="13830" max="13830" width="9.140625" style="47"/>
    <col min="13831" max="13832" width="10.42578125" style="47" customWidth="1"/>
    <col min="13833" max="13833" width="10.28515625" style="47" customWidth="1"/>
    <col min="13834" max="13842" width="9.140625" style="47"/>
    <col min="13843" max="13843" width="11.5703125" style="47" customWidth="1"/>
    <col min="13844" max="14080" width="9.140625" style="47"/>
    <col min="14081" max="14081" width="15.5703125" style="47" customWidth="1"/>
    <col min="14082" max="14082" width="14.42578125" style="47" customWidth="1"/>
    <col min="14083" max="14083" width="14.85546875" style="47" customWidth="1"/>
    <col min="14084" max="14085" width="12" style="47" customWidth="1"/>
    <col min="14086" max="14086" width="9.140625" style="47"/>
    <col min="14087" max="14088" width="10.42578125" style="47" customWidth="1"/>
    <col min="14089" max="14089" width="10.28515625" style="47" customWidth="1"/>
    <col min="14090" max="14098" width="9.140625" style="47"/>
    <col min="14099" max="14099" width="11.5703125" style="47" customWidth="1"/>
    <col min="14100" max="14336" width="9.140625" style="47"/>
    <col min="14337" max="14337" width="15.5703125" style="47" customWidth="1"/>
    <col min="14338" max="14338" width="14.42578125" style="47" customWidth="1"/>
    <col min="14339" max="14339" width="14.85546875" style="47" customWidth="1"/>
    <col min="14340" max="14341" width="12" style="47" customWidth="1"/>
    <col min="14342" max="14342" width="9.140625" style="47"/>
    <col min="14343" max="14344" width="10.42578125" style="47" customWidth="1"/>
    <col min="14345" max="14345" width="10.28515625" style="47" customWidth="1"/>
    <col min="14346" max="14354" width="9.140625" style="47"/>
    <col min="14355" max="14355" width="11.5703125" style="47" customWidth="1"/>
    <col min="14356" max="14592" width="9.140625" style="47"/>
    <col min="14593" max="14593" width="15.5703125" style="47" customWidth="1"/>
    <col min="14594" max="14594" width="14.42578125" style="47" customWidth="1"/>
    <col min="14595" max="14595" width="14.85546875" style="47" customWidth="1"/>
    <col min="14596" max="14597" width="12" style="47" customWidth="1"/>
    <col min="14598" max="14598" width="9.140625" style="47"/>
    <col min="14599" max="14600" width="10.42578125" style="47" customWidth="1"/>
    <col min="14601" max="14601" width="10.28515625" style="47" customWidth="1"/>
    <col min="14602" max="14610" width="9.140625" style="47"/>
    <col min="14611" max="14611" width="11.5703125" style="47" customWidth="1"/>
    <col min="14612" max="14848" width="9.140625" style="47"/>
    <col min="14849" max="14849" width="15.5703125" style="47" customWidth="1"/>
    <col min="14850" max="14850" width="14.42578125" style="47" customWidth="1"/>
    <col min="14851" max="14851" width="14.85546875" style="47" customWidth="1"/>
    <col min="14852" max="14853" width="12" style="47" customWidth="1"/>
    <col min="14854" max="14854" width="9.140625" style="47"/>
    <col min="14855" max="14856" width="10.42578125" style="47" customWidth="1"/>
    <col min="14857" max="14857" width="10.28515625" style="47" customWidth="1"/>
    <col min="14858" max="14866" width="9.140625" style="47"/>
    <col min="14867" max="14867" width="11.5703125" style="47" customWidth="1"/>
    <col min="14868" max="15104" width="9.140625" style="47"/>
    <col min="15105" max="15105" width="15.5703125" style="47" customWidth="1"/>
    <col min="15106" max="15106" width="14.42578125" style="47" customWidth="1"/>
    <col min="15107" max="15107" width="14.85546875" style="47" customWidth="1"/>
    <col min="15108" max="15109" width="12" style="47" customWidth="1"/>
    <col min="15110" max="15110" width="9.140625" style="47"/>
    <col min="15111" max="15112" width="10.42578125" style="47" customWidth="1"/>
    <col min="15113" max="15113" width="10.28515625" style="47" customWidth="1"/>
    <col min="15114" max="15122" width="9.140625" style="47"/>
    <col min="15123" max="15123" width="11.5703125" style="47" customWidth="1"/>
    <col min="15124" max="15360" width="9.140625" style="47"/>
    <col min="15361" max="15361" width="15.5703125" style="47" customWidth="1"/>
    <col min="15362" max="15362" width="14.42578125" style="47" customWidth="1"/>
    <col min="15363" max="15363" width="14.85546875" style="47" customWidth="1"/>
    <col min="15364" max="15365" width="12" style="47" customWidth="1"/>
    <col min="15366" max="15366" width="9.140625" style="47"/>
    <col min="15367" max="15368" width="10.42578125" style="47" customWidth="1"/>
    <col min="15369" max="15369" width="10.28515625" style="47" customWidth="1"/>
    <col min="15370" max="15378" width="9.140625" style="47"/>
    <col min="15379" max="15379" width="11.5703125" style="47" customWidth="1"/>
    <col min="15380" max="15616" width="9.140625" style="47"/>
    <col min="15617" max="15617" width="15.5703125" style="47" customWidth="1"/>
    <col min="15618" max="15618" width="14.42578125" style="47" customWidth="1"/>
    <col min="15619" max="15619" width="14.85546875" style="47" customWidth="1"/>
    <col min="15620" max="15621" width="12" style="47" customWidth="1"/>
    <col min="15622" max="15622" width="9.140625" style="47"/>
    <col min="15623" max="15624" width="10.42578125" style="47" customWidth="1"/>
    <col min="15625" max="15625" width="10.28515625" style="47" customWidth="1"/>
    <col min="15626" max="15634" width="9.140625" style="47"/>
    <col min="15635" max="15635" width="11.5703125" style="47" customWidth="1"/>
    <col min="15636" max="15872" width="9.140625" style="47"/>
    <col min="15873" max="15873" width="15.5703125" style="47" customWidth="1"/>
    <col min="15874" max="15874" width="14.42578125" style="47" customWidth="1"/>
    <col min="15875" max="15875" width="14.85546875" style="47" customWidth="1"/>
    <col min="15876" max="15877" width="12" style="47" customWidth="1"/>
    <col min="15878" max="15878" width="9.140625" style="47"/>
    <col min="15879" max="15880" width="10.42578125" style="47" customWidth="1"/>
    <col min="15881" max="15881" width="10.28515625" style="47" customWidth="1"/>
    <col min="15882" max="15890" width="9.140625" style="47"/>
    <col min="15891" max="15891" width="11.5703125" style="47" customWidth="1"/>
    <col min="15892" max="16128" width="9.140625" style="47"/>
    <col min="16129" max="16129" width="15.5703125" style="47" customWidth="1"/>
    <col min="16130" max="16130" width="14.42578125" style="47" customWidth="1"/>
    <col min="16131" max="16131" width="14.85546875" style="47" customWidth="1"/>
    <col min="16132" max="16133" width="12" style="47" customWidth="1"/>
    <col min="16134" max="16134" width="9.140625" style="47"/>
    <col min="16135" max="16136" width="10.42578125" style="47" customWidth="1"/>
    <col min="16137" max="16137" width="10.28515625" style="47" customWidth="1"/>
    <col min="16138" max="16146" width="9.140625" style="47"/>
    <col min="16147" max="16147" width="11.5703125" style="47" customWidth="1"/>
    <col min="16148" max="16384" width="9.140625" style="47"/>
  </cols>
  <sheetData>
    <row r="1" spans="1:47" x14ac:dyDescent="0.2">
      <c r="A1" s="62" t="s">
        <v>144</v>
      </c>
      <c r="B1" s="63" t="str">
        <f>VLOOKUP(num,'tnav 254'!A1:Q263,2,1)</f>
        <v>Novomet NH3000</v>
      </c>
      <c r="C1" s="64"/>
      <c r="D1" s="64"/>
      <c r="E1" s="65">
        <v>193</v>
      </c>
      <c r="G1" s="64" t="s">
        <v>424</v>
      </c>
      <c r="H1" s="66">
        <f>VLOOKUP(num,'tnav 254'!A1:Q263,7,1)</f>
        <v>400</v>
      </c>
      <c r="I1" s="64" t="s">
        <v>425</v>
      </c>
      <c r="K1" s="64" t="s">
        <v>426</v>
      </c>
      <c r="L1" s="64" t="str">
        <f>VLOOKUP(num,'tnav 254'!A1:Q263,6,1)</f>
        <v>5А</v>
      </c>
      <c r="N1" s="64" t="s">
        <v>427</v>
      </c>
      <c r="O1" s="64">
        <f>VLOOKUP(num,'tnav 254'!A1:Q263,3,1)</f>
        <v>50</v>
      </c>
      <c r="P1" s="64" t="s">
        <v>428</v>
      </c>
      <c r="R1" s="47" t="s">
        <v>477</v>
      </c>
      <c r="S1" s="47">
        <v>2000</v>
      </c>
      <c r="T1" s="47">
        <v>3000</v>
      </c>
      <c r="AB1" s="47" t="str">
        <f>"f="&amp;AB5&amp;" Hz"</f>
        <v>f=50 Hz</v>
      </c>
      <c r="AR1" s="47" t="str" cm="1">
        <f t="array" ref="AR1">[1]!encode_linspace(0,макс_дебит_коррект,10)</f>
        <v>[0,67.7,135.4,203.1,270.8,338.5,406.2,473.9,541.6,609.3,677]</v>
      </c>
    </row>
    <row r="2" spans="1:47" x14ac:dyDescent="0.2">
      <c r="A2" s="67" t="s">
        <v>144</v>
      </c>
      <c r="B2" s="68" t="str">
        <f>"ЭЦН"&amp;L1&amp;"-"&amp;H1&amp;"@"&amp;f_nom&amp;"Гц"</f>
        <v>ЭЦН5А-400@50Гц</v>
      </c>
      <c r="R2" s="47" t="s">
        <v>476</v>
      </c>
      <c r="AB2" s="47" t="str">
        <f>"f="&amp;AB6&amp;" Hz"</f>
        <v>f=50 Hz</v>
      </c>
      <c r="AR2" s="47" t="str" cm="1">
        <f t="array" ref="AR2">[1]!encode_linspace(0,макс_дебит_коррект*f_50_hz/f_nom,10)</f>
        <v>[0,67.7,135.4,203.1,270.8,338.5,406.2,473.9,541.6,609.3,677]</v>
      </c>
    </row>
    <row r="3" spans="1:47" ht="13.5" thickBot="1" x14ac:dyDescent="0.25"/>
    <row r="4" spans="1:47" ht="60.75" thickBot="1" x14ac:dyDescent="0.3">
      <c r="A4" s="69" t="s">
        <v>144</v>
      </c>
      <c r="B4" s="70" t="s">
        <v>429</v>
      </c>
      <c r="C4" s="70" t="str">
        <f>"значение @" &amp;f_50_hz&amp; "Гц"</f>
        <v>значение @50Гц</v>
      </c>
      <c r="R4" s="38" t="s">
        <v>0</v>
      </c>
      <c r="S4" s="39" t="s">
        <v>88</v>
      </c>
      <c r="T4" s="39" t="s">
        <v>72</v>
      </c>
      <c r="U4" s="39" t="s">
        <v>73</v>
      </c>
      <c r="V4" s="39" t="s">
        <v>74</v>
      </c>
      <c r="W4" s="39" t="s">
        <v>75</v>
      </c>
      <c r="X4" s="39" t="s">
        <v>76</v>
      </c>
      <c r="Y4" s="39" t="s">
        <v>77</v>
      </c>
      <c r="Z4" s="39" t="s">
        <v>91</v>
      </c>
      <c r="AA4" s="39" t="s">
        <v>78</v>
      </c>
      <c r="AB4" s="39" t="s">
        <v>79</v>
      </c>
      <c r="AC4" s="39" t="s">
        <v>80</v>
      </c>
      <c r="AD4" s="39" t="s">
        <v>92</v>
      </c>
      <c r="AE4" s="39" t="s">
        <v>95</v>
      </c>
      <c r="AF4" s="39" t="s">
        <v>93</v>
      </c>
      <c r="AG4" s="39" t="s">
        <v>94</v>
      </c>
      <c r="AH4" s="39" t="s">
        <v>81</v>
      </c>
      <c r="AI4" s="39" t="s">
        <v>82</v>
      </c>
      <c r="AJ4" s="39" t="s">
        <v>83</v>
      </c>
      <c r="AK4" s="39" t="s">
        <v>85</v>
      </c>
      <c r="AL4" s="39" t="s">
        <v>86</v>
      </c>
      <c r="AM4" s="40" t="s">
        <v>84</v>
      </c>
      <c r="AN4" s="43" t="s">
        <v>99</v>
      </c>
      <c r="AQ4" s="5" t="s">
        <v>0</v>
      </c>
      <c r="AR4" s="6" t="s">
        <v>6</v>
      </c>
      <c r="AS4" s="6" t="s">
        <v>7</v>
      </c>
      <c r="AT4" s="6" t="s">
        <v>8</v>
      </c>
      <c r="AU4" s="7" t="s">
        <v>9</v>
      </c>
    </row>
    <row r="5" spans="1:47" x14ac:dyDescent="0.2">
      <c r="A5" s="71" t="s">
        <v>430</v>
      </c>
      <c r="B5" s="72">
        <v>6.9916515840000004</v>
      </c>
      <c r="C5" s="73">
        <f>Напор0*(f_50_hz/f_nom)^2</f>
        <v>6.9916515840000004</v>
      </c>
      <c r="R5" s="47">
        <f>S1+num</f>
        <v>2193</v>
      </c>
      <c r="S5" s="47" t="s">
        <v>478</v>
      </c>
      <c r="T5" s="47" t="s">
        <v>479</v>
      </c>
      <c r="U5" s="47" t="str">
        <f>B2</f>
        <v>ЭЦН5А-400@50Гц</v>
      </c>
      <c r="V5" s="47">
        <v>1000</v>
      </c>
      <c r="W5" s="47">
        <f>q_nom</f>
        <v>400</v>
      </c>
      <c r="X5" s="47">
        <f>VLOOKUP(num,'tnav 254'!A1:Q263,10,1)</f>
        <v>320</v>
      </c>
      <c r="Y5" s="47">
        <f>VLOOKUP(num,'tnav 254'!A1:Q263,11,1)</f>
        <v>480</v>
      </c>
      <c r="Z5" s="47">
        <f>VLOOKUP(num,'tnav 254'!A1:Q263,9,1)</f>
        <v>677</v>
      </c>
      <c r="AA5" s="47">
        <f>VLOOKUP(num,'tnav 254'!A1:Q263,15,1)</f>
        <v>2910</v>
      </c>
      <c r="AB5" s="47">
        <f>f_nom</f>
        <v>50</v>
      </c>
      <c r="AC5" s="87">
        <f>MAX(КПД)</f>
        <v>0.60468908644322295</v>
      </c>
      <c r="AE5" s="47" t="str">
        <f>L1</f>
        <v>5А</v>
      </c>
      <c r="AF5" s="47">
        <f>VLOOKUP(num,'tnav 254'!A1:Q263,12,1)*1000</f>
        <v>103</v>
      </c>
      <c r="AQ5" s="98">
        <f>$R$5</f>
        <v>2193</v>
      </c>
      <c r="AR5" s="99">
        <f t="array" ref="AR5:AR15">[1]!decode_json($AR$1)</f>
        <v>0</v>
      </c>
      <c r="AS5" s="104" cm="1">
        <f t="array" ref="AS5">[1]!crv_interpolation(Подача_пласт_м3_сут,Напор_м,AR5,2)</f>
        <v>6.9916515840000004</v>
      </c>
      <c r="AT5" s="104" cm="1">
        <f t="array" ref="AT5">[1]!crv_interpolation(Подача_пласт_м3_сут,$I$42:$I$91,AR5,2)</f>
        <v>0.30672850679999997</v>
      </c>
      <c r="AU5" s="105">
        <v>0</v>
      </c>
    </row>
    <row r="6" spans="1:47" x14ac:dyDescent="0.2">
      <c r="A6" s="74" t="s">
        <v>431</v>
      </c>
      <c r="B6" s="75">
        <v>5.7757136979999998E-3</v>
      </c>
      <c r="C6" s="76">
        <f>Напор1/(f_50_hz/f_nom)*(f_50_hz/f_nom)^2</f>
        <v>5.7757136979999998E-3</v>
      </c>
      <c r="R6" s="47">
        <f>T1+num</f>
        <v>3193</v>
      </c>
      <c r="S6" s="47" t="s">
        <v>480</v>
      </c>
      <c r="T6" s="47" t="s">
        <v>481</v>
      </c>
      <c r="U6" s="47" t="str">
        <f>"ЭЦН"&amp;L1&amp;"-"&amp;H1&amp;"@"&amp;f_50_hz&amp;"Гц"</f>
        <v>ЭЦН5А-400@50Гц</v>
      </c>
      <c r="V6" s="47">
        <v>1000</v>
      </c>
      <c r="W6" s="47">
        <f>W5*f_50_hz/f_nom</f>
        <v>400</v>
      </c>
      <c r="X6" s="47">
        <f>X5*f_50_hz/f_nom</f>
        <v>320</v>
      </c>
      <c r="Y6" s="47">
        <f>Y5*f_50_hz/f_nom</f>
        <v>480</v>
      </c>
      <c r="Z6" s="47">
        <f>Z5*f_50_hz/f_nom</f>
        <v>677</v>
      </c>
      <c r="AA6" s="47">
        <f>AA5*f_50_hz/f_nom</f>
        <v>2910</v>
      </c>
      <c r="AB6" s="47">
        <f>f_50_hz</f>
        <v>50</v>
      </c>
      <c r="AC6" s="87">
        <f>AC5</f>
        <v>0.60468908644322295</v>
      </c>
      <c r="AE6" s="47" t="str">
        <f>AE5</f>
        <v>5А</v>
      </c>
      <c r="AF6" s="47">
        <f>AF5</f>
        <v>103</v>
      </c>
      <c r="AQ6" s="100">
        <f t="shared" ref="AQ6:AQ15" si="0">$R$5</f>
        <v>2193</v>
      </c>
      <c r="AR6" s="101">
        <v>67.7</v>
      </c>
      <c r="AS6" s="106" cm="1">
        <f t="array" ref="AS6">[1]!crv_interpolation(Подача_пласт_м3_сут,Напор_м,AR6,2)</f>
        <v>7.2324033712186191</v>
      </c>
      <c r="AT6" s="106" cm="1">
        <f t="array" ref="AT6">[1]!crv_interpolation(Подача_пласт_м3_сут,$I$42:$I$91,AR6,2)</f>
        <v>0.33160396379606139</v>
      </c>
      <c r="AU6" s="107" cm="1">
        <f t="array" ref="AU6">[1]!crv_interpolation(Подача_пласт_м3_сут,КПД,AR6,2)</f>
        <v>0.16766935380199829</v>
      </c>
    </row>
    <row r="7" spans="1:47" x14ac:dyDescent="0.2">
      <c r="A7" s="74" t="s">
        <v>432</v>
      </c>
      <c r="B7" s="75">
        <v>-3.0739167700000003E-5</v>
      </c>
      <c r="C7" s="76">
        <f>Напор2/((f_50_hz/f_nom)^2)*(f_50_hz/f_nom)^2</f>
        <v>-3.0739167700000003E-5</v>
      </c>
      <c r="AQ7" s="100">
        <f t="shared" si="0"/>
        <v>2193</v>
      </c>
      <c r="AR7" s="101">
        <v>135.4</v>
      </c>
      <c r="AS7" s="106" cm="1">
        <f t="array" ref="AS7">[1]!crv_interpolation(Подача_пласт_м3_сут,Напор_м,AR7,2)</f>
        <v>7.1679458005236203</v>
      </c>
      <c r="AT7" s="106" cm="1">
        <f t="array" ref="AT7">[1]!crv_interpolation(Подача_пласт_м3_сут,$I$42:$I$91,AR7,2)</f>
        <v>0.34840758536931621</v>
      </c>
      <c r="AU7" s="107" cm="1">
        <f t="array" ref="AU7">[1]!crv_interpolation(Подача_пласт_м3_сут,КПД,AR7,2)</f>
        <v>0.31719675256688579</v>
      </c>
    </row>
    <row r="8" spans="1:47" x14ac:dyDescent="0.2">
      <c r="A8" s="74" t="s">
        <v>433</v>
      </c>
      <c r="B8" s="75">
        <v>-4.564685315E-8</v>
      </c>
      <c r="C8" s="76">
        <f>Напор3/((f_50_hz/f_nom)^3)*(f_50_hz/f_nom)^2</f>
        <v>-4.564685315E-8</v>
      </c>
      <c r="AQ8" s="100">
        <f t="shared" si="0"/>
        <v>2193</v>
      </c>
      <c r="AR8" s="101">
        <v>203.1</v>
      </c>
      <c r="AS8" s="106" cm="1">
        <f t="array" ref="AS8">[1]!crv_interpolation(Подача_пласт_м3_сут,Напор_м,AR8,2)</f>
        <v>6.8468282197543653</v>
      </c>
      <c r="AT8" s="106" cm="1">
        <f t="array" ref="AT8">[1]!crv_interpolation(Подача_пласт_м3_сут,$I$42:$I$91,AR8,2)</f>
        <v>0.36172346193759747</v>
      </c>
      <c r="AU8" s="107" cm="1">
        <f t="array" ref="AU8">[1]!crv_interpolation(Подача_пласт_м3_сут,КПД,AR8,2)</f>
        <v>0.43537773207132469</v>
      </c>
    </row>
    <row r="9" spans="1:47" x14ac:dyDescent="0.2">
      <c r="A9" s="74" t="s">
        <v>434</v>
      </c>
      <c r="B9" s="75">
        <v>2.4375428489999999E-10</v>
      </c>
      <c r="C9" s="76">
        <f>Напор4/((f_50_hz/f_nom)^4)*(f_50_hz/f_nom)^2</f>
        <v>2.4375428489999999E-10</v>
      </c>
      <c r="Y9" s="119" t="s">
        <v>489</v>
      </c>
      <c r="Z9" s="47">
        <f>Z5</f>
        <v>677</v>
      </c>
      <c r="AQ9" s="100">
        <f t="shared" si="0"/>
        <v>2193</v>
      </c>
      <c r="AR9" s="101">
        <v>270.8</v>
      </c>
      <c r="AS9" s="106" cm="1">
        <f t="array" ref="AS9">[1]!crv_interpolation(Подача_пласт_м3_сут,Напор_м,AR9,2)</f>
        <v>6.3592867368424484</v>
      </c>
      <c r="AT9" s="106" cm="1">
        <f t="array" ref="AT9">[1]!crv_interpolation(Подача_пласт_м3_сут,$I$42:$I$91,AR9,2)</f>
        <v>0.37442406203631429</v>
      </c>
      <c r="AU9" s="107" cm="1">
        <f t="array" ref="AU9">[1]!crv_interpolation(Подача_пласт_м3_сут,КПД,AR9,2)</f>
        <v>0.52017641622842803</v>
      </c>
    </row>
    <row r="10" spans="1:47" x14ac:dyDescent="0.2">
      <c r="A10" s="74" t="s">
        <v>435</v>
      </c>
      <c r="B10" s="75">
        <v>-2.3800904979999998E-13</v>
      </c>
      <c r="C10" s="76">
        <f>Напор5/((f_50_hz/f_nom)^5)*(f_50_hz/f_nom)^2</f>
        <v>-2.3800904979999998E-13</v>
      </c>
      <c r="AQ10" s="100">
        <f t="shared" si="0"/>
        <v>2193</v>
      </c>
      <c r="AR10" s="101">
        <v>338.5</v>
      </c>
      <c r="AS10" s="106" cm="1">
        <f t="array" ref="AS10">[1]!crv_interpolation(Подача_пласт_м3_сут,Напор_м,AR10,2)</f>
        <v>5.7966128376550596</v>
      </c>
      <c r="AT10" s="106" cm="1">
        <f t="array" ref="AT10">[1]!crv_interpolation(Подача_пласт_м3_сут,$I$42:$I$91,AR10,2)</f>
        <v>0.38767038560188982</v>
      </c>
      <c r="AU10" s="107" cm="1">
        <f t="array" ref="AU10">[1]!crv_interpolation(Подача_пласт_м3_сут,КПД,AR10,2)</f>
        <v>0.57487273652493365</v>
      </c>
    </row>
    <row r="11" spans="1:47" x14ac:dyDescent="0.2">
      <c r="A11" s="74" t="s">
        <v>436</v>
      </c>
      <c r="B11" s="75">
        <v>0</v>
      </c>
      <c r="C11" s="76">
        <f>Напор6/((f_50_hz/f_nom)^6)*(f_50_hz/f_nom)^2</f>
        <v>0</v>
      </c>
      <c r="AQ11" s="100">
        <f t="shared" si="0"/>
        <v>2193</v>
      </c>
      <c r="AR11" s="101">
        <v>406.2</v>
      </c>
      <c r="AS11" s="106" cm="1">
        <f t="array" ref="AS11">[1]!crv_interpolation(Подача_пласт_м3_сут,Напор_м,AR11,2)</f>
        <v>5.2105154107022535</v>
      </c>
      <c r="AT11" s="106" cm="1">
        <f t="array" ref="AT11">[1]!crv_interpolation(Подача_пласт_м3_сут,$I$42:$I$91,AR11,2)</f>
        <v>0.40090861174093795</v>
      </c>
      <c r="AU11" s="107" cm="1">
        <f t="array" ref="AU11">[1]!crv_interpolation(Подача_пласт_м3_сут,КПД,AR11,2)</f>
        <v>0.6021090391942906</v>
      </c>
    </row>
    <row r="12" spans="1:47" x14ac:dyDescent="0.2">
      <c r="A12" s="74" t="s">
        <v>437</v>
      </c>
      <c r="B12" s="75">
        <v>0</v>
      </c>
      <c r="C12" s="76">
        <f>Напор7/((f_50_hz/f_nom)^7)*(f_50_hz/f_nom)^2</f>
        <v>0</v>
      </c>
      <c r="AQ12" s="100">
        <f t="shared" si="0"/>
        <v>2193</v>
      </c>
      <c r="AR12" s="101">
        <v>473.9</v>
      </c>
      <c r="AS12" s="106" cm="1">
        <f t="array" ref="AS12">[1]!crv_interpolation(Подача_пласт_м3_сут,Напор_м,AR12,2)</f>
        <v>4.5724989981422537</v>
      </c>
      <c r="AT12" s="106" cm="1">
        <f t="array" ref="AT12">[1]!crv_interpolation(Подача_пласт_м3_сут,$I$42:$I$91,AR12,2)</f>
        <v>0.41187785155285772</v>
      </c>
      <c r="AU12" s="107" cm="1">
        <f t="array" ref="AU12">[1]!crv_interpolation(Подача_пласт_м3_сут,КПД,AR12,2)</f>
        <v>0.59793676616711255</v>
      </c>
    </row>
    <row r="13" spans="1:47" x14ac:dyDescent="0.2">
      <c r="A13" s="74" t="s">
        <v>438</v>
      </c>
      <c r="B13" s="75">
        <v>0</v>
      </c>
      <c r="C13" s="76">
        <f>Напор8/((f_50_hz/f_nom)^8)*(f_50_hz/f_nom)^2</f>
        <v>0</v>
      </c>
      <c r="AQ13" s="100">
        <f t="shared" si="0"/>
        <v>2193</v>
      </c>
      <c r="AR13" s="101">
        <v>541.6</v>
      </c>
      <c r="AS13" s="106" cm="1">
        <f t="array" ref="AS13">[1]!crv_interpolation(Подача_пласт_м3_сут,Напор_м,AR13,2)</f>
        <v>3.7332223539584737</v>
      </c>
      <c r="AT13" s="106" cm="1">
        <f t="array" ref="AT13">[1]!crv_interpolation(Подача_пласт_м3_сут,$I$42:$I$91,AR13,2)</f>
        <v>0.4166020821447507</v>
      </c>
      <c r="AU13" s="107" cm="1">
        <f t="array" ref="AU13">[1]!crv_interpolation(Подача_пласт_м3_сут,КПД,AR13,2)</f>
        <v>0.54586322077618643</v>
      </c>
    </row>
    <row r="14" spans="1:47" x14ac:dyDescent="0.2">
      <c r="A14" s="74" t="s">
        <v>439</v>
      </c>
      <c r="B14" s="75">
        <v>0</v>
      </c>
      <c r="C14" s="76">
        <f>Напор9/((f_50_hz/f_nom)^9)*(f_50_hz/f_nom)^2</f>
        <v>0</v>
      </c>
      <c r="AQ14" s="100">
        <f t="shared" si="0"/>
        <v>2193</v>
      </c>
      <c r="AR14" s="101">
        <v>609.29999999999995</v>
      </c>
      <c r="AS14" s="106" cm="1">
        <f t="array" ref="AS14">[1]!crv_interpolation(Подача_пласт_м3_сут,Напор_м,AR14,2)</f>
        <v>2.3818691952410758</v>
      </c>
      <c r="AT14" s="106" cm="1">
        <f t="array" ref="AT14">[1]!crv_interpolation(Подача_пласт_м3_сут,$I$42:$I$91,AR14,2)</f>
        <v>0.40939423526517732</v>
      </c>
      <c r="AU14" s="107" cm="1">
        <f t="array" ref="AU14">[1]!crv_interpolation(Подача_пласт_м3_сут,КПД,AR14,2)</f>
        <v>0.41089810294005141</v>
      </c>
    </row>
    <row r="15" spans="1:47" x14ac:dyDescent="0.2">
      <c r="A15" s="77" t="s">
        <v>440</v>
      </c>
      <c r="B15" s="78">
        <v>0</v>
      </c>
      <c r="C15" s="79">
        <f>Напор10/((f_50_hz/f_nom)^10)*(f_50_hz/f_nom)^2</f>
        <v>0</v>
      </c>
      <c r="AQ15" s="102">
        <f t="shared" si="0"/>
        <v>2193</v>
      </c>
      <c r="AR15" s="103">
        <v>677</v>
      </c>
      <c r="AS15" s="108">
        <v>0</v>
      </c>
      <c r="AT15" s="108" cm="1">
        <f t="array" ref="AT15">[1]!crv_interpolation(Подача_пласт_м3_сут,$I$42:$I$91,AR15,2)</f>
        <v>0.38285537149976995</v>
      </c>
      <c r="AU15" s="109">
        <v>0</v>
      </c>
    </row>
    <row r="16" spans="1:47" x14ac:dyDescent="0.2">
      <c r="A16" s="71" t="s">
        <v>441</v>
      </c>
      <c r="B16" s="72">
        <v>306.72850679999999</v>
      </c>
      <c r="C16" s="73">
        <f>Мощность0*(f_50_hz/f_nom)^3</f>
        <v>306.72850679999999</v>
      </c>
      <c r="AQ16" s="98">
        <f>$R$6</f>
        <v>3193</v>
      </c>
      <c r="AR16" s="99">
        <f t="array" ref="AR16:AR26">[1]!decode_json($AR$2)</f>
        <v>0</v>
      </c>
      <c r="AS16" s="104" cm="1">
        <f t="array" ref="AS16">[1]!crv_interpolation(Подача_f50_,$Q$42:$Q$91,AR16,2)</f>
        <v>6.9916515840000004</v>
      </c>
      <c r="AT16" s="104" cm="1">
        <f t="array" ref="AT16">[1]!crv_interpolation(Подача_f50_,$S$42:$S$91,AR16,2)</f>
        <v>0.30672850679999997</v>
      </c>
      <c r="AU16" s="105">
        <v>0</v>
      </c>
    </row>
    <row r="17" spans="1:47" x14ac:dyDescent="0.2">
      <c r="A17" s="74" t="s">
        <v>442</v>
      </c>
      <c r="B17" s="75">
        <v>0.45591388999999999</v>
      </c>
      <c r="C17" s="76">
        <f>Мощность1/(f_50_hz/f_nom)*(f_50_hz/f_nom)^3</f>
        <v>0.45591388999999999</v>
      </c>
      <c r="AQ17" s="100">
        <f t="shared" ref="AQ17:AQ26" si="1">$R$6</f>
        <v>3193</v>
      </c>
      <c r="AR17" s="101">
        <v>67.7</v>
      </c>
      <c r="AS17" s="106" cm="1">
        <f t="array" ref="AS17">[1]!crv_interpolation(Подача_f50_,$Q$42:$Q$91,AR17,2)</f>
        <v>7.2324033712186191</v>
      </c>
      <c r="AT17" s="106" cm="1">
        <f t="array" ref="AT17">[1]!crv_interpolation(Подача_f50_,$S$42:$S$91,AR17,2)</f>
        <v>0.33160396379606139</v>
      </c>
      <c r="AU17" s="107" cm="1">
        <f t="array" ref="AU17">[1]!crv_interpolation(Подача_f50_,$R$42:$R$91,AR17,2)</f>
        <v>0.16766935380199829</v>
      </c>
    </row>
    <row r="18" spans="1:47" x14ac:dyDescent="0.2">
      <c r="A18" s="74" t="s">
        <v>443</v>
      </c>
      <c r="B18" s="75">
        <v>-1.5516111339999999E-3</v>
      </c>
      <c r="C18" s="76">
        <f>Мощность2/((f_50_hz/f_nom)^2)*(f_50_hz/f_nom)^3</f>
        <v>-1.5516111339999999E-3</v>
      </c>
      <c r="AQ18" s="100">
        <f t="shared" si="1"/>
        <v>3193</v>
      </c>
      <c r="AR18" s="101">
        <v>135.4</v>
      </c>
      <c r="AS18" s="106" cm="1">
        <f t="array" ref="AS18">[1]!crv_interpolation(Подача_f50_,$Q$42:$Q$91,AR18,2)</f>
        <v>7.1679458005236203</v>
      </c>
      <c r="AT18" s="106" cm="1">
        <f t="array" ref="AT18">[1]!crv_interpolation(Подача_f50_,$S$42:$S$91,AR18,2)</f>
        <v>0.34840758536931621</v>
      </c>
      <c r="AU18" s="107" cm="1">
        <f t="array" ref="AU18">[1]!crv_interpolation(Подача_f50_,$R$42:$R$91,AR18,2)</f>
        <v>0.31719675256688584</v>
      </c>
    </row>
    <row r="19" spans="1:47" x14ac:dyDescent="0.2">
      <c r="A19" s="74" t="s">
        <v>444</v>
      </c>
      <c r="B19" s="75">
        <v>3.8409433700000003E-6</v>
      </c>
      <c r="C19" s="76">
        <f>Мощность3/((f_50_hz/f_nom)^3)*(f_50_hz/f_nom)^3</f>
        <v>3.8409433700000003E-6</v>
      </c>
      <c r="AQ19" s="100">
        <f t="shared" si="1"/>
        <v>3193</v>
      </c>
      <c r="AR19" s="101">
        <v>203.1</v>
      </c>
      <c r="AS19" s="106" cm="1">
        <f t="array" ref="AS19">[1]!crv_interpolation(Подача_f50_,$Q$42:$Q$91,AR19,2)</f>
        <v>6.8468282197543653</v>
      </c>
      <c r="AT19" s="106" cm="1">
        <f t="array" ref="AT19">[1]!crv_interpolation(Подача_f50_,$S$42:$S$91,AR19,2)</f>
        <v>0.36172346193759747</v>
      </c>
      <c r="AU19" s="107" cm="1">
        <f t="array" ref="AU19">[1]!crv_interpolation(Подача_f50_,$R$42:$R$91,AR19,2)</f>
        <v>0.43537773207132469</v>
      </c>
    </row>
    <row r="20" spans="1:47" x14ac:dyDescent="0.2">
      <c r="A20" s="74" t="s">
        <v>445</v>
      </c>
      <c r="B20" s="75">
        <v>-3.3950363359999999E-9</v>
      </c>
      <c r="C20" s="76">
        <f>Мощность4/((f_50_hz/f_nom)^4)*(f_50_hz/f_nom)^3</f>
        <v>-3.3950363359999999E-9</v>
      </c>
      <c r="AQ20" s="100">
        <f t="shared" si="1"/>
        <v>3193</v>
      </c>
      <c r="AR20" s="101">
        <v>270.8</v>
      </c>
      <c r="AS20" s="106" cm="1">
        <f t="array" ref="AS20">[1]!crv_interpolation(Подача_f50_,$Q$42:$Q$91,AR20,2)</f>
        <v>6.3592867368424484</v>
      </c>
      <c r="AT20" s="106" cm="1">
        <f t="array" ref="AT20">[1]!crv_interpolation(Подача_f50_,$S$42:$S$91,AR20,2)</f>
        <v>0.37442406203631429</v>
      </c>
      <c r="AU20" s="107" cm="1">
        <f t="array" ref="AU20">[1]!crv_interpolation(Подача_f50_,$R$42:$R$91,AR20,2)</f>
        <v>0.52017641622842803</v>
      </c>
    </row>
    <row r="21" spans="1:47" x14ac:dyDescent="0.2">
      <c r="A21" s="74" t="s">
        <v>446</v>
      </c>
      <c r="B21" s="75">
        <v>0</v>
      </c>
      <c r="C21" s="76">
        <f>Мощность5/((f_50_hz/f_nom)^5)*(f_50_hz/f_nom)^3</f>
        <v>0</v>
      </c>
      <c r="AQ21" s="100">
        <f t="shared" si="1"/>
        <v>3193</v>
      </c>
      <c r="AR21" s="101">
        <v>338.5</v>
      </c>
      <c r="AS21" s="106" cm="1">
        <f t="array" ref="AS21">[1]!crv_interpolation(Подача_f50_,$Q$42:$Q$91,AR21,2)</f>
        <v>5.7966128376550596</v>
      </c>
      <c r="AT21" s="106" cm="1">
        <f t="array" ref="AT21">[1]!crv_interpolation(Подача_f50_,$S$42:$S$91,AR21,2)</f>
        <v>0.38767038560188982</v>
      </c>
      <c r="AU21" s="107" cm="1">
        <f t="array" ref="AU21">[1]!crv_interpolation(Подача_f50_,$R$42:$R$91,AR21,2)</f>
        <v>0.57487273652493365</v>
      </c>
    </row>
    <row r="22" spans="1:47" x14ac:dyDescent="0.2">
      <c r="A22" s="74" t="s">
        <v>447</v>
      </c>
      <c r="B22" s="75">
        <v>0</v>
      </c>
      <c r="C22" s="76">
        <f>Мощность6/((f_50_hz/f_nom)^6)*(f_50_hz/f_nom)^3</f>
        <v>0</v>
      </c>
      <c r="AQ22" s="100">
        <f t="shared" si="1"/>
        <v>3193</v>
      </c>
      <c r="AR22" s="101">
        <v>406.2</v>
      </c>
      <c r="AS22" s="106" cm="1">
        <f t="array" ref="AS22">[1]!crv_interpolation(Подача_f50_,$Q$42:$Q$91,AR22,2)</f>
        <v>5.2105154107022535</v>
      </c>
      <c r="AT22" s="106" cm="1">
        <f t="array" ref="AT22">[1]!crv_interpolation(Подача_f50_,$S$42:$S$91,AR22,2)</f>
        <v>0.40090861174093795</v>
      </c>
      <c r="AU22" s="107" cm="1">
        <f t="array" ref="AU22">[1]!crv_interpolation(Подача_f50_,$R$42:$R$91,AR22,2)</f>
        <v>0.6021090391942906</v>
      </c>
    </row>
    <row r="23" spans="1:47" x14ac:dyDescent="0.2">
      <c r="A23" s="74" t="s">
        <v>448</v>
      </c>
      <c r="B23" s="75">
        <v>0</v>
      </c>
      <c r="C23" s="76">
        <f>Мощность7/((f_50_hz/f_nom)^7)*(f_50_hz/f_nom)^3</f>
        <v>0</v>
      </c>
      <c r="AQ23" s="100">
        <f t="shared" si="1"/>
        <v>3193</v>
      </c>
      <c r="AR23" s="101">
        <v>473.9</v>
      </c>
      <c r="AS23" s="106" cm="1">
        <f t="array" ref="AS23">[1]!crv_interpolation(Подача_f50_,$Q$42:$Q$91,AR23,2)</f>
        <v>4.5724989981422537</v>
      </c>
      <c r="AT23" s="106" cm="1">
        <f t="array" ref="AT23">[1]!crv_interpolation(Подача_f50_,$S$42:$S$91,AR23,2)</f>
        <v>0.41187785155285772</v>
      </c>
      <c r="AU23" s="107" cm="1">
        <f t="array" ref="AU23">[1]!crv_interpolation(Подача_f50_,$R$42:$R$91,AR23,2)</f>
        <v>0.59793676616711255</v>
      </c>
    </row>
    <row r="24" spans="1:47" x14ac:dyDescent="0.2">
      <c r="A24" s="74" t="s">
        <v>449</v>
      </c>
      <c r="B24" s="75">
        <v>0</v>
      </c>
      <c r="C24" s="76">
        <f>Мощность8/((f_50_hz/f_nom)^8)*(f_50_hz/f_nom)^3</f>
        <v>0</v>
      </c>
      <c r="AQ24" s="100">
        <f t="shared" si="1"/>
        <v>3193</v>
      </c>
      <c r="AR24" s="101">
        <v>541.6</v>
      </c>
      <c r="AS24" s="106" cm="1">
        <f t="array" ref="AS24">[1]!crv_interpolation(Подача_f50_,$Q$42:$Q$91,AR24,2)</f>
        <v>3.7332223539584737</v>
      </c>
      <c r="AT24" s="106" cm="1">
        <f t="array" ref="AT24">[1]!crv_interpolation(Подача_f50_,$S$42:$S$91,AR24,2)</f>
        <v>0.4166020821447507</v>
      </c>
      <c r="AU24" s="107" cm="1">
        <f t="array" ref="AU24">[1]!crv_interpolation(Подача_f50_,$R$42:$R$91,AR24,2)</f>
        <v>0.54586322077618643</v>
      </c>
    </row>
    <row r="25" spans="1:47" x14ac:dyDescent="0.2">
      <c r="A25" s="74" t="s">
        <v>450</v>
      </c>
      <c r="B25" s="75">
        <v>0</v>
      </c>
      <c r="C25" s="76">
        <f>Мощность9/((f_50_hz/f_nom)^9)*(f_50_hz/f_nom)^3</f>
        <v>0</v>
      </c>
      <c r="AQ25" s="100">
        <f t="shared" si="1"/>
        <v>3193</v>
      </c>
      <c r="AR25" s="101">
        <v>609.29999999999995</v>
      </c>
      <c r="AS25" s="106" cm="1">
        <f t="array" ref="AS25">[1]!crv_interpolation(Подача_f50_,$Q$42:$Q$91,AR25,2)</f>
        <v>2.3818691952410758</v>
      </c>
      <c r="AT25" s="106" cm="1">
        <f t="array" ref="AT25">[1]!crv_interpolation(Подача_f50_,$S$42:$S$91,AR25,2)</f>
        <v>0.40939423526517732</v>
      </c>
      <c r="AU25" s="107" cm="1">
        <f t="array" ref="AU25">[1]!crv_interpolation(Подача_f50_,$R$42:$R$91,AR25,2)</f>
        <v>0.41089810294005141</v>
      </c>
    </row>
    <row r="26" spans="1:47" x14ac:dyDescent="0.2">
      <c r="A26" s="77" t="s">
        <v>451</v>
      </c>
      <c r="B26" s="78">
        <v>0</v>
      </c>
      <c r="C26" s="79">
        <f>Мощность10/((f_50_hz/f_nom)^10)*(f_50_hz/f_nom)^3</f>
        <v>0</v>
      </c>
      <c r="AQ26" s="102">
        <f t="shared" si="1"/>
        <v>3193</v>
      </c>
      <c r="AR26" s="103">
        <v>677</v>
      </c>
      <c r="AS26" s="108">
        <v>0</v>
      </c>
      <c r="AT26" s="108" cm="1">
        <f t="array" ref="AT26">[1]!crv_interpolation(Подача_f50_,$S$42:$S$91,AR26,2)</f>
        <v>0.38285537149976995</v>
      </c>
      <c r="AU26" s="109">
        <v>0</v>
      </c>
    </row>
    <row r="27" spans="1:47" x14ac:dyDescent="0.2">
      <c r="A27" s="74" t="s">
        <v>452</v>
      </c>
      <c r="B27" s="75">
        <v>1.009139303E-2</v>
      </c>
      <c r="C27" s="73">
        <f>К.П.Д.0</f>
        <v>1.009139303E-2</v>
      </c>
    </row>
    <row r="28" spans="1:47" x14ac:dyDescent="0.2">
      <c r="A28" s="74" t="s">
        <v>453</v>
      </c>
      <c r="B28" s="75">
        <v>0.2483865395</v>
      </c>
      <c r="C28" s="76">
        <f>К.П.Д.1/(f_50_hz/f_nom)</f>
        <v>0.2483865395</v>
      </c>
    </row>
    <row r="29" spans="1:47" x14ac:dyDescent="0.2">
      <c r="A29" s="74" t="s">
        <v>454</v>
      </c>
      <c r="B29" s="75">
        <v>1.149232937E-4</v>
      </c>
      <c r="C29" s="76">
        <f>К.П.Д.2/((f_50_hz/f_nom)^2)</f>
        <v>1.149232937E-4</v>
      </c>
    </row>
    <row r="30" spans="1:47" x14ac:dyDescent="0.2">
      <c r="A30" s="74" t="s">
        <v>455</v>
      </c>
      <c r="B30" s="75">
        <v>-2.1812106190000001E-6</v>
      </c>
      <c r="C30" s="76">
        <f>К.П.Д.3/((f_50_hz/f_nom)^3)</f>
        <v>-2.1812106190000001E-6</v>
      </c>
    </row>
    <row r="31" spans="1:47" x14ac:dyDescent="0.2">
      <c r="A31" s="74" t="s">
        <v>456</v>
      </c>
      <c r="B31" s="75">
        <v>4.595055537E-9</v>
      </c>
      <c r="C31" s="76">
        <f>К.П.Д.4/((f_50_hz/f_nom)^4)</f>
        <v>4.595055537E-9</v>
      </c>
    </row>
    <row r="32" spans="1:47" x14ac:dyDescent="0.2">
      <c r="A32" s="74" t="s">
        <v>457</v>
      </c>
      <c r="B32" s="75">
        <v>-3.487256839E-12</v>
      </c>
      <c r="C32" s="76">
        <f>К.П.Д.5/((f_50_hz/f_nom)^5)</f>
        <v>-3.487256839E-12</v>
      </c>
    </row>
    <row r="33" spans="1:22" x14ac:dyDescent="0.2">
      <c r="A33" s="74" t="s">
        <v>458</v>
      </c>
      <c r="B33" s="75">
        <v>0</v>
      </c>
      <c r="C33" s="76">
        <f>К.П.Д.6/((f_50_hz/f_nom)^6)</f>
        <v>0</v>
      </c>
    </row>
    <row r="34" spans="1:22" x14ac:dyDescent="0.2">
      <c r="A34" s="74" t="s">
        <v>459</v>
      </c>
      <c r="B34" s="75">
        <v>0</v>
      </c>
      <c r="C34" s="76">
        <f>К.П.Д.7/((f_50_hz/f_nom)^7)</f>
        <v>0</v>
      </c>
    </row>
    <row r="35" spans="1:22" x14ac:dyDescent="0.2">
      <c r="A35" s="74" t="s">
        <v>460</v>
      </c>
      <c r="B35" s="75">
        <v>0</v>
      </c>
      <c r="C35" s="76">
        <f>К.П.Д.8/((f_50_hz/f_nom)^8)</f>
        <v>0</v>
      </c>
    </row>
    <row r="36" spans="1:22" x14ac:dyDescent="0.2">
      <c r="A36" s="74" t="s">
        <v>461</v>
      </c>
      <c r="B36" s="75">
        <v>0</v>
      </c>
      <c r="C36" s="76">
        <f>К.П.Д.9/((f_50_hz/f_nom)^9)</f>
        <v>0</v>
      </c>
    </row>
    <row r="37" spans="1:22" x14ac:dyDescent="0.2">
      <c r="A37" s="77" t="s">
        <v>462</v>
      </c>
      <c r="B37" s="78">
        <v>0</v>
      </c>
      <c r="C37" s="79">
        <f>К.П.Д.10/((f_50_hz/f_nom)^10)</f>
        <v>0</v>
      </c>
    </row>
    <row r="38" spans="1:22" x14ac:dyDescent="0.2">
      <c r="A38" s="52"/>
      <c r="B38" s="52"/>
    </row>
    <row r="39" spans="1:22" x14ac:dyDescent="0.2">
      <c r="A39" s="52"/>
      <c r="B39" s="52"/>
      <c r="P39" s="47">
        <v>50</v>
      </c>
    </row>
    <row r="40" spans="1:22" x14ac:dyDescent="0.2">
      <c r="G40" s="47" t="s">
        <v>463</v>
      </c>
      <c r="P40" s="47" t="s">
        <v>464</v>
      </c>
    </row>
    <row r="41" spans="1:22" ht="63.75" x14ac:dyDescent="0.2">
      <c r="A41" s="69"/>
      <c r="B41" s="62" t="s">
        <v>465</v>
      </c>
      <c r="C41" s="62" t="s">
        <v>466</v>
      </c>
      <c r="D41" s="62" t="s">
        <v>9</v>
      </c>
      <c r="E41" s="62" t="s">
        <v>467</v>
      </c>
      <c r="G41" s="62" t="s">
        <v>468</v>
      </c>
      <c r="H41" s="62" t="s">
        <v>469</v>
      </c>
      <c r="I41" s="62" t="s">
        <v>470</v>
      </c>
      <c r="J41" s="62" t="s">
        <v>471</v>
      </c>
      <c r="K41" s="62" t="s">
        <v>472</v>
      </c>
      <c r="L41" s="62" t="s">
        <v>473</v>
      </c>
      <c r="M41" s="62" t="s">
        <v>474</v>
      </c>
      <c r="N41" s="62" t="s">
        <v>475</v>
      </c>
      <c r="P41" s="80" t="str">
        <f>"Подача @" &amp;f_50_hz&amp; "Гц"</f>
        <v>Подача @50Гц</v>
      </c>
      <c r="Q41" s="80" t="str">
        <f>"Напор, м @" &amp;f_50_hz&amp; "Гц"</f>
        <v>Напор, м @50Гц</v>
      </c>
      <c r="R41" s="80" t="str">
        <f>"КПД @" &amp;f_50_hz&amp; "Гц"</f>
        <v>КПД @50Гц</v>
      </c>
      <c r="S41" s="80" t="str">
        <f>"Мощность, кВт @" &amp;f_50_hz&amp; "Гц"</f>
        <v>Мощность, кВт @50Гц</v>
      </c>
      <c r="T41" s="80" t="str">
        <f>"Напор полином, м @" &amp;f_50_hz&amp; "Гц"</f>
        <v>Напор полином, м @50Гц</v>
      </c>
      <c r="U41" s="80" t="str">
        <f>"Мощность полином, кВт @" &amp;f_50_hz&amp; "Гц"</f>
        <v>Мощность полином, кВт @50Гц</v>
      </c>
      <c r="V41" s="80" t="str">
        <f>"КПД полином @" &amp;f_50_hz&amp; "Гц"</f>
        <v>КПД полином @50Гц</v>
      </c>
    </row>
    <row r="42" spans="1:22" x14ac:dyDescent="0.2">
      <c r="A42" s="80">
        <v>1</v>
      </c>
      <c r="B42" s="81">
        <v>0</v>
      </c>
      <c r="C42" s="82">
        <v>6.9916515840000004</v>
      </c>
      <c r="D42" s="82">
        <v>1E-3</v>
      </c>
      <c r="E42" s="75">
        <v>0</v>
      </c>
      <c r="G42" s="83">
        <f t="shared" ref="G42:G73" si="2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6.9916515840000004</v>
      </c>
      <c r="H42" s="84">
        <f t="shared" ref="H42:H73" si="3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306.72850679999999</v>
      </c>
      <c r="I42" s="84">
        <f>H42/1000</f>
        <v>0.30672850679999997</v>
      </c>
      <c r="J42" s="84">
        <f t="shared" ref="J42:J73" si="4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1.009139303E-2</v>
      </c>
      <c r="K42" s="84">
        <f>J42/100</f>
        <v>1.009139303E-4</v>
      </c>
      <c r="L42" s="84">
        <f t="shared" ref="L42:L73" si="5">Подача_пласт_м3_сут*Напор_м*9.81*1000/86400</f>
        <v>0</v>
      </c>
      <c r="M42" s="84">
        <f>IF(K42&gt;0,L42/K42,0)/1000</f>
        <v>0</v>
      </c>
      <c r="N42" s="85">
        <f>L42/H42</f>
        <v>0</v>
      </c>
      <c r="P42" s="86">
        <f t="shared" ref="P42:P73" si="6">Подача_пласт_м3_сут*f_50_hz/f_nom</f>
        <v>0</v>
      </c>
      <c r="Q42" s="47">
        <f t="shared" ref="Q42:Q73" si="7">Напор_м*(f_50_hz/f_nom)^2</f>
        <v>6.9916515840000004</v>
      </c>
      <c r="R42" s="87">
        <f>D42</f>
        <v>1E-3</v>
      </c>
      <c r="S42" s="47">
        <f t="shared" ref="S42:S73" si="8">I42*(f_50_hz/f_nom)^3</f>
        <v>0.30672850679999997</v>
      </c>
      <c r="T42" s="88">
        <f t="shared" ref="T42:T73" si="9">$C$5+$C$6*Подача_f50_+$C$7*Подача_f50_^2 + $C$8*Подача_f50_^3+$C$9*Подача_f50_^4+$C$10*Подача_f50_^5+$C$11*Подача_f50_^6+$C$12*Подача_f50_^7+$C$13*Подача_f50_^8+$C$14*Подача_f50_^9+$C$15*Подача_f50_^10</f>
        <v>6.9916515840000004</v>
      </c>
      <c r="U42" s="88">
        <f t="shared" ref="U42:U73" si="10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306.72850679999999</v>
      </c>
      <c r="V42" s="88">
        <f t="shared" ref="V42:V73" si="11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1.009139303E-2</v>
      </c>
    </row>
    <row r="43" spans="1:22" x14ac:dyDescent="0.2">
      <c r="A43" s="80">
        <v>2</v>
      </c>
      <c r="B43" s="81">
        <v>13.8163265306122</v>
      </c>
      <c r="C43" s="82">
        <v>7.0654712765782897</v>
      </c>
      <c r="D43" s="82">
        <v>3.45823167389347E-2</v>
      </c>
      <c r="E43" s="75">
        <v>0.32018905248088397</v>
      </c>
      <c r="G43" s="89">
        <f t="shared" si="2"/>
        <v>7.0654712765782941</v>
      </c>
      <c r="H43" s="90">
        <f t="shared" si="3"/>
        <v>312.74137999350734</v>
      </c>
      <c r="I43" s="90">
        <f t="shared" ref="I43:I91" si="12">H43/1000</f>
        <v>0.31274137999350732</v>
      </c>
      <c r="J43" s="90">
        <f t="shared" si="4"/>
        <v>3.458231673893466</v>
      </c>
      <c r="K43" s="90">
        <f t="shared" ref="K43:K91" si="13">J43/100</f>
        <v>3.4582316738934658E-2</v>
      </c>
      <c r="L43" s="90">
        <f t="shared" si="5"/>
        <v>11.083807863786991</v>
      </c>
      <c r="M43" s="90">
        <f t="shared" ref="M43:M91" si="14">IF(K43&gt;0,L43/K43,0)/1000</f>
        <v>0.32050507048037746</v>
      </c>
      <c r="N43" s="91">
        <f t="shared" ref="N43:N91" si="15">L43/H43</f>
        <v>3.5440810116068096E-2</v>
      </c>
      <c r="P43" s="86">
        <f t="shared" si="6"/>
        <v>13.8163265306122</v>
      </c>
      <c r="Q43" s="47">
        <f t="shared" si="7"/>
        <v>7.0654712765782897</v>
      </c>
      <c r="R43" s="87">
        <f t="shared" ref="R43:R91" si="16">D43</f>
        <v>3.45823167389347E-2</v>
      </c>
      <c r="S43" s="47">
        <f t="shared" si="8"/>
        <v>0.31274137999350732</v>
      </c>
      <c r="T43" s="88">
        <f t="shared" si="9"/>
        <v>7.0654712765782941</v>
      </c>
      <c r="U43" s="88">
        <f t="shared" si="10"/>
        <v>312.74137999350734</v>
      </c>
      <c r="V43" s="88">
        <f t="shared" si="11"/>
        <v>3.458231673893466</v>
      </c>
    </row>
    <row r="44" spans="1:22" x14ac:dyDescent="0.2">
      <c r="A44" s="80">
        <v>3</v>
      </c>
      <c r="B44" s="81">
        <v>27.632653061224399</v>
      </c>
      <c r="C44" s="82">
        <v>7.12695373525486</v>
      </c>
      <c r="D44" s="82">
        <v>6.9180225819824206E-2</v>
      </c>
      <c r="E44" s="75">
        <v>0.32290248543960898</v>
      </c>
      <c r="G44" s="89">
        <f t="shared" si="2"/>
        <v>7.1269537352548644</v>
      </c>
      <c r="H44" s="90">
        <f t="shared" si="3"/>
        <v>318.22092525254232</v>
      </c>
      <c r="I44" s="90">
        <f t="shared" si="12"/>
        <v>0.31822092525254231</v>
      </c>
      <c r="J44" s="90">
        <f t="shared" si="4"/>
        <v>6.9180225819823979</v>
      </c>
      <c r="K44" s="90">
        <f t="shared" si="13"/>
        <v>6.9180225819823984E-2</v>
      </c>
      <c r="L44" s="90">
        <f t="shared" si="5"/>
        <v>22.360514327621605</v>
      </c>
      <c r="M44" s="90">
        <f t="shared" si="14"/>
        <v>0.32322118152459217</v>
      </c>
      <c r="N44" s="91">
        <f t="shared" si="15"/>
        <v>7.0267265767881684E-2</v>
      </c>
      <c r="P44" s="86">
        <f t="shared" si="6"/>
        <v>27.632653061224399</v>
      </c>
      <c r="Q44" s="47">
        <f t="shared" si="7"/>
        <v>7.12695373525486</v>
      </c>
      <c r="R44" s="87">
        <f t="shared" si="16"/>
        <v>6.9180225819824206E-2</v>
      </c>
      <c r="S44" s="47">
        <f t="shared" si="8"/>
        <v>0.31822092525254231</v>
      </c>
      <c r="T44" s="88">
        <f t="shared" si="9"/>
        <v>7.1269537352548644</v>
      </c>
      <c r="U44" s="88">
        <f t="shared" si="10"/>
        <v>318.22092525254232</v>
      </c>
      <c r="V44" s="88">
        <f t="shared" si="11"/>
        <v>6.9180225819823979</v>
      </c>
    </row>
    <row r="45" spans="1:22" x14ac:dyDescent="0.2">
      <c r="A45" s="80">
        <v>4</v>
      </c>
      <c r="B45" s="81">
        <v>41.448979591836697</v>
      </c>
      <c r="C45" s="82">
        <v>7.1756784096318498</v>
      </c>
      <c r="D45" s="82">
        <v>0.10360712141278799</v>
      </c>
      <c r="E45" s="75">
        <v>0.32562222678291303</v>
      </c>
      <c r="G45" s="89">
        <f t="shared" si="2"/>
        <v>7.1756784096318578</v>
      </c>
      <c r="H45" s="90">
        <f t="shared" si="3"/>
        <v>323.22346978597591</v>
      </c>
      <c r="I45" s="90">
        <f t="shared" si="12"/>
        <v>0.32322346978597588</v>
      </c>
      <c r="J45" s="90">
        <f t="shared" si="4"/>
        <v>10.360712141278832</v>
      </c>
      <c r="K45" s="90">
        <f t="shared" si="13"/>
        <v>0.10360712141278831</v>
      </c>
      <c r="L45" s="90">
        <f t="shared" si="5"/>
        <v>33.770078882778236</v>
      </c>
      <c r="M45" s="90">
        <f t="shared" si="14"/>
        <v>0.3259436071795927</v>
      </c>
      <c r="N45" s="91">
        <f t="shared" si="15"/>
        <v>0.10447904326111983</v>
      </c>
      <c r="P45" s="86">
        <f t="shared" si="6"/>
        <v>41.448979591836697</v>
      </c>
      <c r="Q45" s="47">
        <f t="shared" si="7"/>
        <v>7.1756784096318498</v>
      </c>
      <c r="R45" s="87">
        <f t="shared" si="16"/>
        <v>0.10360712141278799</v>
      </c>
      <c r="S45" s="47">
        <f t="shared" si="8"/>
        <v>0.32322346978597588</v>
      </c>
      <c r="T45" s="88">
        <f t="shared" si="9"/>
        <v>7.1756784096318578</v>
      </c>
      <c r="U45" s="88">
        <f t="shared" si="10"/>
        <v>323.22346978597591</v>
      </c>
      <c r="V45" s="88">
        <f t="shared" si="11"/>
        <v>10.360712141278832</v>
      </c>
    </row>
    <row r="46" spans="1:22" x14ac:dyDescent="0.2">
      <c r="A46" s="80">
        <v>5</v>
      </c>
      <c r="B46" s="81">
        <v>55.265306122448898</v>
      </c>
      <c r="C46" s="82">
        <v>7.2114091645308704</v>
      </c>
      <c r="D46" s="82">
        <v>0.13761145588712001</v>
      </c>
      <c r="E46" s="75">
        <v>0.32850725642976603</v>
      </c>
      <c r="G46" s="89">
        <f t="shared" si="2"/>
        <v>7.2114091645308758</v>
      </c>
      <c r="H46" s="90">
        <f t="shared" si="3"/>
        <v>327.8023716944881</v>
      </c>
      <c r="I46" s="90">
        <f t="shared" si="12"/>
        <v>0.32780237169448811</v>
      </c>
      <c r="J46" s="90">
        <f t="shared" si="4"/>
        <v>13.761145588712072</v>
      </c>
      <c r="K46" s="90">
        <f t="shared" si="13"/>
        <v>0.13761145588712073</v>
      </c>
      <c r="L46" s="90">
        <f t="shared" si="5"/>
        <v>45.250979292366132</v>
      </c>
      <c r="M46" s="90">
        <f t="shared" si="14"/>
        <v>0.32883148427325981</v>
      </c>
      <c r="N46" s="91">
        <f t="shared" si="15"/>
        <v>0.13804347741126186</v>
      </c>
      <c r="P46" s="86">
        <f t="shared" si="6"/>
        <v>55.265306122448898</v>
      </c>
      <c r="Q46" s="47">
        <f t="shared" si="7"/>
        <v>7.2114091645308704</v>
      </c>
      <c r="R46" s="87">
        <f t="shared" si="16"/>
        <v>0.13761145588712001</v>
      </c>
      <c r="S46" s="47">
        <f t="shared" si="8"/>
        <v>0.32780237169448811</v>
      </c>
      <c r="T46" s="88">
        <f t="shared" si="9"/>
        <v>7.2114091645308758</v>
      </c>
      <c r="U46" s="88">
        <f t="shared" si="10"/>
        <v>327.8023716944881</v>
      </c>
      <c r="V46" s="88">
        <f t="shared" si="11"/>
        <v>13.761145588712072</v>
      </c>
    </row>
    <row r="47" spans="1:22" x14ac:dyDescent="0.2">
      <c r="A47" s="80">
        <v>6</v>
      </c>
      <c r="B47" s="81">
        <v>69.081632653061206</v>
      </c>
      <c r="C47" s="82">
        <v>7.2340799006957903</v>
      </c>
      <c r="D47" s="82">
        <v>0.170975546918233</v>
      </c>
      <c r="E47" s="75">
        <v>0.33154213658384801</v>
      </c>
      <c r="G47" s="89">
        <f t="shared" si="2"/>
        <v>7.2340799006957948</v>
      </c>
      <c r="H47" s="90">
        <f t="shared" si="3"/>
        <v>332.00801997056789</v>
      </c>
      <c r="I47" s="90">
        <f t="shared" si="12"/>
        <v>0.33200801997056789</v>
      </c>
      <c r="J47" s="90">
        <f t="shared" si="4"/>
        <v>17.09755469182338</v>
      </c>
      <c r="K47" s="90">
        <f t="shared" si="13"/>
        <v>0.1709755469182338</v>
      </c>
      <c r="L47" s="90">
        <f t="shared" si="5"/>
        <v>56.741545292521728</v>
      </c>
      <c r="M47" s="90">
        <f t="shared" si="14"/>
        <v>0.33186935977258447</v>
      </c>
      <c r="N47" s="91">
        <f t="shared" si="15"/>
        <v>0.17090414050103911</v>
      </c>
      <c r="P47" s="86">
        <f t="shared" si="6"/>
        <v>69.081632653061206</v>
      </c>
      <c r="Q47" s="47">
        <f t="shared" si="7"/>
        <v>7.2340799006957903</v>
      </c>
      <c r="R47" s="87">
        <f t="shared" si="16"/>
        <v>0.170975546918233</v>
      </c>
      <c r="S47" s="47">
        <f t="shared" si="8"/>
        <v>0.33200801997056789</v>
      </c>
      <c r="T47" s="88">
        <f t="shared" si="9"/>
        <v>7.2340799006957948</v>
      </c>
      <c r="U47" s="88">
        <f t="shared" si="10"/>
        <v>332.00801997056789</v>
      </c>
      <c r="V47" s="88">
        <f t="shared" si="11"/>
        <v>17.09755469182338</v>
      </c>
    </row>
    <row r="48" spans="1:22" x14ac:dyDescent="0.2">
      <c r="A48" s="80">
        <v>7</v>
      </c>
      <c r="B48" s="81">
        <v>82.897959183673393</v>
      </c>
      <c r="C48" s="82">
        <v>7.2437801754955498</v>
      </c>
      <c r="D48" s="82">
        <v>0.203513470664303</v>
      </c>
      <c r="E48" s="75">
        <v>0.33469003357473198</v>
      </c>
      <c r="G48" s="89">
        <f t="shared" si="2"/>
        <v>7.2437801754955577</v>
      </c>
      <c r="H48" s="90">
        <f t="shared" si="3"/>
        <v>335.88783449851309</v>
      </c>
      <c r="I48" s="90">
        <f t="shared" si="12"/>
        <v>0.33588783449851306</v>
      </c>
      <c r="J48" s="90">
        <f t="shared" si="4"/>
        <v>20.351347066430325</v>
      </c>
      <c r="K48" s="90">
        <f t="shared" si="13"/>
        <v>0.20351347066430325</v>
      </c>
      <c r="L48" s="90">
        <f t="shared" si="5"/>
        <v>68.181156950298814</v>
      </c>
      <c r="M48" s="90">
        <f t="shared" si="14"/>
        <v>0.3350203636532938</v>
      </c>
      <c r="N48" s="91">
        <f t="shared" si="15"/>
        <v>0.20298787257982884</v>
      </c>
      <c r="P48" s="86">
        <f t="shared" si="6"/>
        <v>82.897959183673393</v>
      </c>
      <c r="Q48" s="47">
        <f t="shared" si="7"/>
        <v>7.2437801754955498</v>
      </c>
      <c r="R48" s="87">
        <f t="shared" si="16"/>
        <v>0.203513470664303</v>
      </c>
      <c r="S48" s="47">
        <f t="shared" si="8"/>
        <v>0.33588783449851306</v>
      </c>
      <c r="T48" s="88">
        <f t="shared" si="9"/>
        <v>7.2437801754955577</v>
      </c>
      <c r="U48" s="88">
        <f t="shared" si="10"/>
        <v>335.88783449851309</v>
      </c>
      <c r="V48" s="88">
        <f t="shared" si="11"/>
        <v>20.351347066430325</v>
      </c>
    </row>
    <row r="49" spans="1:22" x14ac:dyDescent="0.2">
      <c r="A49" s="80">
        <v>8</v>
      </c>
      <c r="B49" s="81">
        <v>96.714285714285694</v>
      </c>
      <c r="C49" s="82">
        <v>7.2407408236270001</v>
      </c>
      <c r="D49" s="82">
        <v>0.23506895494291499</v>
      </c>
      <c r="E49" s="75">
        <v>0.33791322868721202</v>
      </c>
      <c r="G49" s="89">
        <f t="shared" si="2"/>
        <v>7.2407408236270019</v>
      </c>
      <c r="H49" s="90">
        <f t="shared" si="3"/>
        <v>339.48626605443064</v>
      </c>
      <c r="I49" s="90">
        <f t="shared" si="12"/>
        <v>0.33948626605443066</v>
      </c>
      <c r="J49" s="90">
        <f t="shared" si="4"/>
        <v>23.506895494291502</v>
      </c>
      <c r="K49" s="90">
        <f t="shared" si="13"/>
        <v>0.23506895494291502</v>
      </c>
      <c r="L49" s="90">
        <f t="shared" si="5"/>
        <v>79.511307678259996</v>
      </c>
      <c r="M49" s="90">
        <f t="shared" si="14"/>
        <v>0.33824673997282545</v>
      </c>
      <c r="N49" s="91">
        <f t="shared" si="15"/>
        <v>0.234210675448979</v>
      </c>
      <c r="P49" s="86">
        <f t="shared" si="6"/>
        <v>96.714285714285694</v>
      </c>
      <c r="Q49" s="47">
        <f t="shared" si="7"/>
        <v>7.2407408236270001</v>
      </c>
      <c r="R49" s="87">
        <f t="shared" si="16"/>
        <v>0.23506895494291499</v>
      </c>
      <c r="S49" s="47">
        <f t="shared" si="8"/>
        <v>0.33948626605443066</v>
      </c>
      <c r="T49" s="88">
        <f t="shared" si="9"/>
        <v>7.2407408236270019</v>
      </c>
      <c r="U49" s="88">
        <f t="shared" si="10"/>
        <v>339.48626605443064</v>
      </c>
      <c r="V49" s="88">
        <f t="shared" si="11"/>
        <v>23.506895494291502</v>
      </c>
    </row>
    <row r="50" spans="1:22" x14ac:dyDescent="0.2">
      <c r="A50" s="80">
        <v>9</v>
      </c>
      <c r="B50" s="81">
        <v>110.530612244897</v>
      </c>
      <c r="C50" s="82">
        <v>7.2253195778176398</v>
      </c>
      <c r="D50" s="82">
        <v>0.265513272407708</v>
      </c>
      <c r="E50" s="75">
        <v>0.34117738832356598</v>
      </c>
      <c r="G50" s="89">
        <f t="shared" si="2"/>
        <v>7.2253195778176496</v>
      </c>
      <c r="H50" s="90">
        <f t="shared" si="3"/>
        <v>342.84479630623611</v>
      </c>
      <c r="I50" s="90">
        <f t="shared" si="12"/>
        <v>0.3428447963062361</v>
      </c>
      <c r="J50" s="90">
        <f t="shared" si="4"/>
        <v>26.551327240770657</v>
      </c>
      <c r="K50" s="90">
        <f t="shared" si="13"/>
        <v>0.26551327240770656</v>
      </c>
      <c r="L50" s="90">
        <f t="shared" si="5"/>
        <v>90.676531905764037</v>
      </c>
      <c r="M50" s="90">
        <f t="shared" si="14"/>
        <v>0.341514121247116</v>
      </c>
      <c r="N50" s="91">
        <f t="shared" si="15"/>
        <v>0.26448274228659979</v>
      </c>
      <c r="P50" s="86">
        <f t="shared" si="6"/>
        <v>110.530612244897</v>
      </c>
      <c r="Q50" s="47">
        <f t="shared" si="7"/>
        <v>7.2253195778176398</v>
      </c>
      <c r="R50" s="87">
        <f t="shared" si="16"/>
        <v>0.265513272407708</v>
      </c>
      <c r="S50" s="47">
        <f t="shared" si="8"/>
        <v>0.3428447963062361</v>
      </c>
      <c r="T50" s="88">
        <f t="shared" si="9"/>
        <v>7.2253195778176496</v>
      </c>
      <c r="U50" s="88">
        <f t="shared" si="10"/>
        <v>342.84479630623611</v>
      </c>
      <c r="V50" s="88">
        <f t="shared" si="11"/>
        <v>26.551327240770657</v>
      </c>
    </row>
    <row r="51" spans="1:22" x14ac:dyDescent="0.2">
      <c r="A51" s="80">
        <v>10</v>
      </c>
      <c r="B51" s="81">
        <v>124.34693877551</v>
      </c>
      <c r="C51" s="82">
        <v>7.1979866895285101</v>
      </c>
      <c r="D51" s="82">
        <v>0.29474313372502298</v>
      </c>
      <c r="E51" s="75">
        <v>0.34445245145908299</v>
      </c>
      <c r="G51" s="89">
        <f t="shared" si="2"/>
        <v>7.1979866895285154</v>
      </c>
      <c r="H51" s="90">
        <f t="shared" si="3"/>
        <v>346.00193781365505</v>
      </c>
      <c r="I51" s="90">
        <f t="shared" si="12"/>
        <v>0.34600193781365507</v>
      </c>
      <c r="J51" s="90">
        <f t="shared" si="4"/>
        <v>29.474313372502337</v>
      </c>
      <c r="K51" s="90">
        <f t="shared" si="13"/>
        <v>0.29474313372502337</v>
      </c>
      <c r="L51" s="90">
        <f t="shared" si="5"/>
        <v>101.62519740695978</v>
      </c>
      <c r="M51" s="90">
        <f t="shared" si="14"/>
        <v>0.34479241678202976</v>
      </c>
      <c r="N51" s="91">
        <f t="shared" si="15"/>
        <v>0.2937127983996774</v>
      </c>
      <c r="P51" s="86">
        <f t="shared" si="6"/>
        <v>124.34693877550998</v>
      </c>
      <c r="Q51" s="47">
        <f t="shared" si="7"/>
        <v>7.1979866895285101</v>
      </c>
      <c r="R51" s="87">
        <f t="shared" si="16"/>
        <v>0.29474313372502298</v>
      </c>
      <c r="S51" s="47">
        <f t="shared" si="8"/>
        <v>0.34600193781365507</v>
      </c>
      <c r="T51" s="88">
        <f t="shared" si="9"/>
        <v>7.1979866895285154</v>
      </c>
      <c r="U51" s="88">
        <f t="shared" si="10"/>
        <v>346.00193781365505</v>
      </c>
      <c r="V51" s="88">
        <f t="shared" si="11"/>
        <v>29.474313372502337</v>
      </c>
    </row>
    <row r="52" spans="1:22" x14ac:dyDescent="0.2">
      <c r="A52" s="80">
        <v>11</v>
      </c>
      <c r="B52" s="81">
        <v>138.16326530612201</v>
      </c>
      <c r="C52" s="82">
        <v>7.1593105496569196</v>
      </c>
      <c r="D52" s="82">
        <v>0.32267858075054501</v>
      </c>
      <c r="E52" s="75">
        <v>0.347712650168718</v>
      </c>
      <c r="G52" s="89">
        <f t="shared" si="2"/>
        <v>7.1593105496569258</v>
      </c>
      <c r="H52" s="90">
        <f t="shared" si="3"/>
        <v>348.99323402822057</v>
      </c>
      <c r="I52" s="90">
        <f t="shared" si="12"/>
        <v>0.34899323402822058</v>
      </c>
      <c r="J52" s="90">
        <f t="shared" si="4"/>
        <v>32.267858075054434</v>
      </c>
      <c r="K52" s="90">
        <f t="shared" si="13"/>
        <v>0.32267858075054434</v>
      </c>
      <c r="L52" s="90">
        <f t="shared" si="5"/>
        <v>112.31016228546586</v>
      </c>
      <c r="M52" s="90">
        <f t="shared" si="14"/>
        <v>0.348055833220273</v>
      </c>
      <c r="N52" s="91">
        <f t="shared" si="15"/>
        <v>0.32181186147690233</v>
      </c>
      <c r="P52" s="86">
        <f t="shared" si="6"/>
        <v>138.16326530612201</v>
      </c>
      <c r="Q52" s="47">
        <f t="shared" si="7"/>
        <v>7.1593105496569196</v>
      </c>
      <c r="R52" s="87">
        <f t="shared" si="16"/>
        <v>0.32267858075054501</v>
      </c>
      <c r="S52" s="47">
        <f t="shared" si="8"/>
        <v>0.34899323402822058</v>
      </c>
      <c r="T52" s="88">
        <f t="shared" si="9"/>
        <v>7.1593105496569258</v>
      </c>
      <c r="U52" s="88">
        <f t="shared" si="10"/>
        <v>348.99323402822057</v>
      </c>
      <c r="V52" s="88">
        <f t="shared" si="11"/>
        <v>32.267858075054434</v>
      </c>
    </row>
    <row r="53" spans="1:22" x14ac:dyDescent="0.2">
      <c r="A53" s="80">
        <v>12</v>
      </c>
      <c r="B53" s="81">
        <v>151.97959183673399</v>
      </c>
      <c r="C53" s="82">
        <v>7.1099433092393101</v>
      </c>
      <c r="D53" s="82">
        <v>0.34926087970594699</v>
      </c>
      <c r="E53" s="75">
        <v>0.35093631176929102</v>
      </c>
      <c r="G53" s="89">
        <f t="shared" si="2"/>
        <v>7.1099433092393198</v>
      </c>
      <c r="H53" s="90">
        <f t="shared" si="3"/>
        <v>351.8512592932758</v>
      </c>
      <c r="I53" s="90">
        <f t="shared" si="12"/>
        <v>0.35185125929327582</v>
      </c>
      <c r="J53" s="90">
        <f t="shared" si="4"/>
        <v>34.926087970594651</v>
      </c>
      <c r="K53" s="90">
        <f t="shared" si="13"/>
        <v>0.34926087970594649</v>
      </c>
      <c r="L53" s="90">
        <f t="shared" si="5"/>
        <v>122.68929661576601</v>
      </c>
      <c r="M53" s="90">
        <f t="shared" si="14"/>
        <v>0.35128267648830841</v>
      </c>
      <c r="N53" s="91">
        <f t="shared" si="15"/>
        <v>0.34869648288938415</v>
      </c>
      <c r="P53" s="86">
        <f t="shared" si="6"/>
        <v>151.97959183673399</v>
      </c>
      <c r="Q53" s="47">
        <f t="shared" si="7"/>
        <v>7.1099433092393101</v>
      </c>
      <c r="R53" s="87">
        <f t="shared" si="16"/>
        <v>0.34926087970594699</v>
      </c>
      <c r="S53" s="47">
        <f t="shared" si="8"/>
        <v>0.35185125929327582</v>
      </c>
      <c r="T53" s="88">
        <f t="shared" si="9"/>
        <v>7.1099433092393198</v>
      </c>
      <c r="U53" s="88">
        <f t="shared" si="10"/>
        <v>351.8512592932758</v>
      </c>
      <c r="V53" s="88">
        <f t="shared" si="11"/>
        <v>34.926087970594651</v>
      </c>
    </row>
    <row r="54" spans="1:22" x14ac:dyDescent="0.2">
      <c r="A54" s="80">
        <v>13</v>
      </c>
      <c r="B54" s="81">
        <v>165.79591836734599</v>
      </c>
      <c r="C54" s="82">
        <v>7.0506065001540401</v>
      </c>
      <c r="D54" s="82">
        <v>0.37445041435554199</v>
      </c>
      <c r="E54" s="75">
        <v>0.35410563308607801</v>
      </c>
      <c r="G54" s="89">
        <f t="shared" si="2"/>
        <v>7.050606500154049</v>
      </c>
      <c r="H54" s="90">
        <f t="shared" si="3"/>
        <v>354.60561884397248</v>
      </c>
      <c r="I54" s="90">
        <f t="shared" si="12"/>
        <v>0.35460561884397246</v>
      </c>
      <c r="J54" s="90">
        <f t="shared" si="4"/>
        <v>37.445041435554053</v>
      </c>
      <c r="K54" s="90">
        <f t="shared" si="13"/>
        <v>0.37445041435554055</v>
      </c>
      <c r="L54" s="90">
        <f t="shared" si="5"/>
        <v>132.72586874129186</v>
      </c>
      <c r="M54" s="90">
        <f t="shared" si="14"/>
        <v>0.35445512584015648</v>
      </c>
      <c r="N54" s="91">
        <f t="shared" si="15"/>
        <v>0.37429149931121547</v>
      </c>
      <c r="P54" s="86">
        <f t="shared" si="6"/>
        <v>165.79591836734599</v>
      </c>
      <c r="Q54" s="47">
        <f t="shared" si="7"/>
        <v>7.0506065001540401</v>
      </c>
      <c r="R54" s="87">
        <f t="shared" si="16"/>
        <v>0.37445041435554199</v>
      </c>
      <c r="S54" s="47">
        <f t="shared" si="8"/>
        <v>0.35460561884397246</v>
      </c>
      <c r="T54" s="88">
        <f t="shared" si="9"/>
        <v>7.050606500154049</v>
      </c>
      <c r="U54" s="88">
        <f t="shared" si="10"/>
        <v>354.60561884397248</v>
      </c>
      <c r="V54" s="88">
        <f t="shared" si="11"/>
        <v>37.445041435554053</v>
      </c>
    </row>
    <row r="55" spans="1:22" x14ac:dyDescent="0.2">
      <c r="A55" s="80">
        <v>14</v>
      </c>
      <c r="B55" s="81">
        <v>179.61224489795899</v>
      </c>
      <c r="C55" s="82">
        <v>6.98207665582418</v>
      </c>
      <c r="D55" s="82">
        <v>0.39822457918291898</v>
      </c>
      <c r="E55" s="75">
        <v>0.35720648174955499</v>
      </c>
      <c r="G55" s="89">
        <f t="shared" si="2"/>
        <v>6.9820766558241898</v>
      </c>
      <c r="H55" s="90">
        <f t="shared" si="3"/>
        <v>357.2829488072714</v>
      </c>
      <c r="I55" s="90">
        <f t="shared" si="12"/>
        <v>0.35728294880727141</v>
      </c>
      <c r="J55" s="90">
        <f t="shared" si="4"/>
        <v>39.822457918291953</v>
      </c>
      <c r="K55" s="90">
        <f t="shared" si="13"/>
        <v>0.39822457918291954</v>
      </c>
      <c r="L55" s="90">
        <f t="shared" si="5"/>
        <v>142.38879622920985</v>
      </c>
      <c r="M55" s="90">
        <f t="shared" si="14"/>
        <v>0.35755903495802382</v>
      </c>
      <c r="N55" s="91">
        <f t="shared" si="15"/>
        <v>0.39853230249176658</v>
      </c>
      <c r="P55" s="86">
        <f t="shared" si="6"/>
        <v>179.61224489795899</v>
      </c>
      <c r="Q55" s="47">
        <f t="shared" si="7"/>
        <v>6.98207665582418</v>
      </c>
      <c r="R55" s="87">
        <f t="shared" si="16"/>
        <v>0.39822457918291898</v>
      </c>
      <c r="S55" s="47">
        <f t="shared" si="8"/>
        <v>0.35728294880727141</v>
      </c>
      <c r="T55" s="88">
        <f t="shared" si="9"/>
        <v>6.9820766558241898</v>
      </c>
      <c r="U55" s="88">
        <f t="shared" si="10"/>
        <v>357.2829488072714</v>
      </c>
      <c r="V55" s="88">
        <f t="shared" si="11"/>
        <v>39.822457918291953</v>
      </c>
    </row>
    <row r="56" spans="1:22" x14ac:dyDescent="0.2">
      <c r="A56" s="80">
        <v>15</v>
      </c>
      <c r="B56" s="81">
        <v>193.42857142857099</v>
      </c>
      <c r="C56" s="82">
        <v>6.9051709319203596</v>
      </c>
      <c r="D56" s="82">
        <v>0.42057567256759798</v>
      </c>
      <c r="E56" s="75">
        <v>0.36022823415858002</v>
      </c>
      <c r="G56" s="89">
        <f t="shared" si="2"/>
        <v>6.9051709319203649</v>
      </c>
      <c r="H56" s="90">
        <f t="shared" si="3"/>
        <v>359.90691620194195</v>
      </c>
      <c r="I56" s="90">
        <f t="shared" si="12"/>
        <v>0.35990691620194193</v>
      </c>
      <c r="J56" s="90">
        <f t="shared" si="4"/>
        <v>42.057567256759754</v>
      </c>
      <c r="K56" s="90">
        <f t="shared" si="13"/>
        <v>0.42057567256759754</v>
      </c>
      <c r="L56" s="90">
        <f t="shared" si="5"/>
        <v>151.65276148190415</v>
      </c>
      <c r="M56" s="90">
        <f t="shared" si="14"/>
        <v>0.36058376975555945</v>
      </c>
      <c r="N56" s="91">
        <f t="shared" si="15"/>
        <v>0.4213666219095733</v>
      </c>
      <c r="P56" s="86">
        <f t="shared" si="6"/>
        <v>193.42857142857099</v>
      </c>
      <c r="Q56" s="47">
        <f t="shared" si="7"/>
        <v>6.9051709319203596</v>
      </c>
      <c r="R56" s="87">
        <f t="shared" si="16"/>
        <v>0.42057567256759798</v>
      </c>
      <c r="S56" s="47">
        <f t="shared" si="8"/>
        <v>0.35990691620194193</v>
      </c>
      <c r="T56" s="88">
        <f t="shared" si="9"/>
        <v>6.9051709319203649</v>
      </c>
      <c r="U56" s="88">
        <f t="shared" si="10"/>
        <v>359.90691620194195</v>
      </c>
      <c r="V56" s="88">
        <f t="shared" si="11"/>
        <v>42.057567256759754</v>
      </c>
    </row>
    <row r="57" spans="1:22" x14ac:dyDescent="0.2">
      <c r="A57" s="80">
        <v>16</v>
      </c>
      <c r="B57" s="81">
        <v>207.24489795918299</v>
      </c>
      <c r="C57" s="82">
        <v>6.8207327270635201</v>
      </c>
      <c r="D57" s="82">
        <v>0.44150878996166598</v>
      </c>
      <c r="E57" s="75">
        <v>0.36316364347303098</v>
      </c>
      <c r="G57" s="89">
        <f t="shared" si="2"/>
        <v>6.8207327270635281</v>
      </c>
      <c r="H57" s="90">
        <f t="shared" si="3"/>
        <v>362.49821893856307</v>
      </c>
      <c r="I57" s="90">
        <f t="shared" si="12"/>
        <v>0.36249821893856304</v>
      </c>
      <c r="J57" s="90">
        <f t="shared" si="4"/>
        <v>44.150878996166526</v>
      </c>
      <c r="K57" s="90">
        <f t="shared" si="13"/>
        <v>0.44150878996166526</v>
      </c>
      <c r="L57" s="90">
        <f t="shared" si="5"/>
        <v>160.49819200516475</v>
      </c>
      <c r="M57" s="90">
        <f t="shared" si="14"/>
        <v>0.36352207624020411</v>
      </c>
      <c r="N57" s="91">
        <f t="shared" si="15"/>
        <v>0.44275580849782414</v>
      </c>
      <c r="P57" s="86">
        <f t="shared" si="6"/>
        <v>207.24489795918299</v>
      </c>
      <c r="Q57" s="47">
        <f t="shared" si="7"/>
        <v>6.8207327270635201</v>
      </c>
      <c r="R57" s="87">
        <f t="shared" si="16"/>
        <v>0.44150878996166598</v>
      </c>
      <c r="S57" s="47">
        <f t="shared" si="8"/>
        <v>0.36249821893856304</v>
      </c>
      <c r="T57" s="88">
        <f t="shared" si="9"/>
        <v>6.8207327270635281</v>
      </c>
      <c r="U57" s="88">
        <f t="shared" si="10"/>
        <v>362.49821893856307</v>
      </c>
      <c r="V57" s="88">
        <f t="shared" si="11"/>
        <v>44.150878996166526</v>
      </c>
    </row>
    <row r="58" spans="1:22" x14ac:dyDescent="0.2">
      <c r="A58" s="80">
        <v>17</v>
      </c>
      <c r="B58" s="81">
        <v>221.06122448979499</v>
      </c>
      <c r="C58" s="82">
        <v>6.7296173035277702</v>
      </c>
      <c r="D58" s="82">
        <v>0.46103971706642899</v>
      </c>
      <c r="E58" s="75">
        <v>0.36600872492488001</v>
      </c>
      <c r="G58" s="89">
        <f t="shared" si="2"/>
        <v>6.7296173035277809</v>
      </c>
      <c r="H58" s="90">
        <f t="shared" si="3"/>
        <v>365.07458581952233</v>
      </c>
      <c r="I58" s="90">
        <f t="shared" si="12"/>
        <v>0.36507458581952235</v>
      </c>
      <c r="J58" s="90">
        <f t="shared" si="4"/>
        <v>46.103971706642838</v>
      </c>
      <c r="K58" s="90">
        <f t="shared" si="13"/>
        <v>0.46103971706642838</v>
      </c>
      <c r="L58" s="90">
        <f t="shared" si="5"/>
        <v>168.91110533306895</v>
      </c>
      <c r="M58" s="90">
        <f t="shared" si="14"/>
        <v>0.36636996571107033</v>
      </c>
      <c r="N58" s="91">
        <f t="shared" si="15"/>
        <v>0.46267560628438692</v>
      </c>
      <c r="P58" s="86">
        <f t="shared" si="6"/>
        <v>221.06122448979499</v>
      </c>
      <c r="Q58" s="47">
        <f t="shared" si="7"/>
        <v>6.7296173035277702</v>
      </c>
      <c r="R58" s="87">
        <f t="shared" si="16"/>
        <v>0.46103971706642899</v>
      </c>
      <c r="S58" s="47">
        <f t="shared" si="8"/>
        <v>0.36507458581952235</v>
      </c>
      <c r="T58" s="88">
        <f t="shared" si="9"/>
        <v>6.7296173035277809</v>
      </c>
      <c r="U58" s="88">
        <f t="shared" si="10"/>
        <v>365.07458581952233</v>
      </c>
      <c r="V58" s="88">
        <f t="shared" si="11"/>
        <v>46.103971706642838</v>
      </c>
    </row>
    <row r="59" spans="1:22" x14ac:dyDescent="0.2">
      <c r="A59" s="80">
        <v>18</v>
      </c>
      <c r="B59" s="81">
        <v>234.87755102040799</v>
      </c>
      <c r="C59" s="82">
        <v>6.6326774079431701</v>
      </c>
      <c r="D59" s="82">
        <v>0.47919282300905502</v>
      </c>
      <c r="E59" s="75">
        <v>0.36876264348198901</v>
      </c>
      <c r="G59" s="89">
        <f t="shared" si="2"/>
        <v>6.6326774079431736</v>
      </c>
      <c r="H59" s="90">
        <f t="shared" si="3"/>
        <v>367.6507765390167</v>
      </c>
      <c r="I59" s="90">
        <f t="shared" si="12"/>
        <v>0.36765077653901668</v>
      </c>
      <c r="J59" s="90">
        <f t="shared" si="4"/>
        <v>47.919282300905522</v>
      </c>
      <c r="K59" s="90">
        <f t="shared" si="13"/>
        <v>0.47919282300905519</v>
      </c>
      <c r="L59" s="90">
        <f t="shared" si="5"/>
        <v>176.88281860956528</v>
      </c>
      <c r="M59" s="90">
        <f t="shared" si="14"/>
        <v>0.36912660231186883</v>
      </c>
      <c r="N59" s="91">
        <f t="shared" si="15"/>
        <v>0.48111640147941781</v>
      </c>
      <c r="P59" s="86">
        <f t="shared" si="6"/>
        <v>234.87755102040799</v>
      </c>
      <c r="Q59" s="47">
        <f t="shared" si="7"/>
        <v>6.6326774079431701</v>
      </c>
      <c r="R59" s="87">
        <f t="shared" si="16"/>
        <v>0.47919282300905502</v>
      </c>
      <c r="S59" s="47">
        <f t="shared" si="8"/>
        <v>0.36765077653901668</v>
      </c>
      <c r="T59" s="88">
        <f t="shared" si="9"/>
        <v>6.6326774079431736</v>
      </c>
      <c r="U59" s="88">
        <f t="shared" si="10"/>
        <v>367.6507765390167</v>
      </c>
      <c r="V59" s="88">
        <f t="shared" si="11"/>
        <v>47.919282300905522</v>
      </c>
    </row>
    <row r="60" spans="1:22" x14ac:dyDescent="0.2">
      <c r="A60" s="80">
        <v>19</v>
      </c>
      <c r="B60" s="81">
        <v>248.69387755101999</v>
      </c>
      <c r="C60" s="82">
        <v>6.5307488919985301</v>
      </c>
      <c r="D60" s="82">
        <v>0.49599895351921802</v>
      </c>
      <c r="E60" s="75">
        <v>0.37142758816346499</v>
      </c>
      <c r="G60" s="89">
        <f t="shared" si="2"/>
        <v>6.5307488919985408</v>
      </c>
      <c r="H60" s="90">
        <f t="shared" si="3"/>
        <v>370.23858168305128</v>
      </c>
      <c r="I60" s="90">
        <f t="shared" si="12"/>
        <v>0.37023858168305129</v>
      </c>
      <c r="J60" s="90">
        <f t="shared" si="4"/>
        <v>49.59989535192183</v>
      </c>
      <c r="K60" s="90">
        <f t="shared" si="13"/>
        <v>0.4959989535192183</v>
      </c>
      <c r="L60" s="90">
        <f t="shared" si="5"/>
        <v>184.40952282675258</v>
      </c>
      <c r="M60" s="90">
        <f t="shared" si="14"/>
        <v>0.37179417722220526</v>
      </c>
      <c r="N60" s="91">
        <f t="shared" si="15"/>
        <v>0.49808294421519617</v>
      </c>
      <c r="P60" s="86">
        <f t="shared" si="6"/>
        <v>248.69387755101997</v>
      </c>
      <c r="Q60" s="47">
        <f t="shared" si="7"/>
        <v>6.5307488919985301</v>
      </c>
      <c r="R60" s="87">
        <f t="shared" si="16"/>
        <v>0.49599895351921802</v>
      </c>
      <c r="S60" s="47">
        <f t="shared" si="8"/>
        <v>0.37023858168305129</v>
      </c>
      <c r="T60" s="88">
        <f t="shared" si="9"/>
        <v>6.5307488919985426</v>
      </c>
      <c r="U60" s="88">
        <f t="shared" si="10"/>
        <v>370.23858168305128</v>
      </c>
      <c r="V60" s="88">
        <f t="shared" si="11"/>
        <v>49.599895351921816</v>
      </c>
    </row>
    <row r="61" spans="1:22" x14ac:dyDescent="0.2">
      <c r="A61" s="80">
        <v>20</v>
      </c>
      <c r="B61" s="81">
        <v>262.51020408163203</v>
      </c>
      <c r="C61" s="82">
        <v>6.4246363331442602</v>
      </c>
      <c r="D61" s="82">
        <v>0.51149332410574599</v>
      </c>
      <c r="E61" s="75">
        <v>0.374008617251672</v>
      </c>
      <c r="G61" s="89">
        <f t="shared" si="2"/>
        <v>6.4246363331442664</v>
      </c>
      <c r="H61" s="90">
        <f t="shared" si="3"/>
        <v>372.84682272944087</v>
      </c>
      <c r="I61" s="90">
        <f t="shared" si="12"/>
        <v>0.37284682272944086</v>
      </c>
      <c r="J61" s="90">
        <f t="shared" si="4"/>
        <v>51.149332410574559</v>
      </c>
      <c r="K61" s="90">
        <f t="shared" si="13"/>
        <v>0.51149332410574555</v>
      </c>
      <c r="L61" s="90">
        <f t="shared" si="5"/>
        <v>191.4917217198672</v>
      </c>
      <c r="M61" s="90">
        <f t="shared" si="14"/>
        <v>0.37437775371683724</v>
      </c>
      <c r="N61" s="91">
        <f t="shared" si="15"/>
        <v>0.51359354578387983</v>
      </c>
      <c r="P61" s="86">
        <f t="shared" si="6"/>
        <v>262.51020408163203</v>
      </c>
      <c r="Q61" s="47">
        <f t="shared" si="7"/>
        <v>6.4246363331442602</v>
      </c>
      <c r="R61" s="87">
        <f t="shared" si="16"/>
        <v>0.51149332410574599</v>
      </c>
      <c r="S61" s="47">
        <f t="shared" si="8"/>
        <v>0.37284682272944086</v>
      </c>
      <c r="T61" s="88">
        <f t="shared" si="9"/>
        <v>6.4246363331442664</v>
      </c>
      <c r="U61" s="88">
        <f t="shared" si="10"/>
        <v>372.84682272944087</v>
      </c>
      <c r="V61" s="88">
        <f t="shared" si="11"/>
        <v>51.149332410574559</v>
      </c>
    </row>
    <row r="62" spans="1:22" x14ac:dyDescent="0.2">
      <c r="A62" s="80">
        <v>21</v>
      </c>
      <c r="B62" s="81">
        <v>276.32653061224403</v>
      </c>
      <c r="C62" s="82">
        <v>6.3150986552950998</v>
      </c>
      <c r="D62" s="82">
        <v>0.52571341323326304</v>
      </c>
      <c r="E62" s="75">
        <v>0.37651345898855298</v>
      </c>
      <c r="G62" s="89">
        <f t="shared" si="2"/>
        <v>6.3150986552951158</v>
      </c>
      <c r="H62" s="90">
        <f t="shared" si="3"/>
        <v>375.48135204780903</v>
      </c>
      <c r="I62" s="90">
        <f t="shared" si="12"/>
        <v>0.37548135204780902</v>
      </c>
      <c r="J62" s="90">
        <f t="shared" si="4"/>
        <v>52.571341323326244</v>
      </c>
      <c r="K62" s="90">
        <f t="shared" si="13"/>
        <v>0.52571341323326248</v>
      </c>
      <c r="L62" s="90">
        <f t="shared" si="5"/>
        <v>198.13353531895825</v>
      </c>
      <c r="M62" s="90">
        <f t="shared" si="14"/>
        <v>0.37688506766527013</v>
      </c>
      <c r="N62" s="91">
        <f t="shared" si="15"/>
        <v>0.52767876284234339</v>
      </c>
      <c r="P62" s="86">
        <f t="shared" si="6"/>
        <v>276.32653061224403</v>
      </c>
      <c r="Q62" s="47">
        <f t="shared" si="7"/>
        <v>6.3150986552950998</v>
      </c>
      <c r="R62" s="87">
        <f t="shared" si="16"/>
        <v>0.52571341323326304</v>
      </c>
      <c r="S62" s="47">
        <f t="shared" si="8"/>
        <v>0.37548135204780902</v>
      </c>
      <c r="T62" s="88">
        <f t="shared" si="9"/>
        <v>6.3150986552951158</v>
      </c>
      <c r="U62" s="88">
        <f t="shared" si="10"/>
        <v>375.48135204780903</v>
      </c>
      <c r="V62" s="88">
        <f t="shared" si="11"/>
        <v>52.571341323326244</v>
      </c>
    </row>
    <row r="63" spans="1:22" x14ac:dyDescent="0.2">
      <c r="A63" s="80">
        <v>22</v>
      </c>
      <c r="B63" s="81">
        <v>290.142857142857</v>
      </c>
      <c r="C63" s="82">
        <v>6.2028347495330296</v>
      </c>
      <c r="D63" s="82">
        <v>0.53869685549883695</v>
      </c>
      <c r="E63" s="75">
        <v>0.37895225299994301</v>
      </c>
      <c r="G63" s="89">
        <f t="shared" si="2"/>
        <v>6.2028347495330305</v>
      </c>
      <c r="H63" s="90">
        <f t="shared" si="3"/>
        <v>378.14505289958839</v>
      </c>
      <c r="I63" s="90">
        <f t="shared" si="12"/>
        <v>0.37814505289958839</v>
      </c>
      <c r="J63" s="90">
        <f t="shared" si="4"/>
        <v>53.869685549883734</v>
      </c>
      <c r="K63" s="90">
        <f t="shared" si="13"/>
        <v>0.53869685549883739</v>
      </c>
      <c r="L63" s="90">
        <f t="shared" si="5"/>
        <v>204.34186815727264</v>
      </c>
      <c r="M63" s="90">
        <f t="shared" si="14"/>
        <v>0.37932626870088287</v>
      </c>
      <c r="N63" s="91">
        <f t="shared" si="15"/>
        <v>0.54037958870648783</v>
      </c>
      <c r="P63" s="86">
        <f t="shared" si="6"/>
        <v>290.142857142857</v>
      </c>
      <c r="Q63" s="47">
        <f t="shared" si="7"/>
        <v>6.2028347495330296</v>
      </c>
      <c r="R63" s="87">
        <f t="shared" si="16"/>
        <v>0.53869685549883695</v>
      </c>
      <c r="S63" s="47">
        <f t="shared" si="8"/>
        <v>0.37814505289958839</v>
      </c>
      <c r="T63" s="88">
        <f t="shared" si="9"/>
        <v>6.2028347495330305</v>
      </c>
      <c r="U63" s="88">
        <f t="shared" si="10"/>
        <v>378.14505289958839</v>
      </c>
      <c r="V63" s="88">
        <f t="shared" si="11"/>
        <v>53.869685549883734</v>
      </c>
    </row>
    <row r="64" spans="1:22" x14ac:dyDescent="0.2">
      <c r="A64" s="80">
        <v>23</v>
      </c>
      <c r="B64" s="81">
        <v>303.959183673469</v>
      </c>
      <c r="C64" s="82">
        <v>6.0884690948099598</v>
      </c>
      <c r="D64" s="82">
        <v>0.55047933480862499</v>
      </c>
      <c r="E64" s="75">
        <v>0.381337218632121</v>
      </c>
      <c r="G64" s="89">
        <f t="shared" si="2"/>
        <v>6.0884690948099678</v>
      </c>
      <c r="H64" s="90">
        <f t="shared" si="3"/>
        <v>380.83783943802024</v>
      </c>
      <c r="I64" s="90">
        <f t="shared" si="12"/>
        <v>0.38083783943802024</v>
      </c>
      <c r="J64" s="90">
        <f t="shared" si="4"/>
        <v>55.047933480862454</v>
      </c>
      <c r="K64" s="90">
        <f t="shared" si="13"/>
        <v>0.55047933480862454</v>
      </c>
      <c r="L64" s="90">
        <f t="shared" si="5"/>
        <v>210.12544213632734</v>
      </c>
      <c r="M64" s="90">
        <f t="shared" si="14"/>
        <v>0.38171358823011575</v>
      </c>
      <c r="N64" s="91">
        <f t="shared" si="15"/>
        <v>0.55174517964495584</v>
      </c>
      <c r="P64" s="86">
        <f t="shared" si="6"/>
        <v>303.959183673469</v>
      </c>
      <c r="Q64" s="47">
        <f t="shared" si="7"/>
        <v>6.0884690948099598</v>
      </c>
      <c r="R64" s="87">
        <f t="shared" si="16"/>
        <v>0.55047933480862499</v>
      </c>
      <c r="S64" s="47">
        <f t="shared" si="8"/>
        <v>0.38083783943802024</v>
      </c>
      <c r="T64" s="88">
        <f t="shared" si="9"/>
        <v>6.0884690948099678</v>
      </c>
      <c r="U64" s="88">
        <f t="shared" si="10"/>
        <v>380.83783943802024</v>
      </c>
      <c r="V64" s="88">
        <f t="shared" si="11"/>
        <v>55.047933480862454</v>
      </c>
    </row>
    <row r="65" spans="1:22" x14ac:dyDescent="0.2">
      <c r="A65" s="80">
        <v>24</v>
      </c>
      <c r="B65" s="81">
        <v>317.775510204081</v>
      </c>
      <c r="C65" s="82">
        <v>5.9725373786506504</v>
      </c>
      <c r="D65" s="82">
        <v>0.56109247755451497</v>
      </c>
      <c r="E65" s="75">
        <v>0.383682237558512</v>
      </c>
      <c r="G65" s="89">
        <f t="shared" si="2"/>
        <v>5.972537378650661</v>
      </c>
      <c r="H65" s="90">
        <f t="shared" si="3"/>
        <v>383.55665670815512</v>
      </c>
      <c r="I65" s="90">
        <f t="shared" si="12"/>
        <v>0.38355665670815514</v>
      </c>
      <c r="J65" s="90">
        <f t="shared" si="4"/>
        <v>56.10924775545147</v>
      </c>
      <c r="K65" s="90">
        <f t="shared" si="13"/>
        <v>0.56109247755451475</v>
      </c>
      <c r="L65" s="90">
        <f t="shared" si="5"/>
        <v>215.49369404769627</v>
      </c>
      <c r="M65" s="90">
        <f t="shared" si="14"/>
        <v>0.38406092162723621</v>
      </c>
      <c r="N65" s="91">
        <f t="shared" si="15"/>
        <v>0.56183015019776728</v>
      </c>
      <c r="P65" s="86">
        <f t="shared" si="6"/>
        <v>317.775510204081</v>
      </c>
      <c r="Q65" s="47">
        <f t="shared" si="7"/>
        <v>5.9725373786506504</v>
      </c>
      <c r="R65" s="87">
        <f t="shared" si="16"/>
        <v>0.56109247755451497</v>
      </c>
      <c r="S65" s="47">
        <f t="shared" si="8"/>
        <v>0.38355665670815514</v>
      </c>
      <c r="T65" s="88">
        <f t="shared" si="9"/>
        <v>5.972537378650661</v>
      </c>
      <c r="U65" s="88">
        <f t="shared" si="10"/>
        <v>383.55665670815512</v>
      </c>
      <c r="V65" s="88">
        <f t="shared" si="11"/>
        <v>56.10924775545147</v>
      </c>
    </row>
    <row r="66" spans="1:22" x14ac:dyDescent="0.2">
      <c r="A66" s="80">
        <v>25</v>
      </c>
      <c r="B66" s="81">
        <v>331.591836734693</v>
      </c>
      <c r="C66" s="82">
        <v>5.8554721178554399</v>
      </c>
      <c r="D66" s="82">
        <v>0.57056174579077701</v>
      </c>
      <c r="E66" s="75">
        <v>0.38600233930162697</v>
      </c>
      <c r="G66" s="89">
        <f t="shared" si="2"/>
        <v>5.8554721178554532</v>
      </c>
      <c r="H66" s="90">
        <f t="shared" si="3"/>
        <v>386.29548064685264</v>
      </c>
      <c r="I66" s="90">
        <f t="shared" si="12"/>
        <v>0.38629548064685265</v>
      </c>
      <c r="J66" s="90">
        <f t="shared" si="4"/>
        <v>57.05617457907762</v>
      </c>
      <c r="K66" s="90">
        <f t="shared" si="13"/>
        <v>0.57056174579077623</v>
      </c>
      <c r="L66" s="90">
        <f t="shared" si="5"/>
        <v>220.45553775148232</v>
      </c>
      <c r="M66" s="90">
        <f t="shared" si="14"/>
        <v>0.38638331324848912</v>
      </c>
      <c r="N66" s="91">
        <f t="shared" si="15"/>
        <v>0.57069147529846598</v>
      </c>
      <c r="P66" s="86">
        <f t="shared" si="6"/>
        <v>331.591836734693</v>
      </c>
      <c r="Q66" s="47">
        <f t="shared" si="7"/>
        <v>5.8554721178554399</v>
      </c>
      <c r="R66" s="87">
        <f t="shared" si="16"/>
        <v>0.57056174579077701</v>
      </c>
      <c r="S66" s="47">
        <f t="shared" si="8"/>
        <v>0.38629548064685265</v>
      </c>
      <c r="T66" s="88">
        <f t="shared" si="9"/>
        <v>5.8554721178554532</v>
      </c>
      <c r="U66" s="88">
        <f t="shared" si="10"/>
        <v>386.29548064685264</v>
      </c>
      <c r="V66" s="88">
        <f t="shared" si="11"/>
        <v>57.05617457907762</v>
      </c>
    </row>
    <row r="67" spans="1:22" x14ac:dyDescent="0.2">
      <c r="A67" s="80">
        <v>26</v>
      </c>
      <c r="B67" s="81">
        <v>345.40816326530597</v>
      </c>
      <c r="C67" s="82">
        <v>5.7375882792030897</v>
      </c>
      <c r="D67" s="82">
        <v>0.57890433041070199</v>
      </c>
      <c r="E67" s="75">
        <v>0.38831307949083499</v>
      </c>
      <c r="G67" s="89">
        <f t="shared" si="2"/>
        <v>5.7375882792030977</v>
      </c>
      <c r="H67" s="90">
        <f t="shared" si="3"/>
        <v>389.04531808278125</v>
      </c>
      <c r="I67" s="90">
        <f t="shared" si="12"/>
        <v>0.38904531808278126</v>
      </c>
      <c r="J67" s="90">
        <f t="shared" si="4"/>
        <v>57.89043304107026</v>
      </c>
      <c r="K67" s="90">
        <f t="shared" si="13"/>
        <v>0.57890433041070255</v>
      </c>
      <c r="L67" s="90">
        <f t="shared" si="5"/>
        <v>225.01799101149737</v>
      </c>
      <c r="M67" s="90">
        <f t="shared" si="14"/>
        <v>0.38869633407623466</v>
      </c>
      <c r="N67" s="91">
        <f t="shared" si="15"/>
        <v>0.57838503781612904</v>
      </c>
      <c r="P67" s="86">
        <f t="shared" si="6"/>
        <v>345.40816326530597</v>
      </c>
      <c r="Q67" s="47">
        <f t="shared" si="7"/>
        <v>5.7375882792030897</v>
      </c>
      <c r="R67" s="87">
        <f t="shared" si="16"/>
        <v>0.57890433041070199</v>
      </c>
      <c r="S67" s="47">
        <f t="shared" si="8"/>
        <v>0.38904531808278126</v>
      </c>
      <c r="T67" s="88">
        <f t="shared" si="9"/>
        <v>5.7375882792030977</v>
      </c>
      <c r="U67" s="88">
        <f t="shared" si="10"/>
        <v>389.04531808278125</v>
      </c>
      <c r="V67" s="88">
        <f t="shared" si="11"/>
        <v>57.89043304107026</v>
      </c>
    </row>
    <row r="68" spans="1:22" x14ac:dyDescent="0.2">
      <c r="A68" s="80">
        <v>27</v>
      </c>
      <c r="B68" s="81">
        <v>359.22448979591798</v>
      </c>
      <c r="C68" s="82">
        <v>5.6190689001535796</v>
      </c>
      <c r="D68" s="82">
        <v>0.58612704432325402</v>
      </c>
      <c r="E68" s="75">
        <v>0.39062980137666797</v>
      </c>
      <c r="G68" s="89">
        <f t="shared" si="2"/>
        <v>5.6190689001535832</v>
      </c>
      <c r="H68" s="90">
        <f t="shared" si="3"/>
        <v>391.794206736418</v>
      </c>
      <c r="I68" s="90">
        <f t="shared" si="12"/>
        <v>0.39179420673641802</v>
      </c>
      <c r="J68" s="90">
        <f t="shared" si="4"/>
        <v>58.612704432325401</v>
      </c>
      <c r="K68" s="90">
        <f t="shared" si="13"/>
        <v>0.58612704432325402</v>
      </c>
      <c r="L68" s="90">
        <f t="shared" si="5"/>
        <v>229.18466698713542</v>
      </c>
      <c r="M68" s="90">
        <f t="shared" si="14"/>
        <v>0.39101534250437714</v>
      </c>
      <c r="N68" s="91">
        <f t="shared" si="15"/>
        <v>0.58496185764513065</v>
      </c>
      <c r="P68" s="86">
        <f t="shared" si="6"/>
        <v>359.22448979591798</v>
      </c>
      <c r="Q68" s="47">
        <f t="shared" si="7"/>
        <v>5.6190689001535796</v>
      </c>
      <c r="R68" s="87">
        <f t="shared" si="16"/>
        <v>0.58612704432325402</v>
      </c>
      <c r="S68" s="47">
        <f t="shared" si="8"/>
        <v>0.39179420673641802</v>
      </c>
      <c r="T68" s="88">
        <f t="shared" si="9"/>
        <v>5.6190689001535832</v>
      </c>
      <c r="U68" s="88">
        <f t="shared" si="10"/>
        <v>391.794206736418</v>
      </c>
      <c r="V68" s="88">
        <f t="shared" si="11"/>
        <v>58.612704432325401</v>
      </c>
    </row>
    <row r="69" spans="1:22" x14ac:dyDescent="0.2">
      <c r="A69" s="80">
        <v>28</v>
      </c>
      <c r="B69" s="81">
        <v>373.04081632652998</v>
      </c>
      <c r="C69" s="82">
        <v>5.4999507095508999</v>
      </c>
      <c r="D69" s="82">
        <v>0.59222421562970795</v>
      </c>
      <c r="E69" s="75">
        <v>0.39296677080645998</v>
      </c>
      <c r="G69" s="89">
        <f t="shared" si="2"/>
        <v>5.4999507095509106</v>
      </c>
      <c r="H69" s="90">
        <f t="shared" si="3"/>
        <v>394.52721522004964</v>
      </c>
      <c r="I69" s="90">
        <f t="shared" si="12"/>
        <v>0.39452721522004963</v>
      </c>
      <c r="J69" s="90">
        <f t="shared" si="4"/>
        <v>59.222421562970787</v>
      </c>
      <c r="K69" s="90">
        <f t="shared" si="13"/>
        <v>0.59222421562970784</v>
      </c>
      <c r="L69" s="90">
        <f t="shared" si="5"/>
        <v>232.95413038195153</v>
      </c>
      <c r="M69" s="90">
        <f t="shared" si="14"/>
        <v>0.39335461846026182</v>
      </c>
      <c r="N69" s="91">
        <f t="shared" si="15"/>
        <v>0.59046403237865386</v>
      </c>
      <c r="P69" s="86">
        <f t="shared" si="6"/>
        <v>373.04081632652998</v>
      </c>
      <c r="Q69" s="47">
        <f t="shared" si="7"/>
        <v>5.4999507095508999</v>
      </c>
      <c r="R69" s="87">
        <f t="shared" si="16"/>
        <v>0.59222421562970795</v>
      </c>
      <c r="S69" s="47">
        <f t="shared" si="8"/>
        <v>0.39452721522004963</v>
      </c>
      <c r="T69" s="88">
        <f t="shared" si="9"/>
        <v>5.4999507095509106</v>
      </c>
      <c r="U69" s="88">
        <f t="shared" si="10"/>
        <v>394.52721522004964</v>
      </c>
      <c r="V69" s="88">
        <f t="shared" si="11"/>
        <v>59.222421562970787</v>
      </c>
    </row>
    <row r="70" spans="1:22" x14ac:dyDescent="0.2">
      <c r="A70" s="80">
        <v>29</v>
      </c>
      <c r="B70" s="81">
        <v>386.85714285714198</v>
      </c>
      <c r="C70" s="82">
        <v>5.3801097483259097</v>
      </c>
      <c r="D70" s="82">
        <v>0.59717558080029998</v>
      </c>
      <c r="E70" s="75">
        <v>0.39533617276840999</v>
      </c>
      <c r="G70" s="89">
        <f t="shared" si="2"/>
        <v>5.3801097483259177</v>
      </c>
      <c r="H70" s="90">
        <f t="shared" si="3"/>
        <v>397.22644303777133</v>
      </c>
      <c r="I70" s="90">
        <f t="shared" si="12"/>
        <v>0.39722644303777133</v>
      </c>
      <c r="J70" s="90">
        <f t="shared" si="4"/>
        <v>59.717558080030017</v>
      </c>
      <c r="K70" s="90">
        <f t="shared" si="13"/>
        <v>0.5971755808003002</v>
      </c>
      <c r="L70" s="90">
        <f t="shared" si="5"/>
        <v>236.31811824893626</v>
      </c>
      <c r="M70" s="90">
        <f t="shared" si="14"/>
        <v>0.39572635895834246</v>
      </c>
      <c r="N70" s="91">
        <f t="shared" si="15"/>
        <v>0.59492040973331006</v>
      </c>
      <c r="P70" s="86">
        <f t="shared" si="6"/>
        <v>386.85714285714198</v>
      </c>
      <c r="Q70" s="47">
        <f t="shared" si="7"/>
        <v>5.3801097483259097</v>
      </c>
      <c r="R70" s="87">
        <f t="shared" si="16"/>
        <v>0.59717558080029998</v>
      </c>
      <c r="S70" s="47">
        <f t="shared" si="8"/>
        <v>0.39722644303777133</v>
      </c>
      <c r="T70" s="88">
        <f t="shared" si="9"/>
        <v>5.3801097483259177</v>
      </c>
      <c r="U70" s="88">
        <f t="shared" si="10"/>
        <v>397.22644303777133</v>
      </c>
      <c r="V70" s="88">
        <f t="shared" si="11"/>
        <v>59.717558080030017</v>
      </c>
    </row>
    <row r="71" spans="1:22" x14ac:dyDescent="0.2">
      <c r="A71" s="80">
        <v>30</v>
      </c>
      <c r="B71" s="81">
        <v>400.67346938775501</v>
      </c>
      <c r="C71" s="82">
        <v>5.2592469901990704</v>
      </c>
      <c r="D71" s="82">
        <v>0.60094417785087295</v>
      </c>
      <c r="E71" s="75">
        <v>0.39774695266472199</v>
      </c>
      <c r="G71" s="89">
        <f t="shared" si="2"/>
        <v>5.2592469901990722</v>
      </c>
      <c r="H71" s="90">
        <f t="shared" si="3"/>
        <v>399.8710205854876</v>
      </c>
      <c r="I71" s="90">
        <f t="shared" si="12"/>
        <v>0.39987102058548762</v>
      </c>
      <c r="J71" s="90">
        <f t="shared" si="4"/>
        <v>60.094417785087323</v>
      </c>
      <c r="K71" s="90">
        <f t="shared" si="13"/>
        <v>0.60094417785087328</v>
      </c>
      <c r="L71" s="90">
        <f t="shared" si="5"/>
        <v>239.25962545248805</v>
      </c>
      <c r="M71" s="90">
        <f t="shared" si="14"/>
        <v>0.39813951822969706</v>
      </c>
      <c r="N71" s="91">
        <f t="shared" si="15"/>
        <v>0.59834199813271349</v>
      </c>
      <c r="P71" s="86">
        <f t="shared" si="6"/>
        <v>400.67346938775501</v>
      </c>
      <c r="Q71" s="47">
        <f t="shared" si="7"/>
        <v>5.2592469901990704</v>
      </c>
      <c r="R71" s="87">
        <f t="shared" si="16"/>
        <v>0.60094417785087295</v>
      </c>
      <c r="S71" s="47">
        <f t="shared" si="8"/>
        <v>0.39987102058548762</v>
      </c>
      <c r="T71" s="88">
        <f t="shared" si="9"/>
        <v>5.2592469901990722</v>
      </c>
      <c r="U71" s="88">
        <f t="shared" si="10"/>
        <v>399.8710205854876</v>
      </c>
      <c r="V71" s="88">
        <f t="shared" si="11"/>
        <v>60.094417785087323</v>
      </c>
    </row>
    <row r="72" spans="1:22" x14ac:dyDescent="0.2">
      <c r="A72" s="80">
        <v>31</v>
      </c>
      <c r="B72" s="81">
        <v>414.48979591836701</v>
      </c>
      <c r="C72" s="82">
        <v>5.1368739623833202</v>
      </c>
      <c r="D72" s="82">
        <v>0.60347423951951795</v>
      </c>
      <c r="E72" s="75">
        <v>0.40020347618575602</v>
      </c>
      <c r="G72" s="89">
        <f t="shared" si="2"/>
        <v>5.1368739623833273</v>
      </c>
      <c r="H72" s="90">
        <f t="shared" si="3"/>
        <v>402.43710915091145</v>
      </c>
      <c r="I72" s="90">
        <f t="shared" si="12"/>
        <v>0.40243710915091147</v>
      </c>
      <c r="J72" s="90">
        <f t="shared" si="4"/>
        <v>60.347423951951825</v>
      </c>
      <c r="K72" s="90">
        <f t="shared" si="13"/>
        <v>0.60347423951951829</v>
      </c>
      <c r="L72" s="90">
        <f t="shared" si="5"/>
        <v>241.75085478708675</v>
      </c>
      <c r="M72" s="90">
        <f t="shared" si="14"/>
        <v>0.4005984662735016</v>
      </c>
      <c r="N72" s="91">
        <f t="shared" si="15"/>
        <v>0.60071710408900603</v>
      </c>
      <c r="P72" s="86">
        <f t="shared" si="6"/>
        <v>414.48979591836701</v>
      </c>
      <c r="Q72" s="47">
        <f t="shared" si="7"/>
        <v>5.1368739623833202</v>
      </c>
      <c r="R72" s="87">
        <f t="shared" si="16"/>
        <v>0.60347423951951795</v>
      </c>
      <c r="S72" s="47">
        <f t="shared" si="8"/>
        <v>0.40243710915091147</v>
      </c>
      <c r="T72" s="88">
        <f t="shared" si="9"/>
        <v>5.1368739623833273</v>
      </c>
      <c r="U72" s="88">
        <f t="shared" si="10"/>
        <v>402.43710915091145</v>
      </c>
      <c r="V72" s="88">
        <f t="shared" si="11"/>
        <v>60.347423951951825</v>
      </c>
    </row>
    <row r="73" spans="1:22" x14ac:dyDescent="0.2">
      <c r="A73" s="80">
        <v>32</v>
      </c>
      <c r="B73" s="81">
        <v>428.30612244897901</v>
      </c>
      <c r="C73" s="82">
        <v>5.0122983662868501</v>
      </c>
      <c r="D73" s="82">
        <v>0.60468908644322295</v>
      </c>
      <c r="E73" s="75">
        <v>0.40270396588053098</v>
      </c>
      <c r="G73" s="89">
        <f t="shared" si="2"/>
        <v>5.0122983662868581</v>
      </c>
      <c r="H73" s="90">
        <f t="shared" si="3"/>
        <v>404.89790091356525</v>
      </c>
      <c r="I73" s="90">
        <f t="shared" si="12"/>
        <v>0.40489790091356526</v>
      </c>
      <c r="J73" s="90">
        <f t="shared" si="4"/>
        <v>60.468908644322305</v>
      </c>
      <c r="K73" s="90">
        <f t="shared" si="13"/>
        <v>0.60468908644322306</v>
      </c>
      <c r="L73" s="90">
        <f t="shared" si="5"/>
        <v>243.75103175266912</v>
      </c>
      <c r="M73" s="90">
        <f t="shared" si="14"/>
        <v>0.40310142388448084</v>
      </c>
      <c r="N73" s="91">
        <f t="shared" si="15"/>
        <v>0.60200616304183652</v>
      </c>
      <c r="P73" s="86">
        <f t="shared" si="6"/>
        <v>428.30612244897901</v>
      </c>
      <c r="Q73" s="47">
        <f t="shared" si="7"/>
        <v>5.0122983662868501</v>
      </c>
      <c r="R73" s="87">
        <f t="shared" si="16"/>
        <v>0.60468908644322295</v>
      </c>
      <c r="S73" s="47">
        <f t="shared" si="8"/>
        <v>0.40489790091356526</v>
      </c>
      <c r="T73" s="88">
        <f t="shared" si="9"/>
        <v>5.0122983662868581</v>
      </c>
      <c r="U73" s="88">
        <f t="shared" si="10"/>
        <v>404.89790091356525</v>
      </c>
      <c r="V73" s="88">
        <f t="shared" si="11"/>
        <v>60.468908644322305</v>
      </c>
    </row>
    <row r="74" spans="1:22" x14ac:dyDescent="0.2">
      <c r="A74" s="80">
        <v>33</v>
      </c>
      <c r="B74" s="81">
        <v>442.12244897959101</v>
      </c>
      <c r="C74" s="82">
        <v>4.8846096982158898</v>
      </c>
      <c r="D74" s="82">
        <v>0.60448902033451601</v>
      </c>
      <c r="E74" s="75">
        <v>0.405238647054876</v>
      </c>
      <c r="G74" s="89">
        <f t="shared" ref="G74:G91" si="17">Напор0+Напор1*Подача_пласт_м3_сут+Напор2*Подача_пласт_м3_сут^2 + Напор3*Подача_пласт_м3_сут^3+Напор4*Подача_пласт_м3_сут^4+Напор5*Подача_пласт_м3_сут^5+Напор6*Подача_пласт_м3_сут^6+Напор7*Подача_пласт_м3_сут^7+Напор8*Подача_пласт_м3_сут^8+Напор9*Подача_пласт_м3_сут^9+Напор10*Подача_пласт_м3_сут^10</f>
        <v>4.8846096982159093</v>
      </c>
      <c r="H74" s="90">
        <f t="shared" ref="H74:H91" si="18">Мощность0+Мощность1*Подача_пласт_м3_сут+Мощность2*Подача_пласт_м3_сут^2 + Мощность3*Подача_пласт_м3_сут^3+Мощность4*Подача_пласт_м3_сут^4+Мощность5*Подача_пласт_м3_сут^5+Мощность6*Подача_пласт_м3_сут^6+Мощность7*Подача_пласт_м3_сут^7+Мощность8*Подача_пласт_м3_сут^8+Мощность9*Подача_пласт_м3_сут^9+Мощность10*Подача_пласт_м3_сут^10</f>
        <v>407.22361894478036</v>
      </c>
      <c r="I74" s="90">
        <f t="shared" si="12"/>
        <v>0.40722361894478037</v>
      </c>
      <c r="J74" s="90">
        <f t="shared" ref="J74:J91" si="19">К.П.Д.0+К.П.Д.1*Подача_пласт_м3_сут+К.П.Д.2*Подача_пласт_м3_сут^2 + К.П.Д.3*Подача_пласт_м3_сут^3+К.П.Д.4*Подача_пласт_м3_сут^4+К.П.Д.5*Подача_пласт_м3_сут^5+К.П.Д.6*Подача_пласт_м3_сут^6+К.П.Д.7*Подача_пласт_м3_сут^7+К.П.Д.8*Подача_пласт_м3_сут^8+К.П.Д.9*Подача_пласт_м3_сут^9+К.П.Д.10*Подача_пласт_м3_сут^10</f>
        <v>60.448902033451617</v>
      </c>
      <c r="K74" s="90">
        <f t="shared" si="13"/>
        <v>0.60448902033451613</v>
      </c>
      <c r="L74" s="90">
        <f t="shared" ref="L74:L91" si="20">Подача_пласт_м3_сут*Напор_м*9.81*1000/86400</f>
        <v>245.20408398669693</v>
      </c>
      <c r="M74" s="90">
        <f t="shared" si="14"/>
        <v>0.40563860672110186</v>
      </c>
      <c r="N74" s="91">
        <f t="shared" si="15"/>
        <v>0.60213620374496668</v>
      </c>
      <c r="P74" s="86">
        <f t="shared" ref="P74:P91" si="21">Подача_пласт_м3_сут*f_50_hz/f_nom</f>
        <v>442.12244897959101</v>
      </c>
      <c r="Q74" s="47">
        <f t="shared" ref="Q74:Q91" si="22">Напор_м*(f_50_hz/f_nom)^2</f>
        <v>4.8846096982158898</v>
      </c>
      <c r="R74" s="87">
        <f t="shared" si="16"/>
        <v>0.60448902033451601</v>
      </c>
      <c r="S74" s="47">
        <f t="shared" ref="S74:S91" si="23">I74*(f_50_hz/f_nom)^3</f>
        <v>0.40722361894478037</v>
      </c>
      <c r="T74" s="88">
        <f t="shared" ref="T74:T91" si="24">$C$5+$C$6*Подача_f50_+$C$7*Подача_f50_^2 + $C$8*Подача_f50_^3+$C$9*Подача_f50_^4+$C$10*Подача_f50_^5+$C$11*Подача_f50_^6+$C$12*Подача_f50_^7+$C$13*Подача_f50_^8+$C$14*Подача_f50_^9+$C$15*Подача_f50_^10</f>
        <v>4.8846096982159093</v>
      </c>
      <c r="U74" s="88">
        <f t="shared" ref="U74:U91" si="25">$C$16+$C$17*Подача_f50_+$C$18*Подача_f50_^2 + $C$19*Подача_f50_^3+$C$20*Подача_f50_^4+$C$21*Подача_f50_^5+$C$22*Подача_f50_^6+$C$23*Подача_f50_^7+$C$24*Подача_f50_^8+$C$25*Подача_f50_^9+$C$26*Подача_f50_^10</f>
        <v>407.22361894478036</v>
      </c>
      <c r="V74" s="88">
        <f t="shared" ref="V74:V91" si="26">$C$27+$C$28*Подача_f50_+$C$29*Подача_f50_^2 + $C$30*Подача_f50_^3+$C$31*Подача_f50_^4+$C$32*Подача_f50_^5+$C$33*Подача_f50_^6+$C$34*Подача_f50_^7+$C$35*Подача_f50_^8+$C$36*Подача_f50_^9+$C$37*Подача_f50_^10</f>
        <v>60.448902033451617</v>
      </c>
    </row>
    <row r="75" spans="1:22" x14ac:dyDescent="0.2">
      <c r="A75" s="80">
        <v>34</v>
      </c>
      <c r="B75" s="81">
        <v>455.93877551020398</v>
      </c>
      <c r="C75" s="82">
        <v>4.7526648700775898</v>
      </c>
      <c r="D75" s="82">
        <v>0.60274921715811203</v>
      </c>
      <c r="E75" s="75">
        <v>0.40778749549117799</v>
      </c>
      <c r="G75" s="89">
        <f t="shared" si="17"/>
        <v>4.7526648700775933</v>
      </c>
      <c r="H75" s="90">
        <f t="shared" si="18"/>
        <v>409.38151720769702</v>
      </c>
      <c r="I75" s="90">
        <f t="shared" si="12"/>
        <v>0.409381517207697</v>
      </c>
      <c r="J75" s="90">
        <f t="shared" si="19"/>
        <v>60.274921715811246</v>
      </c>
      <c r="K75" s="90">
        <f t="shared" si="13"/>
        <v>0.60274921715811247</v>
      </c>
      <c r="L75" s="90">
        <f t="shared" si="20"/>
        <v>246.0361853529331</v>
      </c>
      <c r="M75" s="90">
        <f t="shared" si="14"/>
        <v>0.40818997080238956</v>
      </c>
      <c r="N75" s="91">
        <f t="shared" si="15"/>
        <v>0.60099485446019363</v>
      </c>
      <c r="P75" s="86">
        <f t="shared" si="21"/>
        <v>455.93877551020398</v>
      </c>
      <c r="Q75" s="47">
        <f t="shared" si="22"/>
        <v>4.7526648700775898</v>
      </c>
      <c r="R75" s="87">
        <f t="shared" si="16"/>
        <v>0.60274921715811203</v>
      </c>
      <c r="S75" s="47">
        <f t="shared" si="23"/>
        <v>0.409381517207697</v>
      </c>
      <c r="T75" s="88">
        <f t="shared" si="24"/>
        <v>4.7526648700775933</v>
      </c>
      <c r="U75" s="88">
        <f t="shared" si="25"/>
        <v>409.38151720769702</v>
      </c>
      <c r="V75" s="88">
        <f t="shared" si="26"/>
        <v>60.274921715811246</v>
      </c>
    </row>
    <row r="76" spans="1:22" x14ac:dyDescent="0.2">
      <c r="A76" s="80">
        <v>35</v>
      </c>
      <c r="B76" s="81">
        <v>469.75510204081598</v>
      </c>
      <c r="C76" s="82">
        <v>4.6150738300827099</v>
      </c>
      <c r="D76" s="82">
        <v>0.59931762030755797</v>
      </c>
      <c r="E76" s="75">
        <v>0.41031741656507098</v>
      </c>
      <c r="G76" s="89">
        <f t="shared" si="17"/>
        <v>4.6150738300827214</v>
      </c>
      <c r="H76" s="90">
        <f t="shared" si="18"/>
        <v>411.33588055726426</v>
      </c>
      <c r="I76" s="90">
        <f t="shared" si="12"/>
        <v>0.41133588055726428</v>
      </c>
      <c r="J76" s="90">
        <f t="shared" si="19"/>
        <v>59.931762030755849</v>
      </c>
      <c r="K76" s="90">
        <f t="shared" si="13"/>
        <v>0.59931762030755853</v>
      </c>
      <c r="L76" s="90">
        <f t="shared" si="20"/>
        <v>246.15316468690409</v>
      </c>
      <c r="M76" s="90">
        <f t="shared" si="14"/>
        <v>0.41072238884046647</v>
      </c>
      <c r="N76" s="91">
        <f t="shared" si="15"/>
        <v>0.59842376102328809</v>
      </c>
      <c r="P76" s="86">
        <f t="shared" si="21"/>
        <v>469.75510204081598</v>
      </c>
      <c r="Q76" s="47">
        <f t="shared" si="22"/>
        <v>4.6150738300827099</v>
      </c>
      <c r="R76" s="87">
        <f t="shared" si="16"/>
        <v>0.59931762030755797</v>
      </c>
      <c r="S76" s="47">
        <f t="shared" si="23"/>
        <v>0.41133588055726428</v>
      </c>
      <c r="T76" s="88">
        <f t="shared" si="24"/>
        <v>4.6150738300827214</v>
      </c>
      <c r="U76" s="88">
        <f t="shared" si="25"/>
        <v>411.33588055726426</v>
      </c>
      <c r="V76" s="88">
        <f t="shared" si="26"/>
        <v>59.931762030755849</v>
      </c>
    </row>
    <row r="77" spans="1:22" x14ac:dyDescent="0.2">
      <c r="A77" s="80">
        <v>36</v>
      </c>
      <c r="B77" s="81">
        <v>483.57142857142799</v>
      </c>
      <c r="C77" s="82">
        <v>4.4701851834485602</v>
      </c>
      <c r="D77" s="82">
        <v>0.59401283378187597</v>
      </c>
      <c r="E77" s="75">
        <v>0.41277858592164202</v>
      </c>
      <c r="G77" s="89">
        <f t="shared" si="17"/>
        <v>4.4701851834485682</v>
      </c>
      <c r="H77" s="90">
        <f t="shared" si="18"/>
        <v>413.04802474024029</v>
      </c>
      <c r="I77" s="90">
        <f t="shared" si="12"/>
        <v>0.41304802474024027</v>
      </c>
      <c r="J77" s="90">
        <f t="shared" si="19"/>
        <v>59.401283378187685</v>
      </c>
      <c r="K77" s="90">
        <f t="shared" si="13"/>
        <v>0.59401283378187686</v>
      </c>
      <c r="L77" s="90">
        <f t="shared" si="20"/>
        <v>245.4377791980798</v>
      </c>
      <c r="M77" s="90">
        <f t="shared" si="14"/>
        <v>0.41318598730512485</v>
      </c>
      <c r="N77" s="91">
        <f t="shared" si="15"/>
        <v>0.59421124057531061</v>
      </c>
      <c r="P77" s="86">
        <f t="shared" si="21"/>
        <v>483.57142857142799</v>
      </c>
      <c r="Q77" s="47">
        <f t="shared" si="22"/>
        <v>4.4701851834485602</v>
      </c>
      <c r="R77" s="87">
        <f t="shared" si="16"/>
        <v>0.59401283378187597</v>
      </c>
      <c r="S77" s="47">
        <f t="shared" si="23"/>
        <v>0.41304802474024027</v>
      </c>
      <c r="T77" s="88">
        <f t="shared" si="24"/>
        <v>4.4701851834485682</v>
      </c>
      <c r="U77" s="88">
        <f t="shared" si="25"/>
        <v>413.04802474024029</v>
      </c>
      <c r="V77" s="88">
        <f t="shared" si="26"/>
        <v>59.401283378187685</v>
      </c>
    </row>
    <row r="78" spans="1:22" x14ac:dyDescent="0.2">
      <c r="A78" s="80">
        <v>37</v>
      </c>
      <c r="B78" s="81">
        <v>497.38775510203999</v>
      </c>
      <c r="C78" s="82">
        <v>4.31607181310169</v>
      </c>
      <c r="D78" s="82">
        <v>0.58662201536221303</v>
      </c>
      <c r="E78" s="75">
        <v>0.41509952193285199</v>
      </c>
      <c r="G78" s="89">
        <f t="shared" si="17"/>
        <v>4.3160718131017068</v>
      </c>
      <c r="H78" s="90">
        <f t="shared" si="18"/>
        <v>414.47629639519249</v>
      </c>
      <c r="I78" s="90">
        <f t="shared" si="12"/>
        <v>0.41447629639519251</v>
      </c>
      <c r="J78" s="90">
        <f t="shared" si="19"/>
        <v>58.662201536221446</v>
      </c>
      <c r="K78" s="90">
        <f t="shared" si="13"/>
        <v>0.58662201536221448</v>
      </c>
      <c r="L78" s="90">
        <f t="shared" si="20"/>
        <v>243.74685252873402</v>
      </c>
      <c r="M78" s="90">
        <f t="shared" si="14"/>
        <v>0.41550921401787239</v>
      </c>
      <c r="N78" s="91">
        <f t="shared" si="15"/>
        <v>0.58808393784798652</v>
      </c>
      <c r="P78" s="86">
        <f t="shared" si="21"/>
        <v>497.38775510203993</v>
      </c>
      <c r="Q78" s="47">
        <f t="shared" si="22"/>
        <v>4.31607181310169</v>
      </c>
      <c r="R78" s="87">
        <f t="shared" si="16"/>
        <v>0.58662201536221303</v>
      </c>
      <c r="S78" s="47">
        <f t="shared" si="23"/>
        <v>0.41447629639519251</v>
      </c>
      <c r="T78" s="88">
        <f t="shared" si="24"/>
        <v>4.3160718131017104</v>
      </c>
      <c r="U78" s="88">
        <f t="shared" si="25"/>
        <v>414.47629639519249</v>
      </c>
      <c r="V78" s="88">
        <f t="shared" si="26"/>
        <v>58.66220153622136</v>
      </c>
    </row>
    <row r="79" spans="1:22" x14ac:dyDescent="0.2">
      <c r="A79" s="80">
        <v>38</v>
      </c>
      <c r="B79" s="81">
        <v>511.20408163265301</v>
      </c>
      <c r="C79" s="82">
        <v>4.1505165003807898</v>
      </c>
      <c r="D79" s="82">
        <v>0.57689876978847898</v>
      </c>
      <c r="E79" s="75">
        <v>0.417180196096061</v>
      </c>
      <c r="G79" s="89">
        <f t="shared" si="17"/>
        <v>4.1505165003807978</v>
      </c>
      <c r="H79" s="90">
        <f t="shared" si="18"/>
        <v>415.57607305249667</v>
      </c>
      <c r="I79" s="90">
        <f t="shared" si="12"/>
        <v>0.41557607305249666</v>
      </c>
      <c r="J79" s="90">
        <f t="shared" si="19"/>
        <v>57.689876978847977</v>
      </c>
      <c r="K79" s="90">
        <f t="shared" si="13"/>
        <v>0.57689876978847976</v>
      </c>
      <c r="L79" s="90">
        <f t="shared" si="20"/>
        <v>240.90827746951928</v>
      </c>
      <c r="M79" s="90">
        <f t="shared" si="14"/>
        <v>0.41759194175062708</v>
      </c>
      <c r="N79" s="91">
        <f t="shared" si="15"/>
        <v>0.57969717962825806</v>
      </c>
      <c r="P79" s="86">
        <f t="shared" si="21"/>
        <v>511.20408163265301</v>
      </c>
      <c r="Q79" s="47">
        <f t="shared" si="22"/>
        <v>4.1505165003807898</v>
      </c>
      <c r="R79" s="87">
        <f t="shared" si="16"/>
        <v>0.57689876978847898</v>
      </c>
      <c r="S79" s="47">
        <f t="shared" si="23"/>
        <v>0.41557607305249666</v>
      </c>
      <c r="T79" s="88">
        <f t="shared" si="24"/>
        <v>4.1505165003807978</v>
      </c>
      <c r="U79" s="88">
        <f t="shared" si="25"/>
        <v>415.57607305249667</v>
      </c>
      <c r="V79" s="88">
        <f t="shared" si="26"/>
        <v>57.689876978847977</v>
      </c>
    </row>
    <row r="80" spans="1:22" x14ac:dyDescent="0.2">
      <c r="A80" s="80">
        <v>39</v>
      </c>
      <c r="B80" s="81">
        <v>525.02040816326496</v>
      </c>
      <c r="C80" s="82">
        <v>3.9709975457394302</v>
      </c>
      <c r="D80" s="82">
        <v>0.56456104193600098</v>
      </c>
      <c r="E80" s="75">
        <v>0.41888203742824098</v>
      </c>
      <c r="G80" s="89">
        <f t="shared" si="17"/>
        <v>3.97099754573944</v>
      </c>
      <c r="H80" s="90">
        <f t="shared" si="18"/>
        <v>416.29976313433804</v>
      </c>
      <c r="I80" s="90">
        <f t="shared" si="12"/>
        <v>0.41629976313433803</v>
      </c>
      <c r="J80" s="90">
        <f t="shared" si="19"/>
        <v>56.456104193600225</v>
      </c>
      <c r="K80" s="90">
        <f t="shared" si="13"/>
        <v>0.56456104193600221</v>
      </c>
      <c r="L80" s="90">
        <f t="shared" si="20"/>
        <v>236.71788333172799</v>
      </c>
      <c r="M80" s="90">
        <f t="shared" si="14"/>
        <v>0.4192954627545164</v>
      </c>
      <c r="N80" s="91">
        <f t="shared" si="15"/>
        <v>0.56862363204213551</v>
      </c>
      <c r="P80" s="86">
        <f t="shared" si="21"/>
        <v>525.02040816326496</v>
      </c>
      <c r="Q80" s="47">
        <f t="shared" si="22"/>
        <v>3.9709975457394302</v>
      </c>
      <c r="R80" s="87">
        <f t="shared" si="16"/>
        <v>0.56456104193600098</v>
      </c>
      <c r="S80" s="47">
        <f t="shared" si="23"/>
        <v>0.41629976313433803</v>
      </c>
      <c r="T80" s="88">
        <f t="shared" si="24"/>
        <v>3.97099754573944</v>
      </c>
      <c r="U80" s="88">
        <f t="shared" si="25"/>
        <v>416.29976313433804</v>
      </c>
      <c r="V80" s="88">
        <f t="shared" si="26"/>
        <v>56.456104193600225</v>
      </c>
    </row>
    <row r="81" spans="1:22" x14ac:dyDescent="0.2">
      <c r="A81" s="80">
        <v>40</v>
      </c>
      <c r="B81" s="81">
        <v>538.83673469387702</v>
      </c>
      <c r="C81" s="82">
        <v>3.7746743894488999</v>
      </c>
      <c r="D81" s="82">
        <v>0.54928900999216301</v>
      </c>
      <c r="E81" s="75">
        <v>0.42001289069652398</v>
      </c>
      <c r="G81" s="89">
        <f t="shared" si="17"/>
        <v>3.7746743894489114</v>
      </c>
      <c r="H81" s="90">
        <f t="shared" si="18"/>
        <v>416.59680595471082</v>
      </c>
      <c r="I81" s="90">
        <f t="shared" si="12"/>
        <v>0.41659680595471082</v>
      </c>
      <c r="J81" s="90">
        <f t="shared" si="19"/>
        <v>54.928900999216353</v>
      </c>
      <c r="K81" s="90">
        <f t="shared" si="13"/>
        <v>0.54928900999216357</v>
      </c>
      <c r="L81" s="90">
        <f t="shared" si="20"/>
        <v>230.93616797626476</v>
      </c>
      <c r="M81" s="90">
        <f t="shared" si="14"/>
        <v>0.42042743214461803</v>
      </c>
      <c r="N81" s="91">
        <f t="shared" si="15"/>
        <v>0.55433974690955823</v>
      </c>
      <c r="P81" s="86">
        <f t="shared" si="21"/>
        <v>538.83673469387702</v>
      </c>
      <c r="Q81" s="47">
        <f t="shared" si="22"/>
        <v>3.7746743894488999</v>
      </c>
      <c r="R81" s="87">
        <f t="shared" si="16"/>
        <v>0.54928900999216301</v>
      </c>
      <c r="S81" s="47">
        <f t="shared" si="23"/>
        <v>0.41659680595471082</v>
      </c>
      <c r="T81" s="88">
        <f t="shared" si="24"/>
        <v>3.7746743894489114</v>
      </c>
      <c r="U81" s="88">
        <f t="shared" si="25"/>
        <v>416.59680595471082</v>
      </c>
      <c r="V81" s="88">
        <f t="shared" si="26"/>
        <v>54.928900999216353</v>
      </c>
    </row>
    <row r="82" spans="1:22" x14ac:dyDescent="0.2">
      <c r="A82" s="80">
        <v>41</v>
      </c>
      <c r="B82" s="81">
        <v>552.65306122448897</v>
      </c>
      <c r="C82" s="82">
        <v>3.5583732323010202</v>
      </c>
      <c r="D82" s="82">
        <v>0.53072297863304596</v>
      </c>
      <c r="E82" s="75">
        <v>0.42030351911249297</v>
      </c>
      <c r="G82" s="89">
        <f t="shared" si="17"/>
        <v>3.5583732323010349</v>
      </c>
      <c r="H82" s="90">
        <f t="shared" si="18"/>
        <v>416.41367171941795</v>
      </c>
      <c r="I82" s="90">
        <f t="shared" si="12"/>
        <v>0.41641367171941795</v>
      </c>
      <c r="J82" s="90">
        <f t="shared" si="19"/>
        <v>53.072297863304726</v>
      </c>
      <c r="K82" s="90">
        <f t="shared" si="13"/>
        <v>0.53072297863304729</v>
      </c>
      <c r="L82" s="90">
        <f t="shared" si="20"/>
        <v>223.28489449931024</v>
      </c>
      <c r="M82" s="90">
        <f t="shared" si="14"/>
        <v>0.42071834740303182</v>
      </c>
      <c r="N82" s="91">
        <f t="shared" si="15"/>
        <v>0.53620932659905785</v>
      </c>
      <c r="P82" s="86">
        <f t="shared" si="21"/>
        <v>552.65306122448897</v>
      </c>
      <c r="Q82" s="47">
        <f t="shared" si="22"/>
        <v>3.5583732323010202</v>
      </c>
      <c r="R82" s="87">
        <f t="shared" si="16"/>
        <v>0.53072297863304596</v>
      </c>
      <c r="S82" s="47">
        <f t="shared" si="23"/>
        <v>0.41641367171941795</v>
      </c>
      <c r="T82" s="88">
        <f t="shared" si="24"/>
        <v>3.5583732323010349</v>
      </c>
      <c r="U82" s="88">
        <f t="shared" si="25"/>
        <v>416.41367171941795</v>
      </c>
      <c r="V82" s="88">
        <f t="shared" si="26"/>
        <v>53.072297863304726</v>
      </c>
    </row>
    <row r="83" spans="1:22" x14ac:dyDescent="0.2">
      <c r="A83" s="80">
        <v>42</v>
      </c>
      <c r="B83" s="81">
        <v>566.46938775510205</v>
      </c>
      <c r="C83" s="82">
        <v>3.3185726563109199</v>
      </c>
      <c r="D83" s="82">
        <v>0.50846127220008897</v>
      </c>
      <c r="E83" s="75">
        <v>0.41936939721917599</v>
      </c>
      <c r="G83" s="89">
        <f t="shared" si="17"/>
        <v>3.3185726563109217</v>
      </c>
      <c r="H83" s="90">
        <f t="shared" si="18"/>
        <v>415.6938615260712</v>
      </c>
      <c r="I83" s="90">
        <f t="shared" si="12"/>
        <v>0.41569386152607118</v>
      </c>
      <c r="J83" s="90">
        <f t="shared" si="19"/>
        <v>50.846127220008952</v>
      </c>
      <c r="K83" s="90">
        <f t="shared" si="13"/>
        <v>0.50846127220008952</v>
      </c>
      <c r="L83" s="90">
        <f t="shared" si="20"/>
        <v>213.44355257468584</v>
      </c>
      <c r="M83" s="90">
        <f t="shared" si="14"/>
        <v>0.41978330355648324</v>
      </c>
      <c r="N83" s="91">
        <f t="shared" si="15"/>
        <v>0.51346332560963071</v>
      </c>
      <c r="P83" s="86">
        <f t="shared" si="21"/>
        <v>566.46938775510205</v>
      </c>
      <c r="Q83" s="47">
        <f t="shared" si="22"/>
        <v>3.3185726563109199</v>
      </c>
      <c r="R83" s="87">
        <f t="shared" si="16"/>
        <v>0.50846127220008897</v>
      </c>
      <c r="S83" s="47">
        <f t="shared" si="23"/>
        <v>0.41569386152607118</v>
      </c>
      <c r="T83" s="88">
        <f t="shared" si="24"/>
        <v>3.3185726563109217</v>
      </c>
      <c r="U83" s="88">
        <f t="shared" si="25"/>
        <v>415.6938615260712</v>
      </c>
      <c r="V83" s="88">
        <f t="shared" si="26"/>
        <v>50.846127220008952</v>
      </c>
    </row>
    <row r="84" spans="1:22" x14ac:dyDescent="0.2">
      <c r="A84" s="80">
        <v>43</v>
      </c>
      <c r="B84" s="81">
        <v>580.28571428571399</v>
      </c>
      <c r="C84" s="82">
        <v>3.0513892454198799</v>
      </c>
      <c r="D84" s="82">
        <v>0.48205812787671898</v>
      </c>
      <c r="E84" s="75">
        <v>0.416645715098103</v>
      </c>
      <c r="G84" s="89">
        <f t="shared" si="17"/>
        <v>3.051389245419891</v>
      </c>
      <c r="H84" s="90">
        <f t="shared" si="18"/>
        <v>414.37790736409187</v>
      </c>
      <c r="I84" s="90">
        <f t="shared" si="12"/>
        <v>0.41437790736409186</v>
      </c>
      <c r="J84" s="90">
        <f t="shared" si="19"/>
        <v>48.205812787672016</v>
      </c>
      <c r="K84" s="90">
        <f t="shared" si="13"/>
        <v>0.48205812787672014</v>
      </c>
      <c r="L84" s="90">
        <f t="shared" si="20"/>
        <v>201.04568445291883</v>
      </c>
      <c r="M84" s="90">
        <f t="shared" si="14"/>
        <v>0.41705693323427079</v>
      </c>
      <c r="N84" s="91">
        <f t="shared" si="15"/>
        <v>0.48517471824643071</v>
      </c>
      <c r="P84" s="86">
        <f t="shared" si="21"/>
        <v>580.28571428571399</v>
      </c>
      <c r="Q84" s="47">
        <f t="shared" si="22"/>
        <v>3.0513892454198799</v>
      </c>
      <c r="R84" s="87">
        <f t="shared" si="16"/>
        <v>0.48205812787671898</v>
      </c>
      <c r="S84" s="47">
        <f t="shared" si="23"/>
        <v>0.41437790736409186</v>
      </c>
      <c r="T84" s="88">
        <f t="shared" si="24"/>
        <v>3.051389245419891</v>
      </c>
      <c r="U84" s="88">
        <f t="shared" si="25"/>
        <v>414.37790736409187</v>
      </c>
      <c r="V84" s="88">
        <f t="shared" si="26"/>
        <v>48.205812787672016</v>
      </c>
    </row>
    <row r="85" spans="1:22" x14ac:dyDescent="0.2">
      <c r="A85" s="80">
        <v>44</v>
      </c>
      <c r="B85" s="81">
        <v>594.10204081632605</v>
      </c>
      <c r="C85" s="82">
        <v>2.7525632061981198</v>
      </c>
      <c r="D85" s="82">
        <v>0.45102158886500199</v>
      </c>
      <c r="E85" s="75">
        <v>0.41127077854353</v>
      </c>
      <c r="G85" s="89">
        <f t="shared" si="17"/>
        <v>2.7525632061981398</v>
      </c>
      <c r="H85" s="90">
        <f t="shared" si="18"/>
        <v>412.40337211470978</v>
      </c>
      <c r="I85" s="90">
        <f t="shared" si="12"/>
        <v>0.41240337211470979</v>
      </c>
      <c r="J85" s="90">
        <f t="shared" si="19"/>
        <v>45.102158886500376</v>
      </c>
      <c r="K85" s="90">
        <f t="shared" si="13"/>
        <v>0.45102158886500376</v>
      </c>
      <c r="L85" s="90">
        <f t="shared" si="20"/>
        <v>185.67507561700765</v>
      </c>
      <c r="M85" s="90">
        <f t="shared" si="14"/>
        <v>0.41167669176160537</v>
      </c>
      <c r="N85" s="91">
        <f t="shared" si="15"/>
        <v>0.45022686081568269</v>
      </c>
      <c r="P85" s="86">
        <f t="shared" si="21"/>
        <v>594.10204081632605</v>
      </c>
      <c r="Q85" s="47">
        <f t="shared" si="22"/>
        <v>2.7525632061981198</v>
      </c>
      <c r="R85" s="87">
        <f t="shared" si="16"/>
        <v>0.45102158886500199</v>
      </c>
      <c r="S85" s="47">
        <f t="shared" si="23"/>
        <v>0.41240337211470979</v>
      </c>
      <c r="T85" s="88">
        <f t="shared" si="24"/>
        <v>2.7525632061981398</v>
      </c>
      <c r="U85" s="88">
        <f t="shared" si="25"/>
        <v>412.40337211470978</v>
      </c>
      <c r="V85" s="88">
        <f t="shared" si="26"/>
        <v>45.102158886500376</v>
      </c>
    </row>
    <row r="86" spans="1:22" x14ac:dyDescent="0.2">
      <c r="A86" s="80">
        <v>45</v>
      </c>
      <c r="B86" s="81">
        <v>607.918367346938</v>
      </c>
      <c r="C86" s="82">
        <v>2.41744398854761</v>
      </c>
      <c r="D86" s="82">
        <v>0.41481139756229002</v>
      </c>
      <c r="E86" s="75">
        <v>0.40186283532650002</v>
      </c>
      <c r="G86" s="89">
        <f t="shared" si="17"/>
        <v>2.4174439885476318</v>
      </c>
      <c r="H86" s="90">
        <f t="shared" si="18"/>
        <v>409.70484955096418</v>
      </c>
      <c r="I86" s="90">
        <f t="shared" si="12"/>
        <v>0.4097048495509642</v>
      </c>
      <c r="J86" s="90">
        <f t="shared" si="19"/>
        <v>41.481139756229197</v>
      </c>
      <c r="K86" s="90">
        <f t="shared" si="13"/>
        <v>0.41481139756229196</v>
      </c>
      <c r="L86" s="90">
        <f t="shared" si="20"/>
        <v>166.86181009488342</v>
      </c>
      <c r="M86" s="90">
        <f t="shared" si="14"/>
        <v>0.40225946315717109</v>
      </c>
      <c r="N86" s="91">
        <f t="shared" si="15"/>
        <v>0.40727321211297274</v>
      </c>
      <c r="P86" s="86">
        <f t="shared" si="21"/>
        <v>607.918367346938</v>
      </c>
      <c r="Q86" s="47">
        <f t="shared" si="22"/>
        <v>2.41744398854761</v>
      </c>
      <c r="R86" s="87">
        <f t="shared" si="16"/>
        <v>0.41481139756229002</v>
      </c>
      <c r="S86" s="47">
        <f t="shared" si="23"/>
        <v>0.4097048495509642</v>
      </c>
      <c r="T86" s="88">
        <f t="shared" si="24"/>
        <v>2.4174439885476318</v>
      </c>
      <c r="U86" s="88">
        <f t="shared" si="25"/>
        <v>409.70484955096418</v>
      </c>
      <c r="V86" s="88">
        <f t="shared" si="26"/>
        <v>41.481139756229197</v>
      </c>
    </row>
    <row r="87" spans="1:22" x14ac:dyDescent="0.2">
      <c r="A87" s="80">
        <v>46</v>
      </c>
      <c r="B87" s="81">
        <v>621.73469387755097</v>
      </c>
      <c r="C87" s="82">
        <v>2.0409759064048698</v>
      </c>
      <c r="D87" s="82">
        <v>0.37283688873786203</v>
      </c>
      <c r="E87" s="75">
        <v>0.38605656704213598</v>
      </c>
      <c r="G87" s="89">
        <f t="shared" si="17"/>
        <v>2.0409759064048778</v>
      </c>
      <c r="H87" s="90">
        <f t="shared" si="18"/>
        <v>406.21396433770246</v>
      </c>
      <c r="I87" s="90">
        <f t="shared" si="12"/>
        <v>0.40621396433770246</v>
      </c>
      <c r="J87" s="90">
        <f t="shared" si="19"/>
        <v>37.283688873786275</v>
      </c>
      <c r="K87" s="90">
        <f t="shared" si="13"/>
        <v>0.37283688873786275</v>
      </c>
      <c r="L87" s="90">
        <f t="shared" si="20"/>
        <v>144.07819042857261</v>
      </c>
      <c r="M87" s="90">
        <f t="shared" si="14"/>
        <v>0.386437594510323</v>
      </c>
      <c r="N87" s="91">
        <f t="shared" si="15"/>
        <v>0.35468546893379188</v>
      </c>
      <c r="P87" s="86">
        <f t="shared" si="21"/>
        <v>621.73469387755097</v>
      </c>
      <c r="Q87" s="47">
        <f t="shared" si="22"/>
        <v>2.0409759064048698</v>
      </c>
      <c r="R87" s="87">
        <f t="shared" si="16"/>
        <v>0.37283688873786203</v>
      </c>
      <c r="S87" s="47">
        <f t="shared" si="23"/>
        <v>0.40621396433770246</v>
      </c>
      <c r="T87" s="88">
        <f t="shared" si="24"/>
        <v>2.0409759064048778</v>
      </c>
      <c r="U87" s="88">
        <f t="shared" si="25"/>
        <v>406.21396433770246</v>
      </c>
      <c r="V87" s="88">
        <f t="shared" si="26"/>
        <v>37.283688873786275</v>
      </c>
    </row>
    <row r="88" spans="1:22" x14ac:dyDescent="0.2">
      <c r="A88" s="80">
        <v>47</v>
      </c>
      <c r="B88" s="81">
        <v>635.55102040816303</v>
      </c>
      <c r="C88" s="82">
        <v>1.61768375844378</v>
      </c>
      <c r="D88" s="82">
        <v>0.32445488270957601</v>
      </c>
      <c r="E88" s="75">
        <v>0.35943186025484503</v>
      </c>
      <c r="G88" s="89">
        <f t="shared" si="17"/>
        <v>1.6176837584437997</v>
      </c>
      <c r="H88" s="90">
        <f t="shared" si="18"/>
        <v>401.8593720315821</v>
      </c>
      <c r="I88" s="90">
        <f t="shared" si="12"/>
        <v>0.40185937203158212</v>
      </c>
      <c r="J88" s="90">
        <f t="shared" si="19"/>
        <v>32.445488270957696</v>
      </c>
      <c r="K88" s="90">
        <f t="shared" si="13"/>
        <v>0.32445488270957695</v>
      </c>
      <c r="L88" s="90">
        <f t="shared" si="20"/>
        <v>116.7345223000579</v>
      </c>
      <c r="M88" s="90">
        <f t="shared" si="14"/>
        <v>0.35978660985215694</v>
      </c>
      <c r="N88" s="91">
        <f t="shared" si="15"/>
        <v>0.29048600188148344</v>
      </c>
      <c r="P88" s="86">
        <f t="shared" si="21"/>
        <v>635.55102040816303</v>
      </c>
      <c r="Q88" s="47">
        <f t="shared" si="22"/>
        <v>1.61768375844378</v>
      </c>
      <c r="R88" s="87">
        <f t="shared" si="16"/>
        <v>0.32445488270957601</v>
      </c>
      <c r="S88" s="47">
        <f t="shared" si="23"/>
        <v>0.40185937203158212</v>
      </c>
      <c r="T88" s="88">
        <f t="shared" si="24"/>
        <v>1.6176837584437997</v>
      </c>
      <c r="U88" s="88">
        <f t="shared" si="25"/>
        <v>401.8593720315821</v>
      </c>
      <c r="V88" s="88">
        <f t="shared" si="26"/>
        <v>32.445488270957696</v>
      </c>
    </row>
    <row r="89" spans="1:22" x14ac:dyDescent="0.2">
      <c r="A89" s="80">
        <v>48</v>
      </c>
      <c r="B89" s="81">
        <v>649.36734693877497</v>
      </c>
      <c r="C89" s="82">
        <v>1.14165844877843</v>
      </c>
      <c r="D89" s="82">
        <v>0.26896757852050601</v>
      </c>
      <c r="E89" s="75">
        <v>0.312646483116225</v>
      </c>
      <c r="G89" s="89">
        <f t="shared" si="17"/>
        <v>1.1416584487784505</v>
      </c>
      <c r="H89" s="90">
        <f t="shared" si="18"/>
        <v>396.56675908106843</v>
      </c>
      <c r="I89" s="90">
        <f t="shared" si="12"/>
        <v>0.39656675908106842</v>
      </c>
      <c r="J89" s="90">
        <f t="shared" si="19"/>
        <v>26.896757852050712</v>
      </c>
      <c r="K89" s="90">
        <f t="shared" si="13"/>
        <v>0.26896757852050712</v>
      </c>
      <c r="L89" s="90">
        <f t="shared" si="20"/>
        <v>84.174763813843768</v>
      </c>
      <c r="M89" s="90">
        <f t="shared" si="14"/>
        <v>0.31295505680223079</v>
      </c>
      <c r="N89" s="91">
        <f t="shared" si="15"/>
        <v>0.21225874808290798</v>
      </c>
      <c r="P89" s="86">
        <f t="shared" si="21"/>
        <v>649.36734693877497</v>
      </c>
      <c r="Q89" s="47">
        <f t="shared" si="22"/>
        <v>1.14165844877843</v>
      </c>
      <c r="R89" s="87">
        <f t="shared" si="16"/>
        <v>0.26896757852050601</v>
      </c>
      <c r="S89" s="47">
        <f t="shared" si="23"/>
        <v>0.39656675908106842</v>
      </c>
      <c r="T89" s="88">
        <f t="shared" si="24"/>
        <v>1.1416584487784505</v>
      </c>
      <c r="U89" s="88">
        <f t="shared" si="25"/>
        <v>396.56675908106843</v>
      </c>
      <c r="V89" s="88">
        <f t="shared" si="26"/>
        <v>26.896757852050712</v>
      </c>
    </row>
    <row r="90" spans="1:22" x14ac:dyDescent="0.2">
      <c r="A90" s="80">
        <v>49</v>
      </c>
      <c r="B90" s="81">
        <v>663.18367346938703</v>
      </c>
      <c r="C90" s="82">
        <v>0.60654260766582602</v>
      </c>
      <c r="D90" s="82">
        <v>0.20562044711559099</v>
      </c>
      <c r="E90" s="75">
        <v>0.22189917124183001</v>
      </c>
      <c r="G90" s="89">
        <f t="shared" si="17"/>
        <v>0.60654260766585466</v>
      </c>
      <c r="H90" s="90">
        <f t="shared" si="18"/>
        <v>390.25884282643653</v>
      </c>
      <c r="I90" s="90">
        <f t="shared" si="12"/>
        <v>0.39025884282643653</v>
      </c>
      <c r="J90" s="90">
        <f t="shared" si="19"/>
        <v>20.562044711559395</v>
      </c>
      <c r="K90" s="90">
        <f t="shared" si="13"/>
        <v>0.20562044711559394</v>
      </c>
      <c r="L90" s="90">
        <f t="shared" si="20"/>
        <v>45.672039436208422</v>
      </c>
      <c r="M90" s="90">
        <f t="shared" si="14"/>
        <v>0.22211817976707787</v>
      </c>
      <c r="N90" s="91">
        <f t="shared" si="15"/>
        <v>0.11703012058722415</v>
      </c>
      <c r="P90" s="86">
        <f t="shared" si="21"/>
        <v>663.18367346938703</v>
      </c>
      <c r="Q90" s="47">
        <f t="shared" si="22"/>
        <v>0.60654260766582602</v>
      </c>
      <c r="R90" s="87">
        <f t="shared" si="16"/>
        <v>0.20562044711559099</v>
      </c>
      <c r="S90" s="47">
        <f t="shared" si="23"/>
        <v>0.39025884282643653</v>
      </c>
      <c r="T90" s="88">
        <f t="shared" si="24"/>
        <v>0.60654260766585466</v>
      </c>
      <c r="U90" s="88">
        <f t="shared" si="25"/>
        <v>390.25884282643653</v>
      </c>
      <c r="V90" s="88">
        <f t="shared" si="26"/>
        <v>20.562044711559395</v>
      </c>
    </row>
    <row r="91" spans="1:22" x14ac:dyDescent="0.2">
      <c r="A91" s="92">
        <v>50</v>
      </c>
      <c r="B91" s="93">
        <v>677</v>
      </c>
      <c r="C91" s="94">
        <v>5.5162122087963799E-3</v>
      </c>
      <c r="D91" s="94">
        <v>0.13360012451828501</v>
      </c>
      <c r="E91" s="78">
        <v>3.1706595361867501E-3</v>
      </c>
      <c r="G91" s="95">
        <f t="shared" si="17"/>
        <v>5.5162122087963894E-3</v>
      </c>
      <c r="H91" s="96">
        <f t="shared" si="18"/>
        <v>382.85537149976994</v>
      </c>
      <c r="I91" s="96">
        <f t="shared" si="12"/>
        <v>0.38285537149976995</v>
      </c>
      <c r="J91" s="96">
        <f t="shared" si="19"/>
        <v>13.360012451828538</v>
      </c>
      <c r="K91" s="96">
        <f t="shared" si="13"/>
        <v>0.13360012451828537</v>
      </c>
      <c r="L91" s="96">
        <f t="shared" si="20"/>
        <v>0.42401859117053259</v>
      </c>
      <c r="M91" s="96">
        <f t="shared" si="14"/>
        <v>3.1737888920342935E-3</v>
      </c>
      <c r="N91" s="97">
        <f t="shared" si="15"/>
        <v>1.1075163697181858E-3</v>
      </c>
      <c r="P91" s="86">
        <f t="shared" si="21"/>
        <v>677</v>
      </c>
      <c r="Q91" s="47">
        <f t="shared" si="22"/>
        <v>5.5162122087963799E-3</v>
      </c>
      <c r="R91" s="87">
        <f t="shared" si="16"/>
        <v>0.13360012451828501</v>
      </c>
      <c r="S91" s="47">
        <f t="shared" si="23"/>
        <v>0.38285537149976995</v>
      </c>
      <c r="T91" s="88">
        <f t="shared" si="24"/>
        <v>5.5162122087963894E-3</v>
      </c>
      <c r="U91" s="88">
        <f t="shared" si="25"/>
        <v>382.85537149976994</v>
      </c>
      <c r="V91" s="88">
        <f t="shared" si="26"/>
        <v>13.360012451828538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561</vt:i4>
      </vt:variant>
    </vt:vector>
  </HeadingPairs>
  <TitlesOfParts>
    <vt:vector size="579" baseType="lpstr">
      <vt:lpstr>db_ESP_curves</vt:lpstr>
      <vt:lpstr>db_ESP_params</vt:lpstr>
      <vt:lpstr>series</vt:lpstr>
      <vt:lpstr>process</vt:lpstr>
      <vt:lpstr>tnav 254</vt:lpstr>
      <vt:lpstr>1</vt:lpstr>
      <vt:lpstr>68</vt:lpstr>
      <vt:lpstr>80</vt:lpstr>
      <vt:lpstr>84</vt:lpstr>
      <vt:lpstr>86</vt:lpstr>
      <vt:lpstr>89</vt:lpstr>
      <vt:lpstr>88</vt:lpstr>
      <vt:lpstr>158</vt:lpstr>
      <vt:lpstr>161</vt:lpstr>
      <vt:lpstr>166</vt:lpstr>
      <vt:lpstr>168</vt:lpstr>
      <vt:lpstr>191</vt:lpstr>
      <vt:lpstr>193</vt:lpstr>
      <vt:lpstr>curve_filter_criteria</vt:lpstr>
      <vt:lpstr>db_ESP_curve_topleft</vt:lpstr>
      <vt:lpstr>db_ESP_params_topleft</vt:lpstr>
      <vt:lpstr>'158'!f_50_hz</vt:lpstr>
      <vt:lpstr>'161'!f_50_hz</vt:lpstr>
      <vt:lpstr>'166'!f_50_hz</vt:lpstr>
      <vt:lpstr>'168'!f_50_hz</vt:lpstr>
      <vt:lpstr>'191'!f_50_hz</vt:lpstr>
      <vt:lpstr>'193'!f_50_hz</vt:lpstr>
      <vt:lpstr>'68'!f_50_hz</vt:lpstr>
      <vt:lpstr>'80'!f_50_hz</vt:lpstr>
      <vt:lpstr>'84'!f_50_hz</vt:lpstr>
      <vt:lpstr>'86'!f_50_hz</vt:lpstr>
      <vt:lpstr>'88'!f_50_hz</vt:lpstr>
      <vt:lpstr>'89'!f_50_hz</vt:lpstr>
      <vt:lpstr>f_50_hz</vt:lpstr>
      <vt:lpstr>'158'!f_nom</vt:lpstr>
      <vt:lpstr>'161'!f_nom</vt:lpstr>
      <vt:lpstr>'166'!f_nom</vt:lpstr>
      <vt:lpstr>'168'!f_nom</vt:lpstr>
      <vt:lpstr>'191'!f_nom</vt:lpstr>
      <vt:lpstr>'193'!f_nom</vt:lpstr>
      <vt:lpstr>'68'!f_nom</vt:lpstr>
      <vt:lpstr>'80'!f_nom</vt:lpstr>
      <vt:lpstr>'84'!f_nom</vt:lpstr>
      <vt:lpstr>'86'!f_nom</vt:lpstr>
      <vt:lpstr>'88'!f_nom</vt:lpstr>
      <vt:lpstr>'89'!f_nom</vt:lpstr>
      <vt:lpstr>f_nom</vt:lpstr>
      <vt:lpstr>ID_</vt:lpstr>
      <vt:lpstr>'158'!num</vt:lpstr>
      <vt:lpstr>'161'!num</vt:lpstr>
      <vt:lpstr>'166'!num</vt:lpstr>
      <vt:lpstr>'168'!num</vt:lpstr>
      <vt:lpstr>'191'!num</vt:lpstr>
      <vt:lpstr>'193'!num</vt:lpstr>
      <vt:lpstr>'68'!num</vt:lpstr>
      <vt:lpstr>'80'!num</vt:lpstr>
      <vt:lpstr>'84'!num</vt:lpstr>
      <vt:lpstr>'86'!num</vt:lpstr>
      <vt:lpstr>'88'!num</vt:lpstr>
      <vt:lpstr>'89'!num</vt:lpstr>
      <vt:lpstr>num</vt:lpstr>
      <vt:lpstr>num_col_</vt:lpstr>
      <vt:lpstr>one_curve_topleft</vt:lpstr>
      <vt:lpstr>'158'!q_nom</vt:lpstr>
      <vt:lpstr>'161'!q_nom</vt:lpstr>
      <vt:lpstr>'166'!q_nom</vt:lpstr>
      <vt:lpstr>'168'!q_nom</vt:lpstr>
      <vt:lpstr>'191'!q_nom</vt:lpstr>
      <vt:lpstr>'193'!q_nom</vt:lpstr>
      <vt:lpstr>'68'!q_nom</vt:lpstr>
      <vt:lpstr>'80'!q_nom</vt:lpstr>
      <vt:lpstr>'84'!q_nom</vt:lpstr>
      <vt:lpstr>'86'!q_nom</vt:lpstr>
      <vt:lpstr>'88'!q_nom</vt:lpstr>
      <vt:lpstr>'89'!q_nom</vt:lpstr>
      <vt:lpstr>q_nom</vt:lpstr>
      <vt:lpstr>report</vt:lpstr>
      <vt:lpstr>process!Извлечь</vt:lpstr>
      <vt:lpstr>'158'!К.П.Д.0</vt:lpstr>
      <vt:lpstr>'161'!К.П.Д.0</vt:lpstr>
      <vt:lpstr>'166'!К.П.Д.0</vt:lpstr>
      <vt:lpstr>'168'!К.П.Д.0</vt:lpstr>
      <vt:lpstr>'191'!К.П.Д.0</vt:lpstr>
      <vt:lpstr>'193'!К.П.Д.0</vt:lpstr>
      <vt:lpstr>'68'!К.П.Д.0</vt:lpstr>
      <vt:lpstr>'80'!К.П.Д.0</vt:lpstr>
      <vt:lpstr>'84'!К.П.Д.0</vt:lpstr>
      <vt:lpstr>'86'!К.П.Д.0</vt:lpstr>
      <vt:lpstr>'88'!К.П.Д.0</vt:lpstr>
      <vt:lpstr>'89'!К.П.Д.0</vt:lpstr>
      <vt:lpstr>К.П.Д.0</vt:lpstr>
      <vt:lpstr>'158'!К.П.Д.1</vt:lpstr>
      <vt:lpstr>'161'!К.П.Д.1</vt:lpstr>
      <vt:lpstr>'166'!К.П.Д.1</vt:lpstr>
      <vt:lpstr>'168'!К.П.Д.1</vt:lpstr>
      <vt:lpstr>'191'!К.П.Д.1</vt:lpstr>
      <vt:lpstr>'193'!К.П.Д.1</vt:lpstr>
      <vt:lpstr>'68'!К.П.Д.1</vt:lpstr>
      <vt:lpstr>'80'!К.П.Д.1</vt:lpstr>
      <vt:lpstr>'84'!К.П.Д.1</vt:lpstr>
      <vt:lpstr>'86'!К.П.Д.1</vt:lpstr>
      <vt:lpstr>'88'!К.П.Д.1</vt:lpstr>
      <vt:lpstr>'89'!К.П.Д.1</vt:lpstr>
      <vt:lpstr>К.П.Д.1</vt:lpstr>
      <vt:lpstr>'158'!К.П.Д.10</vt:lpstr>
      <vt:lpstr>'161'!К.П.Д.10</vt:lpstr>
      <vt:lpstr>'166'!К.П.Д.10</vt:lpstr>
      <vt:lpstr>'168'!К.П.Д.10</vt:lpstr>
      <vt:lpstr>'191'!К.П.Д.10</vt:lpstr>
      <vt:lpstr>'193'!К.П.Д.10</vt:lpstr>
      <vt:lpstr>'68'!К.П.Д.10</vt:lpstr>
      <vt:lpstr>'80'!К.П.Д.10</vt:lpstr>
      <vt:lpstr>'84'!К.П.Д.10</vt:lpstr>
      <vt:lpstr>'86'!К.П.Д.10</vt:lpstr>
      <vt:lpstr>'88'!К.П.Д.10</vt:lpstr>
      <vt:lpstr>'89'!К.П.Д.10</vt:lpstr>
      <vt:lpstr>К.П.Д.10</vt:lpstr>
      <vt:lpstr>'158'!К.П.Д.2</vt:lpstr>
      <vt:lpstr>'161'!К.П.Д.2</vt:lpstr>
      <vt:lpstr>'166'!К.П.Д.2</vt:lpstr>
      <vt:lpstr>'168'!К.П.Д.2</vt:lpstr>
      <vt:lpstr>'191'!К.П.Д.2</vt:lpstr>
      <vt:lpstr>'193'!К.П.Д.2</vt:lpstr>
      <vt:lpstr>'68'!К.П.Д.2</vt:lpstr>
      <vt:lpstr>'80'!К.П.Д.2</vt:lpstr>
      <vt:lpstr>'84'!К.П.Д.2</vt:lpstr>
      <vt:lpstr>'86'!К.П.Д.2</vt:lpstr>
      <vt:lpstr>'88'!К.П.Д.2</vt:lpstr>
      <vt:lpstr>'89'!К.П.Д.2</vt:lpstr>
      <vt:lpstr>К.П.Д.2</vt:lpstr>
      <vt:lpstr>'158'!К.П.Д.3</vt:lpstr>
      <vt:lpstr>'161'!К.П.Д.3</vt:lpstr>
      <vt:lpstr>'166'!К.П.Д.3</vt:lpstr>
      <vt:lpstr>'168'!К.П.Д.3</vt:lpstr>
      <vt:lpstr>'191'!К.П.Д.3</vt:lpstr>
      <vt:lpstr>'193'!К.П.Д.3</vt:lpstr>
      <vt:lpstr>'68'!К.П.Д.3</vt:lpstr>
      <vt:lpstr>'80'!К.П.Д.3</vt:lpstr>
      <vt:lpstr>'84'!К.П.Д.3</vt:lpstr>
      <vt:lpstr>'86'!К.П.Д.3</vt:lpstr>
      <vt:lpstr>'88'!К.П.Д.3</vt:lpstr>
      <vt:lpstr>'89'!К.П.Д.3</vt:lpstr>
      <vt:lpstr>К.П.Д.3</vt:lpstr>
      <vt:lpstr>'158'!К.П.Д.4</vt:lpstr>
      <vt:lpstr>'161'!К.П.Д.4</vt:lpstr>
      <vt:lpstr>'166'!К.П.Д.4</vt:lpstr>
      <vt:lpstr>'168'!К.П.Д.4</vt:lpstr>
      <vt:lpstr>'191'!К.П.Д.4</vt:lpstr>
      <vt:lpstr>'193'!К.П.Д.4</vt:lpstr>
      <vt:lpstr>'68'!К.П.Д.4</vt:lpstr>
      <vt:lpstr>'80'!К.П.Д.4</vt:lpstr>
      <vt:lpstr>'84'!К.П.Д.4</vt:lpstr>
      <vt:lpstr>'86'!К.П.Д.4</vt:lpstr>
      <vt:lpstr>'88'!К.П.Д.4</vt:lpstr>
      <vt:lpstr>'89'!К.П.Д.4</vt:lpstr>
      <vt:lpstr>К.П.Д.4</vt:lpstr>
      <vt:lpstr>'158'!К.П.Д.5</vt:lpstr>
      <vt:lpstr>'161'!К.П.Д.5</vt:lpstr>
      <vt:lpstr>'166'!К.П.Д.5</vt:lpstr>
      <vt:lpstr>'168'!К.П.Д.5</vt:lpstr>
      <vt:lpstr>'191'!К.П.Д.5</vt:lpstr>
      <vt:lpstr>'193'!К.П.Д.5</vt:lpstr>
      <vt:lpstr>'68'!К.П.Д.5</vt:lpstr>
      <vt:lpstr>'80'!К.П.Д.5</vt:lpstr>
      <vt:lpstr>'84'!К.П.Д.5</vt:lpstr>
      <vt:lpstr>'86'!К.П.Д.5</vt:lpstr>
      <vt:lpstr>'88'!К.П.Д.5</vt:lpstr>
      <vt:lpstr>'89'!К.П.Д.5</vt:lpstr>
      <vt:lpstr>К.П.Д.5</vt:lpstr>
      <vt:lpstr>'158'!К.П.Д.6</vt:lpstr>
      <vt:lpstr>'161'!К.П.Д.6</vt:lpstr>
      <vt:lpstr>'166'!К.П.Д.6</vt:lpstr>
      <vt:lpstr>'168'!К.П.Д.6</vt:lpstr>
      <vt:lpstr>'191'!К.П.Д.6</vt:lpstr>
      <vt:lpstr>'193'!К.П.Д.6</vt:lpstr>
      <vt:lpstr>'68'!К.П.Д.6</vt:lpstr>
      <vt:lpstr>'80'!К.П.Д.6</vt:lpstr>
      <vt:lpstr>'84'!К.П.Д.6</vt:lpstr>
      <vt:lpstr>'86'!К.П.Д.6</vt:lpstr>
      <vt:lpstr>'88'!К.П.Д.6</vt:lpstr>
      <vt:lpstr>'89'!К.П.Д.6</vt:lpstr>
      <vt:lpstr>К.П.Д.6</vt:lpstr>
      <vt:lpstr>'158'!К.П.Д.7</vt:lpstr>
      <vt:lpstr>'161'!К.П.Д.7</vt:lpstr>
      <vt:lpstr>'166'!К.П.Д.7</vt:lpstr>
      <vt:lpstr>'168'!К.П.Д.7</vt:lpstr>
      <vt:lpstr>'191'!К.П.Д.7</vt:lpstr>
      <vt:lpstr>'193'!К.П.Д.7</vt:lpstr>
      <vt:lpstr>'68'!К.П.Д.7</vt:lpstr>
      <vt:lpstr>'80'!К.П.Д.7</vt:lpstr>
      <vt:lpstr>'84'!К.П.Д.7</vt:lpstr>
      <vt:lpstr>'86'!К.П.Д.7</vt:lpstr>
      <vt:lpstr>'88'!К.П.Д.7</vt:lpstr>
      <vt:lpstr>'89'!К.П.Д.7</vt:lpstr>
      <vt:lpstr>К.П.Д.7</vt:lpstr>
      <vt:lpstr>'158'!К.П.Д.8</vt:lpstr>
      <vt:lpstr>'161'!К.П.Д.8</vt:lpstr>
      <vt:lpstr>'166'!К.П.Д.8</vt:lpstr>
      <vt:lpstr>'168'!К.П.Д.8</vt:lpstr>
      <vt:lpstr>'191'!К.П.Д.8</vt:lpstr>
      <vt:lpstr>'193'!К.П.Д.8</vt:lpstr>
      <vt:lpstr>'68'!К.П.Д.8</vt:lpstr>
      <vt:lpstr>'80'!К.П.Д.8</vt:lpstr>
      <vt:lpstr>'84'!К.П.Д.8</vt:lpstr>
      <vt:lpstr>'86'!К.П.Д.8</vt:lpstr>
      <vt:lpstr>'88'!К.П.Д.8</vt:lpstr>
      <vt:lpstr>'89'!К.П.Д.8</vt:lpstr>
      <vt:lpstr>К.П.Д.8</vt:lpstr>
      <vt:lpstr>'158'!К.П.Д.9</vt:lpstr>
      <vt:lpstr>'161'!К.П.Д.9</vt:lpstr>
      <vt:lpstr>'166'!К.П.Д.9</vt:lpstr>
      <vt:lpstr>'168'!К.П.Д.9</vt:lpstr>
      <vt:lpstr>'191'!К.П.Д.9</vt:lpstr>
      <vt:lpstr>'193'!К.П.Д.9</vt:lpstr>
      <vt:lpstr>'68'!К.П.Д.9</vt:lpstr>
      <vt:lpstr>'80'!К.П.Д.9</vt:lpstr>
      <vt:lpstr>'84'!К.П.Д.9</vt:lpstr>
      <vt:lpstr>'86'!К.П.Д.9</vt:lpstr>
      <vt:lpstr>'88'!К.П.Д.9</vt:lpstr>
      <vt:lpstr>'89'!К.П.Д.9</vt:lpstr>
      <vt:lpstr>К.П.Д.9</vt:lpstr>
      <vt:lpstr>'158'!КПД</vt:lpstr>
      <vt:lpstr>'161'!КПД</vt:lpstr>
      <vt:lpstr>'166'!КПД</vt:lpstr>
      <vt:lpstr>'168'!КПД</vt:lpstr>
      <vt:lpstr>'191'!КПД</vt:lpstr>
      <vt:lpstr>'193'!КПД</vt:lpstr>
      <vt:lpstr>'68'!КПД</vt:lpstr>
      <vt:lpstr>'80'!КПД</vt:lpstr>
      <vt:lpstr>'84'!КПД</vt:lpstr>
      <vt:lpstr>'86'!КПД</vt:lpstr>
      <vt:lpstr>'88'!КПД</vt:lpstr>
      <vt:lpstr>'89'!КПД</vt:lpstr>
      <vt:lpstr>КПД</vt:lpstr>
      <vt:lpstr>process!Критерии</vt:lpstr>
      <vt:lpstr>'161'!макс_дебит_коррект</vt:lpstr>
      <vt:lpstr>'166'!макс_дебит_коррект</vt:lpstr>
      <vt:lpstr>'168'!макс_дебит_коррект</vt:lpstr>
      <vt:lpstr>'191'!макс_дебит_коррект</vt:lpstr>
      <vt:lpstr>'193'!макс_дебит_коррект</vt:lpstr>
      <vt:lpstr>макс_дебит_коррект</vt:lpstr>
      <vt:lpstr>'158'!Мощность_кВт</vt:lpstr>
      <vt:lpstr>'161'!Мощность_кВт</vt:lpstr>
      <vt:lpstr>'166'!Мощность_кВт</vt:lpstr>
      <vt:lpstr>'168'!Мощность_кВт</vt:lpstr>
      <vt:lpstr>'191'!Мощность_кВт</vt:lpstr>
      <vt:lpstr>'193'!Мощность_кВт</vt:lpstr>
      <vt:lpstr>'68'!Мощность_кВт</vt:lpstr>
      <vt:lpstr>'80'!Мощность_кВт</vt:lpstr>
      <vt:lpstr>'84'!Мощность_кВт</vt:lpstr>
      <vt:lpstr>'86'!Мощность_кВт</vt:lpstr>
      <vt:lpstr>'88'!Мощность_кВт</vt:lpstr>
      <vt:lpstr>'89'!Мощность_кВт</vt:lpstr>
      <vt:lpstr>Мощность_кВт</vt:lpstr>
      <vt:lpstr>'158'!Мощность0</vt:lpstr>
      <vt:lpstr>'161'!Мощность0</vt:lpstr>
      <vt:lpstr>'166'!Мощность0</vt:lpstr>
      <vt:lpstr>'168'!Мощность0</vt:lpstr>
      <vt:lpstr>'191'!Мощность0</vt:lpstr>
      <vt:lpstr>'193'!Мощность0</vt:lpstr>
      <vt:lpstr>'68'!Мощность0</vt:lpstr>
      <vt:lpstr>'80'!Мощность0</vt:lpstr>
      <vt:lpstr>'84'!Мощность0</vt:lpstr>
      <vt:lpstr>'86'!Мощность0</vt:lpstr>
      <vt:lpstr>'88'!Мощность0</vt:lpstr>
      <vt:lpstr>'89'!Мощность0</vt:lpstr>
      <vt:lpstr>Мощность0</vt:lpstr>
      <vt:lpstr>'158'!Мощность1</vt:lpstr>
      <vt:lpstr>'161'!Мощность1</vt:lpstr>
      <vt:lpstr>'166'!Мощность1</vt:lpstr>
      <vt:lpstr>'168'!Мощность1</vt:lpstr>
      <vt:lpstr>'191'!Мощность1</vt:lpstr>
      <vt:lpstr>'193'!Мощность1</vt:lpstr>
      <vt:lpstr>'68'!Мощность1</vt:lpstr>
      <vt:lpstr>'80'!Мощность1</vt:lpstr>
      <vt:lpstr>'84'!Мощность1</vt:lpstr>
      <vt:lpstr>'86'!Мощность1</vt:lpstr>
      <vt:lpstr>'88'!Мощность1</vt:lpstr>
      <vt:lpstr>'89'!Мощность1</vt:lpstr>
      <vt:lpstr>Мощность1</vt:lpstr>
      <vt:lpstr>'158'!Мощность10</vt:lpstr>
      <vt:lpstr>'161'!Мощность10</vt:lpstr>
      <vt:lpstr>'166'!Мощность10</vt:lpstr>
      <vt:lpstr>'168'!Мощность10</vt:lpstr>
      <vt:lpstr>'191'!Мощность10</vt:lpstr>
      <vt:lpstr>'193'!Мощность10</vt:lpstr>
      <vt:lpstr>'68'!Мощность10</vt:lpstr>
      <vt:lpstr>'80'!Мощность10</vt:lpstr>
      <vt:lpstr>'84'!Мощность10</vt:lpstr>
      <vt:lpstr>'86'!Мощность10</vt:lpstr>
      <vt:lpstr>'88'!Мощность10</vt:lpstr>
      <vt:lpstr>'89'!Мощность10</vt:lpstr>
      <vt:lpstr>Мощность10</vt:lpstr>
      <vt:lpstr>'158'!Мощность2</vt:lpstr>
      <vt:lpstr>'161'!Мощность2</vt:lpstr>
      <vt:lpstr>'166'!Мощность2</vt:lpstr>
      <vt:lpstr>'168'!Мощность2</vt:lpstr>
      <vt:lpstr>'191'!Мощность2</vt:lpstr>
      <vt:lpstr>'193'!Мощность2</vt:lpstr>
      <vt:lpstr>'68'!Мощность2</vt:lpstr>
      <vt:lpstr>'80'!Мощность2</vt:lpstr>
      <vt:lpstr>'84'!Мощность2</vt:lpstr>
      <vt:lpstr>'86'!Мощность2</vt:lpstr>
      <vt:lpstr>'88'!Мощность2</vt:lpstr>
      <vt:lpstr>'89'!Мощность2</vt:lpstr>
      <vt:lpstr>Мощность2</vt:lpstr>
      <vt:lpstr>'158'!Мощность3</vt:lpstr>
      <vt:lpstr>'161'!Мощность3</vt:lpstr>
      <vt:lpstr>'166'!Мощность3</vt:lpstr>
      <vt:lpstr>'168'!Мощность3</vt:lpstr>
      <vt:lpstr>'191'!Мощность3</vt:lpstr>
      <vt:lpstr>'193'!Мощность3</vt:lpstr>
      <vt:lpstr>'68'!Мощность3</vt:lpstr>
      <vt:lpstr>'80'!Мощность3</vt:lpstr>
      <vt:lpstr>'84'!Мощность3</vt:lpstr>
      <vt:lpstr>'86'!Мощность3</vt:lpstr>
      <vt:lpstr>'88'!Мощность3</vt:lpstr>
      <vt:lpstr>'89'!Мощность3</vt:lpstr>
      <vt:lpstr>Мощность3</vt:lpstr>
      <vt:lpstr>'158'!Мощность4</vt:lpstr>
      <vt:lpstr>'161'!Мощность4</vt:lpstr>
      <vt:lpstr>'166'!Мощность4</vt:lpstr>
      <vt:lpstr>'168'!Мощность4</vt:lpstr>
      <vt:lpstr>'191'!Мощность4</vt:lpstr>
      <vt:lpstr>'193'!Мощность4</vt:lpstr>
      <vt:lpstr>'68'!Мощность4</vt:lpstr>
      <vt:lpstr>'80'!Мощность4</vt:lpstr>
      <vt:lpstr>'84'!Мощность4</vt:lpstr>
      <vt:lpstr>'86'!Мощность4</vt:lpstr>
      <vt:lpstr>'88'!Мощность4</vt:lpstr>
      <vt:lpstr>'89'!Мощность4</vt:lpstr>
      <vt:lpstr>Мощность4</vt:lpstr>
      <vt:lpstr>'158'!Мощность5</vt:lpstr>
      <vt:lpstr>'161'!Мощность5</vt:lpstr>
      <vt:lpstr>'166'!Мощность5</vt:lpstr>
      <vt:lpstr>'168'!Мощность5</vt:lpstr>
      <vt:lpstr>'191'!Мощность5</vt:lpstr>
      <vt:lpstr>'193'!Мощность5</vt:lpstr>
      <vt:lpstr>'68'!Мощность5</vt:lpstr>
      <vt:lpstr>'80'!Мощность5</vt:lpstr>
      <vt:lpstr>'84'!Мощность5</vt:lpstr>
      <vt:lpstr>'86'!Мощность5</vt:lpstr>
      <vt:lpstr>'88'!Мощность5</vt:lpstr>
      <vt:lpstr>'89'!Мощность5</vt:lpstr>
      <vt:lpstr>Мощность5</vt:lpstr>
      <vt:lpstr>'158'!Мощность6</vt:lpstr>
      <vt:lpstr>'161'!Мощность6</vt:lpstr>
      <vt:lpstr>'166'!Мощность6</vt:lpstr>
      <vt:lpstr>'168'!Мощность6</vt:lpstr>
      <vt:lpstr>'191'!Мощность6</vt:lpstr>
      <vt:lpstr>'193'!Мощность6</vt:lpstr>
      <vt:lpstr>'68'!Мощность6</vt:lpstr>
      <vt:lpstr>'80'!Мощность6</vt:lpstr>
      <vt:lpstr>'84'!Мощность6</vt:lpstr>
      <vt:lpstr>'86'!Мощность6</vt:lpstr>
      <vt:lpstr>'88'!Мощность6</vt:lpstr>
      <vt:lpstr>'89'!Мощность6</vt:lpstr>
      <vt:lpstr>Мощность6</vt:lpstr>
      <vt:lpstr>'158'!Мощность7</vt:lpstr>
      <vt:lpstr>'161'!Мощность7</vt:lpstr>
      <vt:lpstr>'166'!Мощность7</vt:lpstr>
      <vt:lpstr>'168'!Мощность7</vt:lpstr>
      <vt:lpstr>'191'!Мощность7</vt:lpstr>
      <vt:lpstr>'193'!Мощность7</vt:lpstr>
      <vt:lpstr>'68'!Мощность7</vt:lpstr>
      <vt:lpstr>'80'!Мощность7</vt:lpstr>
      <vt:lpstr>'84'!Мощность7</vt:lpstr>
      <vt:lpstr>'86'!Мощность7</vt:lpstr>
      <vt:lpstr>'88'!Мощность7</vt:lpstr>
      <vt:lpstr>'89'!Мощность7</vt:lpstr>
      <vt:lpstr>Мощность7</vt:lpstr>
      <vt:lpstr>'158'!Мощность8</vt:lpstr>
      <vt:lpstr>'161'!Мощность8</vt:lpstr>
      <vt:lpstr>'166'!Мощность8</vt:lpstr>
      <vt:lpstr>'168'!Мощность8</vt:lpstr>
      <vt:lpstr>'191'!Мощность8</vt:lpstr>
      <vt:lpstr>'193'!Мощность8</vt:lpstr>
      <vt:lpstr>'68'!Мощность8</vt:lpstr>
      <vt:lpstr>'80'!Мощность8</vt:lpstr>
      <vt:lpstr>'84'!Мощность8</vt:lpstr>
      <vt:lpstr>'86'!Мощность8</vt:lpstr>
      <vt:lpstr>'88'!Мощность8</vt:lpstr>
      <vt:lpstr>'89'!Мощность8</vt:lpstr>
      <vt:lpstr>Мощность8</vt:lpstr>
      <vt:lpstr>'158'!Мощность9</vt:lpstr>
      <vt:lpstr>'161'!Мощность9</vt:lpstr>
      <vt:lpstr>'166'!Мощность9</vt:lpstr>
      <vt:lpstr>'168'!Мощность9</vt:lpstr>
      <vt:lpstr>'191'!Мощность9</vt:lpstr>
      <vt:lpstr>'193'!Мощность9</vt:lpstr>
      <vt:lpstr>'68'!Мощность9</vt:lpstr>
      <vt:lpstr>'80'!Мощность9</vt:lpstr>
      <vt:lpstr>'84'!Мощность9</vt:lpstr>
      <vt:lpstr>'86'!Мощность9</vt:lpstr>
      <vt:lpstr>'88'!Мощность9</vt:lpstr>
      <vt:lpstr>'89'!Мощность9</vt:lpstr>
      <vt:lpstr>Мощность9</vt:lpstr>
      <vt:lpstr>'158'!Напор_м</vt:lpstr>
      <vt:lpstr>'161'!Напор_м</vt:lpstr>
      <vt:lpstr>'166'!Напор_м</vt:lpstr>
      <vt:lpstr>'168'!Напор_м</vt:lpstr>
      <vt:lpstr>'191'!Напор_м</vt:lpstr>
      <vt:lpstr>'193'!Напор_м</vt:lpstr>
      <vt:lpstr>'68'!Напор_м</vt:lpstr>
      <vt:lpstr>'80'!Напор_м</vt:lpstr>
      <vt:lpstr>'84'!Напор_м</vt:lpstr>
      <vt:lpstr>'86'!Напор_м</vt:lpstr>
      <vt:lpstr>'88'!Напор_м</vt:lpstr>
      <vt:lpstr>'89'!Напор_м</vt:lpstr>
      <vt:lpstr>Напор_м</vt:lpstr>
      <vt:lpstr>'158'!Напор0</vt:lpstr>
      <vt:lpstr>'161'!Напор0</vt:lpstr>
      <vt:lpstr>'166'!Напор0</vt:lpstr>
      <vt:lpstr>'168'!Напор0</vt:lpstr>
      <vt:lpstr>'191'!Напор0</vt:lpstr>
      <vt:lpstr>'193'!Напор0</vt:lpstr>
      <vt:lpstr>'68'!Напор0</vt:lpstr>
      <vt:lpstr>'80'!Напор0</vt:lpstr>
      <vt:lpstr>'84'!Напор0</vt:lpstr>
      <vt:lpstr>'86'!Напор0</vt:lpstr>
      <vt:lpstr>'88'!Напор0</vt:lpstr>
      <vt:lpstr>'89'!Напор0</vt:lpstr>
      <vt:lpstr>Напор0</vt:lpstr>
      <vt:lpstr>'158'!Напор1</vt:lpstr>
      <vt:lpstr>'161'!Напор1</vt:lpstr>
      <vt:lpstr>'166'!Напор1</vt:lpstr>
      <vt:lpstr>'168'!Напор1</vt:lpstr>
      <vt:lpstr>'191'!Напор1</vt:lpstr>
      <vt:lpstr>'193'!Напор1</vt:lpstr>
      <vt:lpstr>'68'!Напор1</vt:lpstr>
      <vt:lpstr>'80'!Напор1</vt:lpstr>
      <vt:lpstr>'84'!Напор1</vt:lpstr>
      <vt:lpstr>'86'!Напор1</vt:lpstr>
      <vt:lpstr>'88'!Напор1</vt:lpstr>
      <vt:lpstr>'89'!Напор1</vt:lpstr>
      <vt:lpstr>Напор1</vt:lpstr>
      <vt:lpstr>'158'!Напор10</vt:lpstr>
      <vt:lpstr>'161'!Напор10</vt:lpstr>
      <vt:lpstr>'166'!Напор10</vt:lpstr>
      <vt:lpstr>'168'!Напор10</vt:lpstr>
      <vt:lpstr>'191'!Напор10</vt:lpstr>
      <vt:lpstr>'193'!Напор10</vt:lpstr>
      <vt:lpstr>'68'!Напор10</vt:lpstr>
      <vt:lpstr>'80'!Напор10</vt:lpstr>
      <vt:lpstr>'84'!Напор10</vt:lpstr>
      <vt:lpstr>'86'!Напор10</vt:lpstr>
      <vt:lpstr>'88'!Напор10</vt:lpstr>
      <vt:lpstr>'89'!Напор10</vt:lpstr>
      <vt:lpstr>Напор10</vt:lpstr>
      <vt:lpstr>'158'!Напор2</vt:lpstr>
      <vt:lpstr>'161'!Напор2</vt:lpstr>
      <vt:lpstr>'166'!Напор2</vt:lpstr>
      <vt:lpstr>'168'!Напор2</vt:lpstr>
      <vt:lpstr>'191'!Напор2</vt:lpstr>
      <vt:lpstr>'193'!Напор2</vt:lpstr>
      <vt:lpstr>'68'!Напор2</vt:lpstr>
      <vt:lpstr>'80'!Напор2</vt:lpstr>
      <vt:lpstr>'84'!Напор2</vt:lpstr>
      <vt:lpstr>'86'!Напор2</vt:lpstr>
      <vt:lpstr>'88'!Напор2</vt:lpstr>
      <vt:lpstr>'89'!Напор2</vt:lpstr>
      <vt:lpstr>Напор2</vt:lpstr>
      <vt:lpstr>'158'!Напор3</vt:lpstr>
      <vt:lpstr>'161'!Напор3</vt:lpstr>
      <vt:lpstr>'166'!Напор3</vt:lpstr>
      <vt:lpstr>'168'!Напор3</vt:lpstr>
      <vt:lpstr>'191'!Напор3</vt:lpstr>
      <vt:lpstr>'193'!Напор3</vt:lpstr>
      <vt:lpstr>'68'!Напор3</vt:lpstr>
      <vt:lpstr>'80'!Напор3</vt:lpstr>
      <vt:lpstr>'84'!Напор3</vt:lpstr>
      <vt:lpstr>'86'!Напор3</vt:lpstr>
      <vt:lpstr>'88'!Напор3</vt:lpstr>
      <vt:lpstr>'89'!Напор3</vt:lpstr>
      <vt:lpstr>Напор3</vt:lpstr>
      <vt:lpstr>'158'!Напор4</vt:lpstr>
      <vt:lpstr>'161'!Напор4</vt:lpstr>
      <vt:lpstr>'166'!Напор4</vt:lpstr>
      <vt:lpstr>'168'!Напор4</vt:lpstr>
      <vt:lpstr>'191'!Напор4</vt:lpstr>
      <vt:lpstr>'193'!Напор4</vt:lpstr>
      <vt:lpstr>'68'!Напор4</vt:lpstr>
      <vt:lpstr>'80'!Напор4</vt:lpstr>
      <vt:lpstr>'84'!Напор4</vt:lpstr>
      <vt:lpstr>'86'!Напор4</vt:lpstr>
      <vt:lpstr>'88'!Напор4</vt:lpstr>
      <vt:lpstr>'89'!Напор4</vt:lpstr>
      <vt:lpstr>Напор4</vt:lpstr>
      <vt:lpstr>'158'!Напор5</vt:lpstr>
      <vt:lpstr>'161'!Напор5</vt:lpstr>
      <vt:lpstr>'166'!Напор5</vt:lpstr>
      <vt:lpstr>'168'!Напор5</vt:lpstr>
      <vt:lpstr>'191'!Напор5</vt:lpstr>
      <vt:lpstr>'193'!Напор5</vt:lpstr>
      <vt:lpstr>'68'!Напор5</vt:lpstr>
      <vt:lpstr>'80'!Напор5</vt:lpstr>
      <vt:lpstr>'84'!Напор5</vt:lpstr>
      <vt:lpstr>'86'!Напор5</vt:lpstr>
      <vt:lpstr>'88'!Напор5</vt:lpstr>
      <vt:lpstr>'89'!Напор5</vt:lpstr>
      <vt:lpstr>Напор5</vt:lpstr>
      <vt:lpstr>'158'!Напор6</vt:lpstr>
      <vt:lpstr>'161'!Напор6</vt:lpstr>
      <vt:lpstr>'166'!Напор6</vt:lpstr>
      <vt:lpstr>'168'!Напор6</vt:lpstr>
      <vt:lpstr>'191'!Напор6</vt:lpstr>
      <vt:lpstr>'193'!Напор6</vt:lpstr>
      <vt:lpstr>'68'!Напор6</vt:lpstr>
      <vt:lpstr>'80'!Напор6</vt:lpstr>
      <vt:lpstr>'84'!Напор6</vt:lpstr>
      <vt:lpstr>'86'!Напор6</vt:lpstr>
      <vt:lpstr>'88'!Напор6</vt:lpstr>
      <vt:lpstr>'89'!Напор6</vt:lpstr>
      <vt:lpstr>Напор6</vt:lpstr>
      <vt:lpstr>'158'!Напор7</vt:lpstr>
      <vt:lpstr>'161'!Напор7</vt:lpstr>
      <vt:lpstr>'166'!Напор7</vt:lpstr>
      <vt:lpstr>'168'!Напор7</vt:lpstr>
      <vt:lpstr>'191'!Напор7</vt:lpstr>
      <vt:lpstr>'193'!Напор7</vt:lpstr>
      <vt:lpstr>'68'!Напор7</vt:lpstr>
      <vt:lpstr>'80'!Напор7</vt:lpstr>
      <vt:lpstr>'84'!Напор7</vt:lpstr>
      <vt:lpstr>'86'!Напор7</vt:lpstr>
      <vt:lpstr>'88'!Напор7</vt:lpstr>
      <vt:lpstr>'89'!Напор7</vt:lpstr>
      <vt:lpstr>Напор7</vt:lpstr>
      <vt:lpstr>'158'!Напор8</vt:lpstr>
      <vt:lpstr>'161'!Напор8</vt:lpstr>
      <vt:lpstr>'166'!Напор8</vt:lpstr>
      <vt:lpstr>'168'!Напор8</vt:lpstr>
      <vt:lpstr>'191'!Напор8</vt:lpstr>
      <vt:lpstr>'193'!Напор8</vt:lpstr>
      <vt:lpstr>'68'!Напор8</vt:lpstr>
      <vt:lpstr>'80'!Напор8</vt:lpstr>
      <vt:lpstr>'84'!Напор8</vt:lpstr>
      <vt:lpstr>'86'!Напор8</vt:lpstr>
      <vt:lpstr>'88'!Напор8</vt:lpstr>
      <vt:lpstr>'89'!Напор8</vt:lpstr>
      <vt:lpstr>Напор8</vt:lpstr>
      <vt:lpstr>'158'!Напор9</vt:lpstr>
      <vt:lpstr>'161'!Напор9</vt:lpstr>
      <vt:lpstr>'166'!Напор9</vt:lpstr>
      <vt:lpstr>'168'!Напор9</vt:lpstr>
      <vt:lpstr>'191'!Напор9</vt:lpstr>
      <vt:lpstr>'193'!Напор9</vt:lpstr>
      <vt:lpstr>'68'!Напор9</vt:lpstr>
      <vt:lpstr>'80'!Напор9</vt:lpstr>
      <vt:lpstr>'84'!Напор9</vt:lpstr>
      <vt:lpstr>'86'!Напор9</vt:lpstr>
      <vt:lpstr>'88'!Напор9</vt:lpstr>
      <vt:lpstr>'89'!Напор9</vt:lpstr>
      <vt:lpstr>Напор9</vt:lpstr>
      <vt:lpstr>'158'!Подача_f50_</vt:lpstr>
      <vt:lpstr>'161'!Подача_f50_</vt:lpstr>
      <vt:lpstr>'166'!Подача_f50_</vt:lpstr>
      <vt:lpstr>'168'!Подача_f50_</vt:lpstr>
      <vt:lpstr>'191'!Подача_f50_</vt:lpstr>
      <vt:lpstr>'193'!Подача_f50_</vt:lpstr>
      <vt:lpstr>'68'!Подача_f50_</vt:lpstr>
      <vt:lpstr>'80'!Подача_f50_</vt:lpstr>
      <vt:lpstr>'84'!Подача_f50_</vt:lpstr>
      <vt:lpstr>'86'!Подача_f50_</vt:lpstr>
      <vt:lpstr>'88'!Подача_f50_</vt:lpstr>
      <vt:lpstr>'89'!Подача_f50_</vt:lpstr>
      <vt:lpstr>Подача_f50_</vt:lpstr>
      <vt:lpstr>'158'!Подача_пласт_м3_сут</vt:lpstr>
      <vt:lpstr>'161'!Подача_пласт_м3_сут</vt:lpstr>
      <vt:lpstr>'166'!Подача_пласт_м3_сут</vt:lpstr>
      <vt:lpstr>'168'!Подача_пласт_м3_сут</vt:lpstr>
      <vt:lpstr>'191'!Подача_пласт_м3_сут</vt:lpstr>
      <vt:lpstr>'193'!Подача_пласт_м3_сут</vt:lpstr>
      <vt:lpstr>'68'!Подача_пласт_м3_сут</vt:lpstr>
      <vt:lpstr>'80'!Подача_пласт_м3_сут</vt:lpstr>
      <vt:lpstr>'84'!Подача_пласт_м3_сут</vt:lpstr>
      <vt:lpstr>'86'!Подача_пласт_м3_сут</vt:lpstr>
      <vt:lpstr>'88'!Подача_пласт_м3_сут</vt:lpstr>
      <vt:lpstr>'89'!Подача_пласт_м3_сут</vt:lpstr>
      <vt:lpstr>Подача_пласт_м3_сут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2020-05-20T19:18:17Z</dcterms:created>
  <dcterms:modified xsi:type="dcterms:W3CDTF">2026-03-06T05:14:57Z</dcterms:modified>
</cp:coreProperties>
</file>