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concretando análisis\energía\"/>
    </mc:Choice>
  </mc:AlternateContent>
  <bookViews>
    <workbookView xWindow="0" yWindow="0" windowWidth="12930" windowHeight="6150"/>
  </bookViews>
  <sheets>
    <sheet name="Energía_final" sheetId="17" r:id="rId1"/>
    <sheet name="Hoja 1 " sheetId="14" r:id="rId2"/>
    <sheet name="energia_esp" sheetId="13" r:id="rId3"/>
    <sheet name="Hoja2" sheetId="12" r:id="rId4"/>
    <sheet name="Hoja3" sheetId="16" r:id="rId5"/>
    <sheet name="VBW_Lect_Esc_PE_16" sheetId="2" r:id="rId6"/>
    <sheet name="AlexNet" sheetId="3" r:id="rId7"/>
    <sheet name="SqueezNet" sheetId="4" r:id="rId8"/>
    <sheet name="DenseNet" sheetId="8" r:id="rId9"/>
    <sheet name="MobileNet" sheetId="5" r:id="rId10"/>
    <sheet name="VGG16" sheetId="6" r:id="rId11"/>
    <sheet name="ZFNet" sheetId="7" r:id="rId12"/>
  </sheets>
  <definedNames>
    <definedName name="_xlnm._FilterDatabase" localSheetId="8" hidden="1">DenseNet!$D$3:$E$133</definedName>
  </definedNames>
  <calcPr calcId="162913"/>
</workbook>
</file>

<file path=xl/calcChain.xml><?xml version="1.0" encoding="utf-8"?>
<calcChain xmlns="http://schemas.openxmlformats.org/spreadsheetml/2006/main">
  <c r="U76" i="14" l="1"/>
  <c r="T76" i="14"/>
  <c r="U75" i="14"/>
  <c r="T75" i="14"/>
  <c r="U74" i="14"/>
  <c r="T74" i="14"/>
  <c r="U73" i="14"/>
  <c r="T73" i="14"/>
  <c r="U72" i="14"/>
  <c r="T72" i="14"/>
  <c r="U71" i="14"/>
  <c r="T71" i="14"/>
  <c r="P66" i="14"/>
  <c r="P64" i="14"/>
  <c r="O64" i="14"/>
  <c r="N64" i="14"/>
  <c r="N62" i="14"/>
  <c r="P61" i="14"/>
  <c r="N60" i="14"/>
  <c r="N59" i="14"/>
  <c r="N58" i="14"/>
  <c r="P57" i="14"/>
  <c r="N57" i="14"/>
  <c r="P55" i="14"/>
  <c r="N55" i="14"/>
  <c r="U51" i="14"/>
  <c r="Q66" i="14" s="1"/>
  <c r="T51" i="14"/>
  <c r="O66" i="14" s="1"/>
  <c r="R51" i="14"/>
  <c r="Q51" i="14"/>
  <c r="O51" i="14"/>
  <c r="N51" i="14"/>
  <c r="N66" i="14" s="1"/>
  <c r="L51" i="14"/>
  <c r="P65" i="14" s="1"/>
  <c r="K51" i="14"/>
  <c r="N65" i="14" s="1"/>
  <c r="U50" i="14"/>
  <c r="T50" i="14"/>
  <c r="R50" i="14"/>
  <c r="Q64" i="14" s="1"/>
  <c r="Q50" i="14"/>
  <c r="O50" i="14"/>
  <c r="N50" i="14"/>
  <c r="L50" i="14"/>
  <c r="P63" i="14" s="1"/>
  <c r="K50" i="14"/>
  <c r="N63" i="14" s="1"/>
  <c r="U49" i="14"/>
  <c r="T49" i="14"/>
  <c r="R49" i="14"/>
  <c r="Q49" i="14"/>
  <c r="O49" i="14"/>
  <c r="P62" i="14" s="1"/>
  <c r="N49" i="14"/>
  <c r="L49" i="14"/>
  <c r="K49" i="14"/>
  <c r="N61" i="14" s="1"/>
  <c r="U48" i="14"/>
  <c r="T48" i="14"/>
  <c r="O60" i="14" s="1"/>
  <c r="R48" i="14"/>
  <c r="Q48" i="14"/>
  <c r="O48" i="14"/>
  <c r="P60" i="14" s="1"/>
  <c r="N48" i="14"/>
  <c r="L48" i="14"/>
  <c r="P59" i="14" s="1"/>
  <c r="K48" i="14"/>
  <c r="U47" i="14"/>
  <c r="T47" i="14"/>
  <c r="R47" i="14"/>
  <c r="Q47" i="14"/>
  <c r="O58" i="14" s="1"/>
  <c r="O47" i="14"/>
  <c r="P58" i="14" s="1"/>
  <c r="N47" i="14"/>
  <c r="L47" i="14"/>
  <c r="K47" i="14"/>
  <c r="I47" i="14"/>
  <c r="U46" i="14"/>
  <c r="T46" i="14"/>
  <c r="R46" i="14"/>
  <c r="Q56" i="14" s="1"/>
  <c r="Q46" i="14"/>
  <c r="O46" i="14"/>
  <c r="P56" i="14" s="1"/>
  <c r="N46" i="14"/>
  <c r="N56" i="14" s="1"/>
  <c r="L46" i="14"/>
  <c r="K46" i="14"/>
  <c r="E42" i="14"/>
  <c r="F42" i="14" s="1"/>
  <c r="C42" i="14"/>
  <c r="J32" i="14"/>
  <c r="D32" i="14"/>
  <c r="G31" i="14"/>
  <c r="H31" i="14" s="1"/>
  <c r="D31" i="14"/>
  <c r="L30" i="14"/>
  <c r="M30" i="14" s="1"/>
  <c r="J30" i="14"/>
  <c r="D30" i="14"/>
  <c r="J29" i="14"/>
  <c r="I29" i="14"/>
  <c r="D29" i="14"/>
  <c r="L28" i="14"/>
  <c r="M28" i="14" s="1"/>
  <c r="J28" i="14"/>
  <c r="D28" i="14"/>
  <c r="L27" i="14"/>
  <c r="M27" i="14" s="1"/>
  <c r="K27" i="14"/>
  <c r="J27" i="14"/>
  <c r="I27" i="14"/>
  <c r="D27" i="14"/>
  <c r="C20" i="14"/>
  <c r="C23" i="14" s="1"/>
  <c r="B18" i="14"/>
  <c r="B17" i="14"/>
  <c r="D15" i="14"/>
  <c r="G10" i="14"/>
  <c r="J31" i="14" s="1"/>
  <c r="E10" i="14"/>
  <c r="L31" i="14" s="1"/>
  <c r="M31" i="14" s="1"/>
  <c r="G9" i="14"/>
  <c r="I32" i="14" s="1"/>
  <c r="E9" i="14"/>
  <c r="F7" i="14"/>
  <c r="G7" i="14" s="1"/>
  <c r="D7" i="14"/>
  <c r="E7" i="14" s="1"/>
  <c r="F6" i="14"/>
  <c r="G6" i="14" s="1"/>
  <c r="D6" i="14"/>
  <c r="E6" i="14" s="1"/>
  <c r="F5" i="14"/>
  <c r="G5" i="14" s="1"/>
  <c r="D5" i="14"/>
  <c r="E5" i="14" s="1"/>
  <c r="F4" i="14"/>
  <c r="G4" i="14" s="1"/>
  <c r="D4" i="14"/>
  <c r="E4" i="14" s="1"/>
  <c r="F23" i="14" l="1"/>
  <c r="O31" i="14"/>
  <c r="P47" i="14"/>
  <c r="M47" i="14"/>
  <c r="J47" i="14"/>
  <c r="S47" i="14"/>
  <c r="G29" i="14"/>
  <c r="H29" i="14" s="1"/>
  <c r="G32" i="14"/>
  <c r="H32" i="14" s="1"/>
  <c r="G27" i="14"/>
  <c r="H27" i="14" s="1"/>
  <c r="G28" i="14"/>
  <c r="H28" i="14" s="1"/>
  <c r="D20" i="14"/>
  <c r="E20" i="14" s="1"/>
  <c r="G30" i="14"/>
  <c r="H30" i="14" s="1"/>
  <c r="N27" i="14"/>
  <c r="K30" i="14"/>
  <c r="K28" i="14"/>
  <c r="N28" i="14" s="1"/>
  <c r="K31" i="14"/>
  <c r="K32" i="14"/>
  <c r="N32" i="14" s="1"/>
  <c r="K29" i="14"/>
  <c r="N29" i="14" s="1"/>
  <c r="F31" i="14"/>
  <c r="F29" i="14"/>
  <c r="G15" i="14"/>
  <c r="F32" i="14"/>
  <c r="F27" i="14"/>
  <c r="O27" i="14" s="1"/>
  <c r="F30" i="14"/>
  <c r="O30" i="14" s="1"/>
  <c r="H23" i="14"/>
  <c r="F28" i="14"/>
  <c r="O28" i="14" s="1"/>
  <c r="I50" i="14"/>
  <c r="I48" i="14"/>
  <c r="I51" i="14"/>
  <c r="I46" i="14"/>
  <c r="I49" i="14"/>
  <c r="Q58" i="14"/>
  <c r="Q60" i="14"/>
  <c r="Q62" i="14"/>
  <c r="O56" i="14"/>
  <c r="I31" i="14"/>
  <c r="L32" i="14"/>
  <c r="M32" i="14" s="1"/>
  <c r="C21" i="14"/>
  <c r="C22" i="14" s="1"/>
  <c r="D22" i="14" s="1"/>
  <c r="I28" i="14"/>
  <c r="L29" i="14"/>
  <c r="M29" i="14" s="1"/>
  <c r="O29" i="14" s="1"/>
  <c r="O62" i="14"/>
  <c r="I30" i="14"/>
  <c r="Z58" i="14" l="1"/>
  <c r="L57" i="14"/>
  <c r="B56" i="14"/>
  <c r="Q28" i="14"/>
  <c r="P28" i="14"/>
  <c r="O32" i="14"/>
  <c r="P32" i="14" s="1"/>
  <c r="M49" i="14"/>
  <c r="P49" i="14"/>
  <c r="S49" i="14"/>
  <c r="J49" i="14"/>
  <c r="P27" i="14"/>
  <c r="Q27" i="14"/>
  <c r="L58" i="14"/>
  <c r="U58" i="14" s="1"/>
  <c r="D56" i="14"/>
  <c r="M46" i="14"/>
  <c r="S46" i="14"/>
  <c r="J46" i="14"/>
  <c r="P46" i="14"/>
  <c r="E56" i="14"/>
  <c r="C56" i="14"/>
  <c r="N30" i="14"/>
  <c r="S51" i="14"/>
  <c r="J51" i="14"/>
  <c r="P51" i="14"/>
  <c r="M51" i="14"/>
  <c r="P29" i="14"/>
  <c r="Q29" i="14"/>
  <c r="S48" i="14"/>
  <c r="J48" i="14"/>
  <c r="P48" i="14"/>
  <c r="M48" i="14"/>
  <c r="Q32" i="14"/>
  <c r="P50" i="14"/>
  <c r="S50" i="14"/>
  <c r="M50" i="14"/>
  <c r="J50" i="14"/>
  <c r="N31" i="14"/>
  <c r="G23" i="14"/>
  <c r="M58" i="14" l="1"/>
  <c r="V58" i="14" s="1"/>
  <c r="Q30" i="14"/>
  <c r="P30" i="14"/>
  <c r="M64" i="14"/>
  <c r="E59" i="14"/>
  <c r="C59" i="14"/>
  <c r="E55" i="14"/>
  <c r="C55" i="14"/>
  <c r="B58" i="14"/>
  <c r="L61" i="14"/>
  <c r="H56" i="14"/>
  <c r="P31" i="14"/>
  <c r="Q31" i="14"/>
  <c r="E60" i="14"/>
  <c r="C60" i="14"/>
  <c r="L55" i="14"/>
  <c r="B55" i="14"/>
  <c r="Z57" i="14"/>
  <c r="Y57" i="14"/>
  <c r="X57" i="14"/>
  <c r="V57" i="14"/>
  <c r="U57" i="14"/>
  <c r="AA57" i="14" s="1"/>
  <c r="W58" i="14"/>
  <c r="X58" i="14"/>
  <c r="Y58" i="14"/>
  <c r="W57" i="14"/>
  <c r="L59" i="14"/>
  <c r="B57" i="14"/>
  <c r="AA58" i="14"/>
  <c r="L63" i="14"/>
  <c r="B59" i="14"/>
  <c r="L65" i="14"/>
  <c r="B60" i="14"/>
  <c r="M62" i="14"/>
  <c r="V62" i="14" s="1"/>
  <c r="E58" i="14"/>
  <c r="C58" i="14"/>
  <c r="L66" i="14"/>
  <c r="U66" i="14" s="1"/>
  <c r="D60" i="14"/>
  <c r="L60" i="14"/>
  <c r="U60" i="14" s="1"/>
  <c r="D57" i="14"/>
  <c r="L64" i="14"/>
  <c r="D59" i="14"/>
  <c r="E57" i="14"/>
  <c r="M60" i="14"/>
  <c r="V60" i="14" s="1"/>
  <c r="C57" i="14"/>
  <c r="L56" i="14"/>
  <c r="U56" i="14" s="1"/>
  <c r="D55" i="14"/>
  <c r="L62" i="14"/>
  <c r="U62" i="14" s="1"/>
  <c r="D58" i="14"/>
  <c r="M56" i="14" l="1"/>
  <c r="V56" i="14" s="1"/>
  <c r="M66" i="14"/>
  <c r="V66" i="14" s="1"/>
  <c r="H57" i="14"/>
  <c r="X59" i="14"/>
  <c r="V59" i="14"/>
  <c r="U59" i="14"/>
  <c r="AA59" i="14" s="1"/>
  <c r="Z59" i="14"/>
  <c r="W59" i="14"/>
  <c r="X60" i="14"/>
  <c r="Y60" i="14"/>
  <c r="Y59" i="14"/>
  <c r="W60" i="14"/>
  <c r="Z60" i="14"/>
  <c r="V64" i="14"/>
  <c r="U64" i="14"/>
  <c r="U68" i="14" s="1"/>
  <c r="H60" i="14"/>
  <c r="H55" i="14"/>
  <c r="U61" i="14"/>
  <c r="V61" i="14"/>
  <c r="Z61" i="14"/>
  <c r="X61" i="14"/>
  <c r="Y62" i="14"/>
  <c r="W61" i="14"/>
  <c r="Y61" i="14"/>
  <c r="W62" i="14"/>
  <c r="Z62" i="14"/>
  <c r="X62" i="14"/>
  <c r="AA62" i="14" s="1"/>
  <c r="V63" i="14"/>
  <c r="U63" i="14"/>
  <c r="X63" i="14"/>
  <c r="Z63" i="14"/>
  <c r="W64" i="14"/>
  <c r="Y63" i="14"/>
  <c r="W63" i="14"/>
  <c r="X64" i="14"/>
  <c r="Z64" i="14"/>
  <c r="Y64" i="14"/>
  <c r="AA66" i="14"/>
  <c r="V65" i="14"/>
  <c r="U65" i="14"/>
  <c r="X65" i="14"/>
  <c r="Z65" i="14"/>
  <c r="X66" i="14"/>
  <c r="Y66" i="14"/>
  <c r="Y65" i="14"/>
  <c r="Z66" i="14"/>
  <c r="W66" i="14"/>
  <c r="W65" i="14"/>
  <c r="Z55" i="14"/>
  <c r="X55" i="14"/>
  <c r="V55" i="14"/>
  <c r="U55" i="14"/>
  <c r="Z56" i="14"/>
  <c r="Z68" i="14" s="1"/>
  <c r="W55" i="14"/>
  <c r="Y55" i="14"/>
  <c r="W56" i="14"/>
  <c r="Y56" i="14"/>
  <c r="X56" i="14"/>
  <c r="H58" i="14"/>
  <c r="AA60" i="14"/>
  <c r="H59" i="14"/>
  <c r="X68" i="14" l="1"/>
  <c r="X67" i="14"/>
  <c r="AA63" i="14"/>
  <c r="V67" i="14"/>
  <c r="Z67" i="14"/>
  <c r="W68" i="14"/>
  <c r="AA65" i="14"/>
  <c r="AA55" i="14"/>
  <c r="U67" i="14"/>
  <c r="AA61" i="14"/>
  <c r="Y67" i="14"/>
  <c r="AA56" i="14"/>
  <c r="Y68" i="14"/>
  <c r="W67" i="14"/>
  <c r="AA64" i="14"/>
  <c r="V68" i="14"/>
  <c r="AA67" i="14" l="1"/>
  <c r="AA68" i="14"/>
  <c r="H38" i="2" l="1"/>
  <c r="D128" i="8" l="1"/>
  <c r="B134" i="8" s="1"/>
  <c r="B98" i="8"/>
  <c r="G129" i="8" l="1"/>
  <c r="D10" i="7"/>
  <c r="B10" i="7"/>
  <c r="B13" i="7" s="1"/>
  <c r="D15" i="6" l="1"/>
  <c r="C15" i="6"/>
  <c r="B15" i="6"/>
  <c r="F15" i="6" s="1"/>
  <c r="B18" i="6" l="1"/>
  <c r="D19" i="5"/>
  <c r="C19" i="5"/>
  <c r="B19" i="5"/>
  <c r="F19" i="5" l="1"/>
  <c r="B22" i="5"/>
  <c r="D19" i="4" l="1"/>
  <c r="B19" i="4"/>
  <c r="B22" i="4" s="1"/>
  <c r="F19" i="4" l="1"/>
  <c r="D10" i="3" l="1"/>
  <c r="B10" i="3"/>
  <c r="B12" i="3" s="1"/>
  <c r="F10" i="3" l="1"/>
  <c r="C8" i="2" l="1"/>
  <c r="C7" i="2"/>
  <c r="C6" i="2"/>
  <c r="C5" i="2"/>
  <c r="C4" i="2"/>
  <c r="C3" i="2"/>
</calcChain>
</file>

<file path=xl/comments1.xml><?xml version="1.0" encoding="utf-8"?>
<comments xmlns="http://schemas.openxmlformats.org/spreadsheetml/2006/main">
  <authors>
    <author>usuario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estaba colocando  los datos aquí y esta tabla no es la que está conectada a las fórmulas</t>
        </r>
      </text>
    </comment>
  </commentList>
</comments>
</file>

<file path=xl/sharedStrings.xml><?xml version="1.0" encoding="utf-8"?>
<sst xmlns="http://schemas.openxmlformats.org/spreadsheetml/2006/main" count="794" uniqueCount="144">
  <si>
    <t>32 nm</t>
  </si>
  <si>
    <t>Escalado</t>
  </si>
  <si>
    <t>2048 B, 4096 B, 8192 B, 16384 B</t>
  </si>
  <si>
    <t>Dyn</t>
  </si>
  <si>
    <t>Patch cache</t>
  </si>
  <si>
    <t>Static (mW)</t>
  </si>
  <si>
    <t>Static (W)</t>
  </si>
  <si>
    <t>Read (nJ)</t>
  </si>
  <si>
    <t>Read (J)</t>
  </si>
  <si>
    <t>0.6V</t>
  </si>
  <si>
    <t>original</t>
  </si>
  <si>
    <t>64B-4way</t>
  </si>
  <si>
    <t>x2</t>
  </si>
  <si>
    <t>128B-4way</t>
  </si>
  <si>
    <t>x3</t>
  </si>
  <si>
    <t>256B-4way</t>
  </si>
  <si>
    <t>x4</t>
  </si>
  <si>
    <t>512B-4way</t>
  </si>
  <si>
    <t>2 MB scratch</t>
  </si>
  <si>
    <t>0.54V</t>
  </si>
  <si>
    <t>Multiplicar por número de accesos (lecturas y escrituras)</t>
  </si>
  <si>
    <t>Multiplicar por ciclos y por tiempo de ciclo (1e-9 s, asumiendo F=1GHz), resultado son J</t>
  </si>
  <si>
    <t>ciclos</t>
  </si>
  <si>
    <t>0.54v</t>
  </si>
  <si>
    <t>0.6v</t>
  </si>
  <si>
    <t>AlexNet</t>
  </si>
  <si>
    <t>SqueezeNet</t>
  </si>
  <si>
    <t>DenseNet</t>
  </si>
  <si>
    <t>MobileNet</t>
  </si>
  <si>
    <t>VGG16</t>
  </si>
  <si>
    <t>ZFNet</t>
  </si>
  <si>
    <t>VBW_x4</t>
  </si>
  <si>
    <t>R+WxB</t>
  </si>
  <si>
    <t>xPE=16</t>
  </si>
  <si>
    <t>ExG7</t>
  </si>
  <si>
    <t>Gx1e-9</t>
  </si>
  <si>
    <t>(B+E)*E7</t>
  </si>
  <si>
    <t>CxG9</t>
  </si>
  <si>
    <t>M+F+H</t>
  </si>
  <si>
    <t>ciclo</t>
  </si>
  <si>
    <t>CxG10</t>
  </si>
  <si>
    <t>E9xB</t>
  </si>
  <si>
    <t>E10xB</t>
  </si>
  <si>
    <t>N/O</t>
  </si>
  <si>
    <t>N/M</t>
  </si>
  <si>
    <t>Memoria 2MiB</t>
  </si>
  <si>
    <t>P. Static</t>
  </si>
  <si>
    <t>Watts</t>
  </si>
  <si>
    <t>Read Block 32B</t>
  </si>
  <si>
    <t>Write Block 32B</t>
  </si>
  <si>
    <t>Read act. 16b</t>
  </si>
  <si>
    <t>Write act. 16b</t>
  </si>
  <si>
    <t>ciclos ejecución</t>
  </si>
  <si>
    <t>Lect. activaciones</t>
  </si>
  <si>
    <t>Lect. Bloques 32B</t>
  </si>
  <si>
    <t>Escr. Activaciones</t>
  </si>
  <si>
    <t>E. Bloques 32B</t>
  </si>
  <si>
    <t>Reloj</t>
  </si>
  <si>
    <t>GHz</t>
  </si>
  <si>
    <t>ns</t>
  </si>
  <si>
    <t>Tiempo Eje (s)</t>
  </si>
  <si>
    <t>Cache Patch</t>
  </si>
  <si>
    <t>E. Estatica</t>
  </si>
  <si>
    <t>E. Lectura</t>
  </si>
  <si>
    <t>E. Escrituras</t>
  </si>
  <si>
    <t xml:space="preserve">Energia Estática </t>
  </si>
  <si>
    <t>Memoria 2MiB 0.6V</t>
  </si>
  <si>
    <t>Energia Estática</t>
  </si>
  <si>
    <t>Memoria 2MiB 0.54V</t>
  </si>
  <si>
    <t>E.Lecturas</t>
  </si>
  <si>
    <t>E.Escritura</t>
  </si>
  <si>
    <t>E. Lecturas</t>
  </si>
  <si>
    <t>Lecturas VBW</t>
  </si>
  <si>
    <t>Escrituras VBW</t>
  </si>
  <si>
    <t>Solo activaciones</t>
  </si>
  <si>
    <t>Convecional 0.6V</t>
  </si>
  <si>
    <t>F+P 0.54V</t>
  </si>
  <si>
    <t>Arquit</t>
  </si>
  <si>
    <t>ciclos_1img</t>
  </si>
  <si>
    <t>ciclos_150img</t>
  </si>
  <si>
    <t># acces_VBW_1im</t>
  </si>
  <si>
    <t># acces_VBW_150</t>
  </si>
  <si>
    <t>Lecturas</t>
  </si>
  <si>
    <t>Escrituras</t>
  </si>
  <si>
    <t>mask_2</t>
  </si>
  <si>
    <t>Mask_3</t>
  </si>
  <si>
    <t>mask_4</t>
  </si>
  <si>
    <t>Capa</t>
  </si>
  <si>
    <t>Read_block</t>
  </si>
  <si>
    <t>Write_block</t>
  </si>
  <si>
    <t>Conv2D</t>
  </si>
  <si>
    <t>InputLayer</t>
  </si>
  <si>
    <t>MaxPooling2D</t>
  </si>
  <si>
    <t>Dense</t>
  </si>
  <si>
    <t>GlobalAveragePooling2D</t>
  </si>
  <si>
    <t>DepthwiseConv2D</t>
  </si>
  <si>
    <t>Lectura</t>
  </si>
  <si>
    <t>Escritura</t>
  </si>
  <si>
    <t>BatchNormalization</t>
  </si>
  <si>
    <t>Concatenate</t>
  </si>
  <si>
    <t>AveragePooling2D</t>
  </si>
  <si>
    <t>Lambda</t>
  </si>
  <si>
    <t xml:space="preserve">Access time </t>
  </si>
  <si>
    <t>low-op</t>
  </si>
  <si>
    <t xml:space="preserve">Access time 	</t>
  </si>
  <si>
    <t>Memoria cache 1280B-5way</t>
  </si>
  <si>
    <t>Memoria 2MiB con overhead de f y p bits (256 KB)</t>
  </si>
  <si>
    <t>nJulios</t>
  </si>
  <si>
    <t>JULIOS</t>
  </si>
  <si>
    <t>con overhead de p y f bits</t>
  </si>
  <si>
    <t>F+P (sin f ypbits)</t>
  </si>
  <si>
    <t>Act buffer</t>
  </si>
  <si>
    <t>Overhead</t>
  </si>
  <si>
    <t>Mejora en consumo energético</t>
  </si>
  <si>
    <t>F+P</t>
  </si>
  <si>
    <t>Leakage</t>
  </si>
  <si>
    <t>Leakage_Ovh</t>
  </si>
  <si>
    <t>Read</t>
  </si>
  <si>
    <t>Read_Ovh</t>
  </si>
  <si>
    <t>Write</t>
  </si>
  <si>
    <t>Write_Ovh</t>
  </si>
  <si>
    <t>Perf. Slowdown</t>
  </si>
  <si>
    <t>Perf. Speedup</t>
  </si>
  <si>
    <t>Redes</t>
  </si>
  <si>
    <t>Vol</t>
  </si>
  <si>
    <t>Avg</t>
  </si>
  <si>
    <t>Leakage Ovh</t>
  </si>
  <si>
    <t>Read Ovh</t>
  </si>
  <si>
    <t>Write Ovh</t>
  </si>
  <si>
    <t>DVS</t>
  </si>
  <si>
    <t>V+R</t>
  </si>
  <si>
    <t>Leakage Sbc</t>
  </si>
  <si>
    <t>Lect Sbc</t>
  </si>
  <si>
    <t>Esc Sbc</t>
  </si>
  <si>
    <t>Memoria 2MiB con VDD nominal = 0.9 V</t>
  </si>
  <si>
    <t>Memoria 2MiB con overhead de f y p bits (128 KB)</t>
  </si>
  <si>
    <t>2,9054</t>
  </si>
  <si>
    <t>vol</t>
  </si>
  <si>
    <t>Thu</t>
  </si>
  <si>
    <t>Inception</t>
  </si>
  <si>
    <t>ResNet</t>
  </si>
  <si>
    <t>VGG19</t>
  </si>
  <si>
    <t>Xception</t>
  </si>
  <si>
    <t>iTUV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</si>
</sst>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"/>
    <numFmt numFmtId="165" formatCode="#,##0.000000"/>
    <numFmt numFmtId="166" formatCode="0.000000"/>
    <numFmt numFmtId="167" formatCode="#,##0.00000"/>
    <numFmt numFmtId="168" formatCode="#,##0.00000000"/>
    <numFmt numFmtId="169" formatCode="0.0000E+00"/>
    <numFmt numFmtId="170" formatCode="0.00000E+00"/>
    <numFmt numFmtId="171" formatCode="0.000E+00"/>
    <numFmt numFmtId="172" formatCode="0.000"/>
    <numFmt numFmtId="173" formatCode="#.00"/>
    <numFmt numFmtId="174" formatCode="0.00000000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7" fillId="0" borderId="13" xfId="1" applyBorder="1"/>
    <xf numFmtId="0" fontId="7" fillId="3" borderId="14" xfId="1" applyFill="1" applyBorder="1"/>
    <xf numFmtId="0" fontId="7" fillId="4" borderId="15" xfId="1" applyFill="1" applyBorder="1"/>
    <xf numFmtId="0" fontId="7" fillId="0" borderId="0" xfId="1"/>
    <xf numFmtId="0" fontId="7" fillId="0" borderId="16" xfId="1" applyBorder="1"/>
    <xf numFmtId="0" fontId="7" fillId="0" borderId="17" xfId="1" applyBorder="1"/>
    <xf numFmtId="0" fontId="7" fillId="5" borderId="0" xfId="1" applyFill="1"/>
    <xf numFmtId="0" fontId="7" fillId="6" borderId="0" xfId="1" applyFill="1"/>
    <xf numFmtId="0" fontId="7" fillId="0" borderId="1" xfId="1" applyBorder="1" applyAlignment="1">
      <alignment horizontal="left"/>
    </xf>
    <xf numFmtId="1" fontId="7" fillId="0" borderId="2" xfId="1" applyNumberFormat="1" applyBorder="1" applyAlignment="1">
      <alignment horizontal="left"/>
    </xf>
    <xf numFmtId="1" fontId="7" fillId="0" borderId="9" xfId="1" applyNumberFormat="1" applyBorder="1"/>
    <xf numFmtId="0" fontId="7" fillId="0" borderId="3" xfId="1" applyBorder="1" applyAlignment="1">
      <alignment horizontal="left"/>
    </xf>
    <xf numFmtId="1" fontId="7" fillId="0" borderId="4" xfId="1" applyNumberFormat="1" applyBorder="1" applyAlignment="1">
      <alignment horizontal="left"/>
    </xf>
    <xf numFmtId="1" fontId="7" fillId="0" borderId="7" xfId="1" applyNumberFormat="1" applyBorder="1"/>
    <xf numFmtId="0" fontId="7" fillId="2" borderId="3" xfId="1" applyFill="1" applyBorder="1" applyAlignment="1">
      <alignment horizontal="left"/>
    </xf>
    <xf numFmtId="0" fontId="7" fillId="0" borderId="5" xfId="1" applyBorder="1" applyAlignment="1">
      <alignment horizontal="left"/>
    </xf>
    <xf numFmtId="0" fontId="7" fillId="0" borderId="6" xfId="1" applyBorder="1" applyAlignment="1">
      <alignment horizontal="left"/>
    </xf>
    <xf numFmtId="1" fontId="7" fillId="0" borderId="8" xfId="1" applyNumberFormat="1" applyBorder="1"/>
    <xf numFmtId="1" fontId="7" fillId="0" borderId="0" xfId="1" applyNumberFormat="1"/>
    <xf numFmtId="0" fontId="7" fillId="0" borderId="0" xfId="1" applyAlignment="1">
      <alignment horizontal="left"/>
    </xf>
    <xf numFmtId="0" fontId="6" fillId="0" borderId="0" xfId="2"/>
    <xf numFmtId="0" fontId="14" fillId="0" borderId="10" xfId="2" applyFont="1" applyBorder="1" applyAlignment="1">
      <alignment horizontal="center" vertical="top"/>
    </xf>
    <xf numFmtId="0" fontId="14" fillId="0" borderId="12" xfId="2" applyFont="1" applyBorder="1" applyAlignment="1">
      <alignment horizontal="center" vertical="top"/>
    </xf>
    <xf numFmtId="0" fontId="6" fillId="0" borderId="16" xfId="2" applyBorder="1"/>
    <xf numFmtId="0" fontId="6" fillId="0" borderId="17" xfId="2" applyBorder="1"/>
    <xf numFmtId="0" fontId="6" fillId="0" borderId="20" xfId="2" applyBorder="1"/>
    <xf numFmtId="0" fontId="6" fillId="0" borderId="21" xfId="2" applyBorder="1"/>
    <xf numFmtId="0" fontId="14" fillId="0" borderId="3" xfId="2" applyFont="1" applyBorder="1" applyAlignment="1">
      <alignment horizontal="center" vertical="top"/>
    </xf>
    <xf numFmtId="0" fontId="14" fillId="0" borderId="7" xfId="2" applyFont="1" applyBorder="1" applyAlignment="1">
      <alignment horizontal="center" vertical="top"/>
    </xf>
    <xf numFmtId="0" fontId="6" fillId="0" borderId="4" xfId="2" applyBorder="1"/>
    <xf numFmtId="0" fontId="6" fillId="7" borderId="4" xfId="2" applyFill="1" applyBorder="1"/>
    <xf numFmtId="0" fontId="6" fillId="8" borderId="4" xfId="2" applyFill="1" applyBorder="1"/>
    <xf numFmtId="0" fontId="6" fillId="9" borderId="4" xfId="2" applyFill="1" applyBorder="1"/>
    <xf numFmtId="0" fontId="6" fillId="10" borderId="4" xfId="2" applyFill="1" applyBorder="1"/>
    <xf numFmtId="0" fontId="6" fillId="11" borderId="4" xfId="2" applyFill="1" applyBorder="1"/>
    <xf numFmtId="0" fontId="6" fillId="0" borderId="24" xfId="2" applyBorder="1"/>
    <xf numFmtId="0" fontId="14" fillId="0" borderId="4" xfId="2" applyFont="1" applyBorder="1" applyAlignment="1">
      <alignment horizontal="center" vertical="top"/>
    </xf>
    <xf numFmtId="0" fontId="6" fillId="7" borderId="0" xfId="2" applyFill="1"/>
    <xf numFmtId="0" fontId="6" fillId="7" borderId="16" xfId="2" applyFill="1" applyBorder="1"/>
    <xf numFmtId="0" fontId="6" fillId="7" borderId="17" xfId="2" applyFill="1" applyBorder="1"/>
    <xf numFmtId="0" fontId="5" fillId="0" borderId="0" xfId="3"/>
    <xf numFmtId="0" fontId="14" fillId="0" borderId="3" xfId="3" applyFont="1" applyBorder="1" applyAlignment="1">
      <alignment horizontal="center" vertical="top"/>
    </xf>
    <xf numFmtId="0" fontId="14" fillId="0" borderId="7" xfId="3" applyFont="1" applyBorder="1" applyAlignment="1">
      <alignment horizontal="center" vertical="top"/>
    </xf>
    <xf numFmtId="0" fontId="5" fillId="0" borderId="16" xfId="3" applyBorder="1"/>
    <xf numFmtId="0" fontId="5" fillId="0" borderId="17" xfId="3" applyBorder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0" xfId="7" applyFont="1" applyAlignment="1">
      <alignment horizontal="right"/>
    </xf>
    <xf numFmtId="0" fontId="8" fillId="0" borderId="0" xfId="7" applyFont="1"/>
    <xf numFmtId="0" fontId="11" fillId="0" borderId="0" xfId="7"/>
    <xf numFmtId="164" fontId="9" fillId="0" borderId="0" xfId="7" applyNumberFormat="1" applyFont="1"/>
    <xf numFmtId="165" fontId="9" fillId="0" borderId="0" xfId="7" applyNumberFormat="1" applyFont="1"/>
    <xf numFmtId="166" fontId="9" fillId="0" borderId="0" xfId="7" applyNumberFormat="1" applyFont="1"/>
    <xf numFmtId="11" fontId="9" fillId="0" borderId="0" xfId="7" applyNumberFormat="1" applyFont="1"/>
    <xf numFmtId="167" fontId="8" fillId="0" borderId="0" xfId="7" applyNumberFormat="1" applyFont="1" applyAlignment="1">
      <alignment horizontal="right"/>
    </xf>
    <xf numFmtId="168" fontId="8" fillId="0" borderId="0" xfId="7" applyNumberFormat="1" applyFont="1" applyAlignment="1">
      <alignment horizontal="right"/>
    </xf>
    <xf numFmtId="0" fontId="12" fillId="0" borderId="0" xfId="7" applyFont="1"/>
    <xf numFmtId="165" fontId="8" fillId="0" borderId="0" xfId="7" applyNumberFormat="1" applyFont="1" applyAlignment="1">
      <alignment horizontal="right"/>
    </xf>
    <xf numFmtId="0" fontId="9" fillId="0" borderId="0" xfId="7" applyFont="1"/>
    <xf numFmtId="0" fontId="10" fillId="0" borderId="0" xfId="7" applyFont="1"/>
    <xf numFmtId="0" fontId="11" fillId="0" borderId="0" xfId="7" applyFont="1"/>
    <xf numFmtId="11" fontId="11" fillId="0" borderId="0" xfId="7" applyNumberFormat="1"/>
    <xf numFmtId="169" fontId="11" fillId="0" borderId="0" xfId="7" applyNumberFormat="1"/>
    <xf numFmtId="170" fontId="11" fillId="0" borderId="0" xfId="7" applyNumberFormat="1"/>
    <xf numFmtId="11" fontId="13" fillId="0" borderId="0" xfId="7" applyNumberFormat="1" applyFont="1"/>
    <xf numFmtId="0" fontId="11" fillId="0" borderId="10" xfId="7" applyBorder="1"/>
    <xf numFmtId="0" fontId="11" fillId="0" borderId="11" xfId="7" applyFont="1" applyBorder="1"/>
    <xf numFmtId="0" fontId="11" fillId="0" borderId="11" xfId="7" applyBorder="1"/>
    <xf numFmtId="0" fontId="11" fillId="0" borderId="12" xfId="7" applyFont="1" applyBorder="1"/>
    <xf numFmtId="0" fontId="11" fillId="0" borderId="1" xfId="7" applyBorder="1" applyAlignment="1">
      <alignment horizontal="left"/>
    </xf>
    <xf numFmtId="1" fontId="11" fillId="0" borderId="2" xfId="7" applyNumberFormat="1" applyBorder="1" applyAlignment="1">
      <alignment horizontal="left"/>
    </xf>
    <xf numFmtId="0" fontId="11" fillId="0" borderId="2" xfId="7" applyBorder="1"/>
    <xf numFmtId="11" fontId="11" fillId="0" borderId="2" xfId="7" applyNumberFormat="1" applyBorder="1"/>
    <xf numFmtId="172" fontId="11" fillId="0" borderId="2" xfId="7" applyNumberFormat="1" applyBorder="1"/>
    <xf numFmtId="171" fontId="11" fillId="0" borderId="2" xfId="7" applyNumberFormat="1" applyBorder="1"/>
    <xf numFmtId="169" fontId="11" fillId="0" borderId="2" xfId="7" applyNumberFormat="1" applyBorder="1"/>
    <xf numFmtId="169" fontId="11" fillId="0" borderId="9" xfId="7" applyNumberFormat="1" applyBorder="1"/>
    <xf numFmtId="0" fontId="11" fillId="0" borderId="3" xfId="7" applyBorder="1" applyAlignment="1">
      <alignment horizontal="left"/>
    </xf>
    <xf numFmtId="1" fontId="11" fillId="0" borderId="4" xfId="7" applyNumberFormat="1" applyBorder="1" applyAlignment="1">
      <alignment horizontal="left"/>
    </xf>
    <xf numFmtId="0" fontId="11" fillId="0" borderId="4" xfId="7" applyBorder="1"/>
    <xf numFmtId="11" fontId="11" fillId="0" borderId="4" xfId="7" applyNumberFormat="1" applyBorder="1"/>
    <xf numFmtId="172" fontId="11" fillId="0" borderId="4" xfId="7" applyNumberFormat="1" applyBorder="1"/>
    <xf numFmtId="171" fontId="11" fillId="0" borderId="4" xfId="7" applyNumberFormat="1" applyBorder="1"/>
    <xf numFmtId="169" fontId="11" fillId="0" borderId="4" xfId="7" applyNumberFormat="1" applyBorder="1"/>
    <xf numFmtId="169" fontId="11" fillId="0" borderId="7" xfId="7" applyNumberFormat="1" applyBorder="1"/>
    <xf numFmtId="173" fontId="11" fillId="4" borderId="0" xfId="7" applyNumberFormat="1" applyFill="1"/>
    <xf numFmtId="0" fontId="11" fillId="4" borderId="0" xfId="7" applyFill="1"/>
    <xf numFmtId="0" fontId="11" fillId="2" borderId="3" xfId="7" applyFill="1" applyBorder="1" applyAlignment="1">
      <alignment horizontal="left"/>
    </xf>
    <xf numFmtId="0" fontId="11" fillId="0" borderId="5" xfId="7" applyBorder="1" applyAlignment="1">
      <alignment horizontal="left"/>
    </xf>
    <xf numFmtId="0" fontId="11" fillId="0" borderId="6" xfId="7" applyBorder="1" applyAlignment="1">
      <alignment horizontal="left"/>
    </xf>
    <xf numFmtId="0" fontId="11" fillId="0" borderId="6" xfId="7" applyBorder="1"/>
    <xf numFmtId="11" fontId="11" fillId="0" borderId="6" xfId="7" applyNumberFormat="1" applyBorder="1"/>
    <xf numFmtId="172" fontId="11" fillId="0" borderId="6" xfId="7" applyNumberFormat="1" applyBorder="1"/>
    <xf numFmtId="171" fontId="11" fillId="0" borderId="6" xfId="7" applyNumberFormat="1" applyBorder="1"/>
    <xf numFmtId="169" fontId="11" fillId="0" borderId="6" xfId="7" applyNumberFormat="1" applyBorder="1"/>
    <xf numFmtId="169" fontId="11" fillId="0" borderId="8" xfId="7" applyNumberFormat="1" applyBorder="1"/>
    <xf numFmtId="0" fontId="11" fillId="11" borderId="0" xfId="7" applyFill="1"/>
    <xf numFmtId="0" fontId="11" fillId="12" borderId="0" xfId="7" applyFill="1"/>
    <xf numFmtId="0" fontId="11" fillId="13" borderId="0" xfId="7" applyFill="1"/>
    <xf numFmtId="3" fontId="11" fillId="14" borderId="0" xfId="7" applyNumberFormat="1" applyFill="1"/>
    <xf numFmtId="0" fontId="11" fillId="14" borderId="0" xfId="7" applyFill="1"/>
    <xf numFmtId="0" fontId="11" fillId="7" borderId="0" xfId="7" applyFill="1"/>
    <xf numFmtId="0" fontId="11" fillId="5" borderId="0" xfId="7" applyFill="1"/>
    <xf numFmtId="0" fontId="3" fillId="0" borderId="0" xfId="8"/>
    <xf numFmtId="0" fontId="11" fillId="0" borderId="0" xfId="7" applyFill="1"/>
    <xf numFmtId="1" fontId="11" fillId="0" borderId="0" xfId="7" applyNumberFormat="1" applyFill="1"/>
    <xf numFmtId="1" fontId="16" fillId="0" borderId="0" xfId="7" applyNumberFormat="1" applyFont="1" applyFill="1"/>
    <xf numFmtId="0" fontId="11" fillId="13" borderId="0" xfId="7" applyFont="1" applyFill="1"/>
    <xf numFmtId="172" fontId="11" fillId="13" borderId="0" xfId="7" applyNumberFormat="1" applyFill="1"/>
    <xf numFmtId="172" fontId="11" fillId="0" borderId="0" xfId="7" applyNumberFormat="1"/>
    <xf numFmtId="2" fontId="0" fillId="0" borderId="0" xfId="0" applyNumberFormat="1"/>
    <xf numFmtId="174" fontId="0" fillId="0" borderId="0" xfId="0" applyNumberFormat="1"/>
    <xf numFmtId="0" fontId="11" fillId="0" borderId="0" xfId="7"/>
    <xf numFmtId="0" fontId="11" fillId="0" borderId="0" xfId="7" applyFont="1"/>
    <xf numFmtId="0" fontId="11" fillId="13" borderId="0" xfId="7" applyFill="1"/>
    <xf numFmtId="0" fontId="11" fillId="13" borderId="0" xfId="7" applyFont="1" applyFill="1"/>
    <xf numFmtId="172" fontId="11" fillId="13" borderId="0" xfId="7" applyNumberFormat="1" applyFill="1"/>
    <xf numFmtId="0" fontId="11" fillId="13" borderId="0" xfId="7" applyFill="1"/>
    <xf numFmtId="0" fontId="11" fillId="0" borderId="0" xfId="7" applyAlignment="1">
      <alignment horizontal="center"/>
    </xf>
    <xf numFmtId="0" fontId="11" fillId="2" borderId="0" xfId="7" applyFont="1" applyFill="1" applyAlignment="1">
      <alignment horizontal="center"/>
    </xf>
    <xf numFmtId="0" fontId="11" fillId="2" borderId="0" xfId="7" applyFont="1" applyFill="1" applyAlignment="1">
      <alignment horizontal="center"/>
    </xf>
    <xf numFmtId="0" fontId="11" fillId="0" borderId="0" xfId="7"/>
    <xf numFmtId="0" fontId="11" fillId="0" borderId="0" xfId="7" applyAlignment="1">
      <alignment horizontal="center"/>
    </xf>
    <xf numFmtId="0" fontId="11" fillId="0" borderId="0" xfId="7" applyAlignment="1">
      <alignment horizontal="center"/>
    </xf>
    <xf numFmtId="0" fontId="11" fillId="2" borderId="0" xfId="7" applyFont="1" applyFill="1" applyAlignment="1">
      <alignment horizontal="center"/>
    </xf>
    <xf numFmtId="0" fontId="8" fillId="0" borderId="0" xfId="7" applyFont="1"/>
    <xf numFmtId="0" fontId="11" fillId="0" borderId="0" xfId="7"/>
    <xf numFmtId="0" fontId="7" fillId="3" borderId="16" xfId="1" applyFill="1" applyBorder="1" applyAlignment="1">
      <alignment horizontal="center"/>
    </xf>
    <xf numFmtId="0" fontId="7" fillId="3" borderId="0" xfId="1" applyFill="1" applyAlignment="1">
      <alignment horizontal="center"/>
    </xf>
    <xf numFmtId="0" fontId="7" fillId="4" borderId="0" xfId="1" applyFill="1" applyAlignment="1">
      <alignment horizontal="center"/>
    </xf>
    <xf numFmtId="0" fontId="6" fillId="0" borderId="18" xfId="2" applyBorder="1" applyAlignment="1">
      <alignment horizontal="center"/>
    </xf>
    <xf numFmtId="0" fontId="6" fillId="0" borderId="19" xfId="2" applyBorder="1" applyAlignment="1">
      <alignment horizontal="center"/>
    </xf>
    <xf numFmtId="0" fontId="6" fillId="0" borderId="22" xfId="2" applyBorder="1" applyAlignment="1">
      <alignment horizontal="center"/>
    </xf>
    <xf numFmtId="0" fontId="6" fillId="0" borderId="23" xfId="2" applyBorder="1" applyAlignment="1">
      <alignment horizontal="center"/>
    </xf>
    <xf numFmtId="0" fontId="14" fillId="0" borderId="22" xfId="3" applyFont="1" applyBorder="1" applyAlignment="1">
      <alignment horizontal="center"/>
    </xf>
    <xf numFmtId="0" fontId="14" fillId="0" borderId="23" xfId="3" applyFont="1" applyBorder="1" applyAlignment="1">
      <alignment horizontal="center"/>
    </xf>
    <xf numFmtId="0" fontId="15" fillId="0" borderId="25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0" fontId="14" fillId="0" borderId="23" xfId="2" applyFont="1" applyBorder="1" applyAlignment="1">
      <alignment horizontal="center"/>
    </xf>
    <xf numFmtId="0" fontId="0" fillId="0" borderId="0" xfId="0"/>
    <xf numFmtId="0" fontId="19" fillId="0" borderId="0" xfId="0" applyFont="1"/>
    <xf numFmtId="172" fontId="11" fillId="2" borderId="0" xfId="7" applyNumberFormat="1" applyFill="1"/>
    <xf numFmtId="0" fontId="0" fillId="0" borderId="0" xfId="0"/>
    <xf numFmtId="0" fontId="0" fillId="0" borderId="0" xfId="0"/>
    <xf numFmtId="0" fontId="0" fillId="0" borderId="0" xfId="0"/>
    <xf numFmtId="0" fontId="11" fillId="0" borderId="0" xfId="7" applyAlignment="1">
      <alignment horizontal="center"/>
    </xf>
    <xf numFmtId="0" fontId="0" fillId="0" borderId="0" xfId="0"/>
    <xf numFmtId="0" fontId="0" fillId="0" borderId="0" xfId="0"/>
    <xf numFmtId="0" fontId="11" fillId="0" borderId="0" xfId="7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7" applyFont="1"/>
  </cellXfs>
  <cellStyles count="26">
    <cellStyle name="Normal" xfId="0" builtinId="0"/>
    <cellStyle name="Normal 2" xfId="1"/>
    <cellStyle name="Normal 2 2" xfId="4"/>
    <cellStyle name="Normal 2 2 2" xfId="25"/>
    <cellStyle name="Normal 2 3" xfId="8"/>
    <cellStyle name="Normal 2 4" xfId="9"/>
    <cellStyle name="Normal 2 5" xfId="17"/>
    <cellStyle name="Normal 3" xfId="2"/>
    <cellStyle name="Normal 3 2" xfId="5"/>
    <cellStyle name="Normal 3 3" xfId="10"/>
    <cellStyle name="Normal 3 4" xfId="18"/>
    <cellStyle name="Normal 4" xfId="3"/>
    <cellStyle name="Normal 4 2" xfId="6"/>
    <cellStyle name="Normal 4 3" xfId="11"/>
    <cellStyle name="Normal 4 4" xfId="19"/>
    <cellStyle name="Normal 5" xfId="7"/>
    <cellStyle name="Normal 6" xfId="12"/>
    <cellStyle name="Normal 6 2" xfId="15"/>
    <cellStyle name="Normal 6 2 2" xfId="23"/>
    <cellStyle name="Normal 6 3" xfId="20"/>
    <cellStyle name="Normal 7" xfId="13"/>
    <cellStyle name="Normal 7 2" xfId="21"/>
    <cellStyle name="Normal 8" xfId="16"/>
    <cellStyle name="Normal 8 2" xfId="24"/>
    <cellStyle name="Normal 9" xfId="14"/>
    <cellStyle name="Normal 9 2" xfId="2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Energy Consumption</a:t>
            </a:r>
            <a:r>
              <a:rPr lang="es-ES_tradnl" baseline="0"/>
              <a:t> Breakdown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'Hoja 1 '!$U$54</c:f>
              <c:strCache>
                <c:ptCount val="1"/>
                <c:pt idx="0">
                  <c:v>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'!$U$55:$U$66</c:f>
              <c:numCache>
                <c:formatCode>General</c:formatCode>
                <c:ptCount val="12"/>
                <c:pt idx="0">
                  <c:v>5.7819163652044238E-2</c:v>
                </c:pt>
                <c:pt idx="1">
                  <c:v>4.9529529387962991E-2</c:v>
                </c:pt>
                <c:pt idx="2">
                  <c:v>0.93618008389667973</c:v>
                </c:pt>
                <c:pt idx="3">
                  <c:v>0.80201154560117094</c:v>
                </c:pt>
                <c:pt idx="4">
                  <c:v>0.90282980848514771</c:v>
                </c:pt>
                <c:pt idx="5">
                  <c:v>0.77350391649752903</c:v>
                </c:pt>
                <c:pt idx="6">
                  <c:v>0.76147142021355085</c:v>
                </c:pt>
                <c:pt idx="7">
                  <c:v>0.65236746039766691</c:v>
                </c:pt>
                <c:pt idx="8">
                  <c:v>0.13906712347591385</c:v>
                </c:pt>
                <c:pt idx="9">
                  <c:v>0.1191313369521419</c:v>
                </c:pt>
                <c:pt idx="10">
                  <c:v>8.3811762225488209E-2</c:v>
                </c:pt>
                <c:pt idx="11">
                  <c:v>7.1795767175776501E-2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E-4102-8327-6BAFAB3C00A9}"/>
            </c:ext>
          </c:extLst>
        </c:ser>
        <c:ser>
          <c:idx val="1"/>
          <c:order val="1"/>
          <c:tx>
            <c:strRef>
              <c:f>'Hoja 1 '!$V$54</c:f>
              <c:strCache>
                <c:ptCount val="1"/>
                <c:pt idx="0">
                  <c:v>Leakage_Ovh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'!$V$55:$V$66</c:f>
              <c:numCache>
                <c:formatCode>General</c:formatCode>
                <c:ptCount val="12"/>
                <c:pt idx="0">
                  <c:v>0</c:v>
                </c:pt>
                <c:pt idx="1">
                  <c:v>4.1681818277336221E-3</c:v>
                </c:pt>
                <c:pt idx="2">
                  <c:v>0</c:v>
                </c:pt>
                <c:pt idx="3">
                  <c:v>6.7493674810077453E-2</c:v>
                </c:pt>
                <c:pt idx="4">
                  <c:v>0</c:v>
                </c:pt>
                <c:pt idx="5">
                  <c:v>6.5094601306858568E-2</c:v>
                </c:pt>
                <c:pt idx="6">
                  <c:v>0</c:v>
                </c:pt>
                <c:pt idx="7">
                  <c:v>5.4900303456045338E-2</c:v>
                </c:pt>
                <c:pt idx="8">
                  <c:v>0</c:v>
                </c:pt>
                <c:pt idx="9">
                  <c:v>1.0025556065917426E-2</c:v>
                </c:pt>
                <c:pt idx="10">
                  <c:v>0</c:v>
                </c:pt>
                <c:pt idx="11">
                  <c:v>6.0420079848970522E-3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E-4102-8327-6BAFAB3C00A9}"/>
            </c:ext>
          </c:extLst>
        </c:ser>
        <c:ser>
          <c:idx val="2"/>
          <c:order val="2"/>
          <c:tx>
            <c:strRef>
              <c:f>'Hoja 1 '!$W$54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'!$W$55:$W$66</c:f>
              <c:numCache>
                <c:formatCode>General</c:formatCode>
                <c:ptCount val="12"/>
                <c:pt idx="0">
                  <c:v>0.94199340869530057</c:v>
                </c:pt>
                <c:pt idx="1">
                  <c:v>0.72534326595408105</c:v>
                </c:pt>
                <c:pt idx="2">
                  <c:v>4.3372829179554227E-2</c:v>
                </c:pt>
                <c:pt idx="3">
                  <c:v>3.3397462530380104E-2</c:v>
                </c:pt>
                <c:pt idx="4">
                  <c:v>7.4333846134034251E-2</c:v>
                </c:pt>
                <c:pt idx="5">
                  <c:v>5.7237719742080348E-2</c:v>
                </c:pt>
                <c:pt idx="6">
                  <c:v>0.22596598179080013</c:v>
                </c:pt>
                <c:pt idx="7">
                  <c:v>0.17399580688539174</c:v>
                </c:pt>
                <c:pt idx="8">
                  <c:v>0.86064378755122473</c:v>
                </c:pt>
                <c:pt idx="9">
                  <c:v>0.66270333733027331</c:v>
                </c:pt>
                <c:pt idx="10">
                  <c:v>0.91589791138315646</c:v>
                </c:pt>
                <c:pt idx="11">
                  <c:v>0.70524950195067593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E-4102-8327-6BAFAB3C00A9}"/>
            </c:ext>
          </c:extLst>
        </c:ser>
        <c:ser>
          <c:idx val="3"/>
          <c:order val="3"/>
          <c:tx>
            <c:strRef>
              <c:f>'Hoja 1 '!$X$54</c:f>
              <c:strCache>
                <c:ptCount val="1"/>
                <c:pt idx="0">
                  <c:v>Read_Ovh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'!$X$55:$X$66</c:f>
              <c:numCache>
                <c:formatCode>General</c:formatCode>
                <c:ptCount val="12"/>
                <c:pt idx="0">
                  <c:v>0</c:v>
                </c:pt>
                <c:pt idx="1">
                  <c:v>7.566713522167802E-2</c:v>
                </c:pt>
                <c:pt idx="2">
                  <c:v>0</c:v>
                </c:pt>
                <c:pt idx="3">
                  <c:v>3.4842397655424312E-3</c:v>
                </c:pt>
                <c:pt idx="4">
                  <c:v>0</c:v>
                </c:pt>
                <c:pt idx="5">
                  <c:v>5.9715296912139747E-3</c:v>
                </c:pt>
                <c:pt idx="6">
                  <c:v>0</c:v>
                </c:pt>
                <c:pt idx="7">
                  <c:v>1.8151450233557818E-2</c:v>
                </c:pt>
                <c:pt idx="8">
                  <c:v>0</c:v>
                </c:pt>
                <c:pt idx="9">
                  <c:v>6.9132611732558108E-2</c:v>
                </c:pt>
                <c:pt idx="10">
                  <c:v>0</c:v>
                </c:pt>
                <c:pt idx="11">
                  <c:v>7.3570974899628758E-2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E-4102-8327-6BAFAB3C00A9}"/>
            </c:ext>
          </c:extLst>
        </c:ser>
        <c:ser>
          <c:idx val="4"/>
          <c:order val="4"/>
          <c:tx>
            <c:strRef>
              <c:f>'Hoja 1 '!$Y$54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'!$Y$55:$Y$66</c:f>
              <c:numCache>
                <c:formatCode>General</c:formatCode>
                <c:ptCount val="12"/>
                <c:pt idx="0">
                  <c:v>1.8742765265521041E-4</c:v>
                </c:pt>
                <c:pt idx="1">
                  <c:v>1.3552124133226189E-4</c:v>
                </c:pt>
                <c:pt idx="2">
                  <c:v>2.0447086923766147E-2</c:v>
                </c:pt>
                <c:pt idx="3">
                  <c:v>1.4784449158283875E-2</c:v>
                </c:pt>
                <c:pt idx="4">
                  <c:v>2.2836345380818072E-2</c:v>
                </c:pt>
                <c:pt idx="5">
                  <c:v>1.6512023864450266E-2</c:v>
                </c:pt>
                <c:pt idx="6">
                  <c:v>1.2562597995649055E-2</c:v>
                </c:pt>
                <c:pt idx="7">
                  <c:v>9.0834988893578085E-3</c:v>
                </c:pt>
                <c:pt idx="8">
                  <c:v>2.890889728613143E-4</c:v>
                </c:pt>
                <c:pt idx="9">
                  <c:v>2.0902836856045295E-4</c:v>
                </c:pt>
                <c:pt idx="10">
                  <c:v>2.9032639135527017E-4</c:v>
                </c:pt>
                <c:pt idx="11">
                  <c:v>2.0992309507477839E-4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E-4102-8327-6BAFAB3C00A9}"/>
            </c:ext>
          </c:extLst>
        </c:ser>
        <c:ser>
          <c:idx val="5"/>
          <c:order val="5"/>
          <c:tx>
            <c:strRef>
              <c:f>'Hoja 1 '!$Z$54</c:f>
              <c:strCache>
                <c:ptCount val="1"/>
                <c:pt idx="0">
                  <c:v>Write_Ovh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'!$Z$55:$Z$66</c:f>
              <c:numCache>
                <c:formatCode>General</c:formatCode>
                <c:ptCount val="12"/>
                <c:pt idx="0">
                  <c:v>0</c:v>
                </c:pt>
                <c:pt idx="1">
                  <c:v>1.6000404482461968E-5</c:v>
                </c:pt>
                <c:pt idx="2">
                  <c:v>0</c:v>
                </c:pt>
                <c:pt idx="3">
                  <c:v>1.7455978004797883E-3</c:v>
                </c:pt>
                <c:pt idx="4">
                  <c:v>0</c:v>
                </c:pt>
                <c:pt idx="5">
                  <c:v>1.9496049805892957E-3</c:v>
                </c:pt>
                <c:pt idx="6">
                  <c:v>0</c:v>
                </c:pt>
                <c:pt idx="7">
                  <c:v>1.0724830998814516E-3</c:v>
                </c:pt>
                <c:pt idx="8">
                  <c:v>0</c:v>
                </c:pt>
                <c:pt idx="9">
                  <c:v>2.4682080977708576E-5</c:v>
                </c:pt>
                <c:pt idx="10">
                  <c:v>0</c:v>
                </c:pt>
                <c:pt idx="11">
                  <c:v>2.4784880621892697E-5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E-4102-8327-6BAFAB3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69248"/>
        <c:axId val="172070784"/>
      </c:barChart>
      <c:catAx>
        <c:axId val="1720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70784"/>
        <c:crosses val="autoZero"/>
        <c:auto val="1"/>
        <c:lblAlgn val="ctr"/>
        <c:lblOffset val="100"/>
        <c:noMultiLvlLbl val="0"/>
      </c:catAx>
      <c:valAx>
        <c:axId val="17207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666750</xdr:colOff>
      <xdr:row>36</xdr:row>
      <xdr:rowOff>44450</xdr:rowOff>
    </xdr:from>
    <xdr:to>
      <xdr:col>26</xdr:col>
      <xdr:colOff>412750</xdr:colOff>
      <xdr:row>50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7B2C77-F460-B936-D056-A513E40D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7" sqref="A7"/>
    </sheetView>
  </sheetViews>
  <sheetFormatPr baseColWidth="10" defaultRowHeight="12.5" x14ac:dyDescent="0.25"/>
  <cols>
    <col min="1" max="16384" width="10.90625" style="50"/>
  </cols>
  <sheetData>
    <row r="1" spans="1:8" x14ac:dyDescent="0.25">
      <c r="A1" s="125"/>
      <c r="B1" s="125" t="s">
        <v>137</v>
      </c>
      <c r="C1" s="117" t="s">
        <v>115</v>
      </c>
      <c r="D1" s="117" t="s">
        <v>116</v>
      </c>
      <c r="E1" s="117" t="s">
        <v>117</v>
      </c>
      <c r="F1" s="117" t="s">
        <v>118</v>
      </c>
      <c r="G1" s="117" t="s">
        <v>119</v>
      </c>
      <c r="H1" s="117" t="s">
        <v>120</v>
      </c>
    </row>
    <row r="2" spans="1:8" x14ac:dyDescent="0.25">
      <c r="A2" s="126" t="s">
        <v>25</v>
      </c>
      <c r="B2" s="50" t="s">
        <v>129</v>
      </c>
      <c r="C2" s="125">
        <v>5.7819163652044238E-2</v>
      </c>
      <c r="D2" s="125">
        <v>0</v>
      </c>
      <c r="E2" s="125">
        <v>0.94199340869530057</v>
      </c>
      <c r="F2" s="125">
        <v>0</v>
      </c>
      <c r="G2" s="125">
        <v>1.8742765265521041E-4</v>
      </c>
      <c r="H2" s="125">
        <v>0</v>
      </c>
    </row>
    <row r="3" spans="1:8" x14ac:dyDescent="0.25">
      <c r="A3" s="126"/>
      <c r="B3" s="154" t="s">
        <v>143</v>
      </c>
      <c r="C3" s="125">
        <v>5.2103792903688904E-2</v>
      </c>
      <c r="D3" s="125">
        <v>0</v>
      </c>
      <c r="E3" s="125">
        <v>0.79763722772435763</v>
      </c>
      <c r="F3" s="125">
        <v>0</v>
      </c>
      <c r="G3" s="125">
        <v>1.7070046511927716E-4</v>
      </c>
      <c r="H3" s="125">
        <v>0</v>
      </c>
    </row>
    <row r="4" spans="1:8" x14ac:dyDescent="0.25">
      <c r="A4" s="126"/>
      <c r="B4" s="117" t="s">
        <v>114</v>
      </c>
      <c r="C4" s="125">
        <v>4.9529529387962991E-2</v>
      </c>
      <c r="D4" s="125">
        <v>4.1681818277336221E-3</v>
      </c>
      <c r="E4" s="125">
        <v>0.72534326595408105</v>
      </c>
      <c r="F4" s="125">
        <v>7.566713522167802E-2</v>
      </c>
      <c r="G4" s="125">
        <v>1.3552124133226189E-4</v>
      </c>
      <c r="H4" s="125">
        <v>1.6000404482461968E-5</v>
      </c>
    </row>
    <row r="5" spans="1:8" x14ac:dyDescent="0.25">
      <c r="A5" s="124" t="s">
        <v>27</v>
      </c>
      <c r="B5" s="50" t="s">
        <v>129</v>
      </c>
      <c r="C5" s="143">
        <v>0.80711305648860476</v>
      </c>
      <c r="D5" s="143">
        <v>0</v>
      </c>
      <c r="E5" s="143">
        <v>0.1724716754884357</v>
      </c>
      <c r="F5" s="143">
        <v>0</v>
      </c>
      <c r="G5" s="143">
        <v>2.041526802295952E-2</v>
      </c>
      <c r="H5" s="143">
        <v>0</v>
      </c>
    </row>
    <row r="6" spans="1:8" x14ac:dyDescent="0.25">
      <c r="A6" s="124"/>
      <c r="B6" s="154" t="s">
        <v>143</v>
      </c>
      <c r="C6" s="143">
        <v>0.74377258912377486</v>
      </c>
      <c r="D6" s="143">
        <v>0</v>
      </c>
      <c r="E6" s="143">
        <v>0.14976206564399952</v>
      </c>
      <c r="F6" s="143">
        <v>0</v>
      </c>
      <c r="G6" s="143">
        <v>1.1284730949313536E-2</v>
      </c>
      <c r="H6" s="143">
        <v>0</v>
      </c>
    </row>
    <row r="7" spans="1:8" x14ac:dyDescent="0.25">
      <c r="A7" s="124"/>
      <c r="B7" s="117" t="s">
        <v>114</v>
      </c>
      <c r="C7" s="143">
        <v>0.69149811446494514</v>
      </c>
      <c r="D7" s="143">
        <v>6.7886122391585271E-2</v>
      </c>
      <c r="E7" s="143">
        <v>0.1328047173457664</v>
      </c>
      <c r="F7" s="143">
        <v>1.3854877758000218E-2</v>
      </c>
      <c r="G7" s="143">
        <v>1.4761442217343978E-2</v>
      </c>
      <c r="H7" s="143">
        <v>1.7429950678650441E-3</v>
      </c>
    </row>
    <row r="8" spans="1:8" s="148" customFormat="1" x14ac:dyDescent="0.25">
      <c r="A8" s="153" t="s">
        <v>139</v>
      </c>
      <c r="B8" s="151" t="s">
        <v>129</v>
      </c>
      <c r="C8" s="150">
        <v>0.82269262047512415</v>
      </c>
      <c r="D8" s="150">
        <v>0</v>
      </c>
      <c r="E8" s="150">
        <v>0.17356589113211346</v>
      </c>
      <c r="F8" s="150">
        <v>0</v>
      </c>
      <c r="G8" s="150">
        <v>3.7414883927623741E-3</v>
      </c>
      <c r="H8" s="150">
        <v>0</v>
      </c>
    </row>
    <row r="9" spans="1:8" s="148" customFormat="1" x14ac:dyDescent="0.25">
      <c r="A9" s="124"/>
      <c r="B9" s="154" t="s">
        <v>143</v>
      </c>
      <c r="C9" s="150">
        <v>0.76532807671267278</v>
      </c>
      <c r="D9" s="150">
        <v>0</v>
      </c>
      <c r="E9" s="150">
        <v>0.15410875345498756</v>
      </c>
      <c r="F9" s="150">
        <v>0</v>
      </c>
      <c r="G9" s="150">
        <v>3.2449687236510249E-3</v>
      </c>
      <c r="H9" s="150">
        <v>0</v>
      </c>
    </row>
    <row r="10" spans="1:8" s="148" customFormat="1" x14ac:dyDescent="0.25">
      <c r="A10" s="124"/>
      <c r="B10" s="117" t="s">
        <v>114</v>
      </c>
      <c r="C10" s="150">
        <v>0.7047398798700355</v>
      </c>
      <c r="D10" s="150">
        <v>6.9186100060600567E-2</v>
      </c>
      <c r="E10" s="150">
        <v>0.13364727308056984</v>
      </c>
      <c r="F10" s="150">
        <v>1.3942011591217211E-2</v>
      </c>
      <c r="G10" s="150">
        <v>2.7053166607713497E-3</v>
      </c>
      <c r="H10" s="150">
        <v>3.194007460863977E-4</v>
      </c>
    </row>
    <row r="11" spans="1:8" x14ac:dyDescent="0.25">
      <c r="A11" s="126" t="s">
        <v>28</v>
      </c>
      <c r="B11" s="117" t="s">
        <v>129</v>
      </c>
      <c r="C11" s="146">
        <v>0.76147142021355085</v>
      </c>
      <c r="D11" s="146">
        <v>0</v>
      </c>
      <c r="E11" s="146">
        <v>0.22596598179080013</v>
      </c>
      <c r="F11" s="146">
        <v>0</v>
      </c>
      <c r="G11" s="146">
        <v>1.2562597995649055E-2</v>
      </c>
      <c r="H11" s="146">
        <v>0</v>
      </c>
    </row>
    <row r="12" spans="1:8" x14ac:dyDescent="0.25">
      <c r="A12" s="126"/>
      <c r="B12" s="117" t="s">
        <v>143</v>
      </c>
      <c r="C12" s="146">
        <v>0.74405565215716851</v>
      </c>
      <c r="D12" s="146">
        <v>0</v>
      </c>
      <c r="E12" s="146">
        <v>0.21390981303939743</v>
      </c>
      <c r="F12" s="146">
        <v>0</v>
      </c>
      <c r="G12" s="146">
        <v>1.2304275503643358E-2</v>
      </c>
      <c r="H12" s="146">
        <v>0</v>
      </c>
    </row>
    <row r="13" spans="1:8" x14ac:dyDescent="0.25">
      <c r="A13" s="126"/>
      <c r="B13" s="117" t="s">
        <v>114</v>
      </c>
      <c r="C13" s="146">
        <v>0.65236746039766691</v>
      </c>
      <c r="D13" s="146">
        <v>6.4044566911236001E-2</v>
      </c>
      <c r="E13" s="146">
        <v>0.17399580688539174</v>
      </c>
      <c r="F13" s="146">
        <v>1.8151699049660332E-2</v>
      </c>
      <c r="G13" s="146">
        <v>9.0834988893578085E-3</v>
      </c>
      <c r="H13" s="146">
        <v>1.0725215270240859E-3</v>
      </c>
    </row>
    <row r="14" spans="1:8" s="151" customFormat="1" x14ac:dyDescent="0.25">
      <c r="A14" s="152" t="s">
        <v>140</v>
      </c>
      <c r="B14" s="117" t="s">
        <v>129</v>
      </c>
      <c r="C14" s="151">
        <v>6.6507372782872595E-2</v>
      </c>
      <c r="D14" s="151">
        <v>0</v>
      </c>
      <c r="E14" s="151">
        <v>0.93275902224554375</v>
      </c>
      <c r="F14" s="151">
        <v>0</v>
      </c>
      <c r="G14" s="151">
        <v>7.3360497158354051E-4</v>
      </c>
      <c r="H14" s="151">
        <v>0</v>
      </c>
    </row>
    <row r="15" spans="1:8" s="151" customFormat="1" x14ac:dyDescent="0.25">
      <c r="A15" s="152"/>
      <c r="B15" s="117" t="s">
        <v>143</v>
      </c>
      <c r="C15" s="151">
        <v>5.9328912291651957E-2</v>
      </c>
      <c r="D15" s="151">
        <v>0</v>
      </c>
      <c r="E15" s="151">
        <v>0.71952622414498646</v>
      </c>
      <c r="F15" s="151">
        <v>0</v>
      </c>
      <c r="G15" s="151">
        <v>6.044521313769627E-4</v>
      </c>
      <c r="H15" s="151">
        <v>0</v>
      </c>
    </row>
    <row r="16" spans="1:8" s="151" customFormat="1" x14ac:dyDescent="0.25">
      <c r="A16" s="152"/>
      <c r="B16" s="117" t="s">
        <v>114</v>
      </c>
      <c r="C16" s="151">
        <v>5.697298866994862E-2</v>
      </c>
      <c r="D16" s="151">
        <v>5.5931826869191088E-3</v>
      </c>
      <c r="E16" s="151">
        <v>0.7182327066181875</v>
      </c>
      <c r="F16" s="151">
        <v>7.4925376689176454E-2</v>
      </c>
      <c r="G16" s="151">
        <v>5.3043963891182141E-4</v>
      </c>
      <c r="H16" s="151">
        <v>6.2628418425083411E-5</v>
      </c>
    </row>
    <row r="17" spans="1:11" x14ac:dyDescent="0.25">
      <c r="A17" s="126" t="s">
        <v>26</v>
      </c>
      <c r="B17" s="50" t="s">
        <v>129</v>
      </c>
      <c r="C17" s="147">
        <v>0.93618008389667973</v>
      </c>
      <c r="D17" s="147">
        <v>0</v>
      </c>
      <c r="E17" s="147">
        <v>4.3372829179554227E-2</v>
      </c>
      <c r="F17" s="147">
        <v>0</v>
      </c>
      <c r="G17" s="147">
        <v>2.0447086923766147E-2</v>
      </c>
      <c r="H17" s="147">
        <v>0</v>
      </c>
    </row>
    <row r="18" spans="1:11" x14ac:dyDescent="0.25">
      <c r="A18" s="126"/>
      <c r="B18" s="117" t="s">
        <v>143</v>
      </c>
      <c r="C18" s="147">
        <v>0.90353888801052207</v>
      </c>
      <c r="D18" s="147">
        <v>0</v>
      </c>
      <c r="E18" s="147">
        <v>5.5870944906801896E-2</v>
      </c>
      <c r="F18" s="147">
        <v>0</v>
      </c>
      <c r="G18" s="147">
        <v>1.9522969563712311E-2</v>
      </c>
      <c r="H18" s="147">
        <v>0</v>
      </c>
    </row>
    <row r="19" spans="1:11" x14ac:dyDescent="0.25">
      <c r="A19" s="126"/>
      <c r="B19" s="117" t="s">
        <v>114</v>
      </c>
      <c r="C19" s="147">
        <v>0.80201154560117094</v>
      </c>
      <c r="D19" s="147">
        <v>7.8735506005353742E-2</v>
      </c>
      <c r="E19" s="147">
        <v>3.3397462530380104E-2</v>
      </c>
      <c r="F19" s="147">
        <v>3.4844062741328547E-3</v>
      </c>
      <c r="G19" s="147">
        <v>1.4784449158283875E-2</v>
      </c>
      <c r="H19" s="147">
        <v>1.7456646170187181E-3</v>
      </c>
      <c r="K19" s="144"/>
    </row>
    <row r="20" spans="1:11" x14ac:dyDescent="0.25">
      <c r="A20" s="126" t="s">
        <v>29</v>
      </c>
      <c r="B20" s="117" t="s">
        <v>129</v>
      </c>
      <c r="C20" s="148">
        <v>0.13906712347591385</v>
      </c>
      <c r="D20" s="148">
        <v>0</v>
      </c>
      <c r="E20" s="148">
        <v>0.86064378755122473</v>
      </c>
      <c r="F20" s="148">
        <v>0</v>
      </c>
      <c r="G20" s="148">
        <v>2.890889728613143E-4</v>
      </c>
      <c r="H20" s="148">
        <v>0</v>
      </c>
    </row>
    <row r="21" spans="1:11" x14ac:dyDescent="0.25">
      <c r="A21" s="126"/>
      <c r="B21" s="117" t="s">
        <v>143</v>
      </c>
      <c r="C21" s="148">
        <v>0.1367232722592707</v>
      </c>
      <c r="D21" s="148">
        <v>0</v>
      </c>
      <c r="E21" s="148">
        <v>0.83024414238032807</v>
      </c>
      <c r="F21" s="148">
        <v>0</v>
      </c>
      <c r="G21" s="148">
        <v>1.3302380505739804E-3</v>
      </c>
      <c r="H21" s="148">
        <v>0</v>
      </c>
    </row>
    <row r="22" spans="1:11" x14ac:dyDescent="0.25">
      <c r="A22" s="126"/>
      <c r="B22" s="117" t="s">
        <v>114</v>
      </c>
      <c r="C22" s="148">
        <v>0.1191313369521419</v>
      </c>
      <c r="D22" s="148">
        <v>1.1695425268460758E-2</v>
      </c>
      <c r="E22" s="148">
        <v>0.66270333733027331</v>
      </c>
      <c r="F22" s="148">
        <v>6.9132623922165695E-2</v>
      </c>
      <c r="G22" s="148">
        <v>2.0902836856045295E-4</v>
      </c>
      <c r="H22" s="148">
        <v>2.4684321591671302E-5</v>
      </c>
    </row>
    <row r="23" spans="1:11" s="151" customFormat="1" x14ac:dyDescent="0.25">
      <c r="A23" s="152" t="s">
        <v>141</v>
      </c>
      <c r="B23" s="151" t="s">
        <v>129</v>
      </c>
      <c r="C23" s="117">
        <v>0.77103120298928063</v>
      </c>
      <c r="D23" s="151">
        <v>0</v>
      </c>
      <c r="E23" s="151">
        <v>0.22661684126142875</v>
      </c>
      <c r="F23" s="151">
        <v>0</v>
      </c>
      <c r="G23" s="151">
        <v>2.3519557492905595E-3</v>
      </c>
      <c r="H23" s="151">
        <v>0</v>
      </c>
    </row>
    <row r="24" spans="1:11" s="151" customFormat="1" x14ac:dyDescent="0.25">
      <c r="A24" s="152"/>
      <c r="B24" s="151" t="s">
        <v>143</v>
      </c>
      <c r="C24" s="117">
        <v>0.70236245746598636</v>
      </c>
      <c r="D24" s="151">
        <v>0</v>
      </c>
      <c r="E24" s="151">
        <v>0.25076084057374959</v>
      </c>
      <c r="F24" s="151">
        <v>0</v>
      </c>
      <c r="G24" s="151">
        <v>1.9003782125451248E-3</v>
      </c>
      <c r="H24" s="151">
        <v>0</v>
      </c>
    </row>
    <row r="25" spans="1:11" s="151" customFormat="1" x14ac:dyDescent="0.25">
      <c r="A25" s="152"/>
      <c r="B25" s="151" t="s">
        <v>114</v>
      </c>
      <c r="C25" s="117">
        <v>0.66049929938473062</v>
      </c>
      <c r="D25" s="151">
        <v>6.4842890153478897E-2</v>
      </c>
      <c r="E25" s="151">
        <v>0.17449697444107218</v>
      </c>
      <c r="F25" s="151">
        <v>1.8203507040419169E-2</v>
      </c>
      <c r="G25" s="151">
        <v>1.7006026495394297E-3</v>
      </c>
      <c r="H25" s="151">
        <v>2.0081719041710507E-4</v>
      </c>
    </row>
    <row r="26" spans="1:11" x14ac:dyDescent="0.25">
      <c r="A26" s="126" t="s">
        <v>30</v>
      </c>
      <c r="B26" s="117" t="s">
        <v>129</v>
      </c>
      <c r="C26" s="148">
        <v>8.3811762225488209E-2</v>
      </c>
      <c r="D26" s="148">
        <v>0</v>
      </c>
      <c r="E26" s="148">
        <v>0.91589791138315646</v>
      </c>
      <c r="F26" s="148">
        <v>0</v>
      </c>
      <c r="G26" s="148">
        <v>2.9032639135527017E-4</v>
      </c>
      <c r="H26" s="148">
        <v>0</v>
      </c>
    </row>
    <row r="27" spans="1:11" x14ac:dyDescent="0.25">
      <c r="A27" s="126"/>
      <c r="B27" s="117" t="s">
        <v>143</v>
      </c>
      <c r="C27" s="148">
        <v>7.7589547233744449E-2</v>
      </c>
      <c r="D27" s="148">
        <v>0</v>
      </c>
      <c r="E27" s="148">
        <v>0.81120443304777146</v>
      </c>
      <c r="F27" s="148">
        <v>0</v>
      </c>
      <c r="G27" s="148">
        <v>2.8067687701613674E-4</v>
      </c>
      <c r="H27" s="148">
        <v>0</v>
      </c>
    </row>
    <row r="28" spans="1:11" x14ac:dyDescent="0.25">
      <c r="A28" s="126"/>
      <c r="B28" s="117" t="s">
        <v>114</v>
      </c>
      <c r="C28" s="148">
        <v>7.1795767175776501E-2</v>
      </c>
      <c r="D28" s="148">
        <v>7.0483724188659348E-3</v>
      </c>
      <c r="E28" s="148">
        <v>0.70524950195067593</v>
      </c>
      <c r="F28" s="148">
        <v>7.3570978338536042E-2</v>
      </c>
      <c r="G28" s="148">
        <v>2.0992309507477839E-4</v>
      </c>
      <c r="H28" s="148">
        <v>2.4785398108430364E-5</v>
      </c>
    </row>
    <row r="29" spans="1:11" s="148" customFormat="1" x14ac:dyDescent="0.25">
      <c r="A29" s="149" t="s">
        <v>142</v>
      </c>
      <c r="B29" s="117" t="s">
        <v>129</v>
      </c>
      <c r="C29" s="148">
        <v>0.5485223702549118</v>
      </c>
      <c r="D29" s="148">
        <v>0</v>
      </c>
      <c r="E29" s="148">
        <v>0.39695143075472139</v>
      </c>
      <c r="F29" s="148">
        <v>0</v>
      </c>
      <c r="G29" s="148">
        <v>5.4526198990366759E-2</v>
      </c>
      <c r="H29" s="148">
        <v>0</v>
      </c>
    </row>
    <row r="30" spans="1:11" s="148" customFormat="1" x14ac:dyDescent="0.25">
      <c r="A30" s="149"/>
      <c r="B30" s="117" t="s">
        <v>143</v>
      </c>
      <c r="C30" s="148">
        <v>0.51309643654627612</v>
      </c>
      <c r="D30" s="148">
        <v>0</v>
      </c>
      <c r="E30" s="148">
        <v>0.35734479184331419</v>
      </c>
      <c r="F30" s="148">
        <v>0</v>
      </c>
      <c r="G30" s="148">
        <v>4.8579906762299091E-2</v>
      </c>
      <c r="H30" s="148">
        <v>0</v>
      </c>
    </row>
    <row r="31" spans="1:11" x14ac:dyDescent="0.25">
      <c r="A31" s="121"/>
      <c r="B31" s="117" t="s">
        <v>114</v>
      </c>
      <c r="C31" s="145">
        <v>0.46999564607992711</v>
      </c>
      <c r="D31" s="145">
        <v>4.6140663706627651E-2</v>
      </c>
      <c r="E31" s="145">
        <v>0.30565611664689274</v>
      </c>
      <c r="F31" s="145">
        <v>3.1886301662270737E-2</v>
      </c>
      <c r="G31" s="145">
        <v>3.9425656073802426E-2</v>
      </c>
      <c r="H31" s="145">
        <v>4.655317605277755E-3</v>
      </c>
    </row>
    <row r="32" spans="1:11" x14ac:dyDescent="0.25">
      <c r="A32" s="121" t="s">
        <v>125</v>
      </c>
      <c r="B32" s="121" t="s">
        <v>129</v>
      </c>
      <c r="C32" s="120">
        <v>0.49942161764544712</v>
      </c>
      <c r="D32" s="120">
        <v>0</v>
      </c>
      <c r="E32" s="120">
        <v>0.48902387794822799</v>
      </c>
      <c r="F32" s="120">
        <v>0</v>
      </c>
      <c r="G32" s="120">
        <v>1.1554504406324976E-2</v>
      </c>
      <c r="H32" s="120">
        <v>0</v>
      </c>
    </row>
    <row r="33" spans="1:8" x14ac:dyDescent="0.25">
      <c r="A33" s="121"/>
      <c r="B33" s="119" t="s">
        <v>143</v>
      </c>
      <c r="C33" s="120">
        <v>0.46990623867177972</v>
      </c>
      <c r="D33" s="120">
        <v>0</v>
      </c>
      <c r="E33" s="120">
        <v>0.43760602886496053</v>
      </c>
      <c r="F33" s="120">
        <v>0</v>
      </c>
      <c r="G33" s="120">
        <v>9.9230502033878371E-3</v>
      </c>
      <c r="H33" s="120">
        <v>0</v>
      </c>
    </row>
    <row r="34" spans="1:8" x14ac:dyDescent="0.25">
      <c r="B34" s="50" t="s">
        <v>114</v>
      </c>
      <c r="C34" s="50">
        <v>0.42785415679843064</v>
      </c>
      <c r="D34" s="50">
        <v>4.200352690280431E-2</v>
      </c>
      <c r="E34" s="50">
        <v>0.37655271627832904</v>
      </c>
      <c r="F34" s="50">
        <v>3.9281891938333216E-2</v>
      </c>
      <c r="G34" s="50">
        <v>8.3545877992978173E-3</v>
      </c>
      <c r="H34" s="50">
        <v>9.8648155627216851E-4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23" sqref="I23"/>
    </sheetView>
  </sheetViews>
  <sheetFormatPr baseColWidth="10" defaultColWidth="8.6328125" defaultRowHeight="14" x14ac:dyDescent="0.3"/>
  <cols>
    <col min="1" max="1" width="8.6328125" style="21"/>
    <col min="2" max="2" width="10.81640625" style="21" bestFit="1" customWidth="1"/>
    <col min="3" max="3" width="20.6328125" style="21" customWidth="1"/>
    <col min="4" max="4" width="11" style="21" bestFit="1" customWidth="1"/>
    <col min="5" max="16384" width="8.6328125" style="21"/>
  </cols>
  <sheetData>
    <row r="1" spans="1:4" ht="14.5" x14ac:dyDescent="0.35">
      <c r="A1" s="140" t="s">
        <v>82</v>
      </c>
      <c r="B1" s="140"/>
      <c r="C1" s="140" t="s">
        <v>83</v>
      </c>
      <c r="D1" s="140"/>
    </row>
    <row r="2" spans="1:4" x14ac:dyDescent="0.3">
      <c r="A2" s="37" t="s">
        <v>87</v>
      </c>
      <c r="B2" s="37" t="s">
        <v>88</v>
      </c>
      <c r="C2" s="37" t="s">
        <v>87</v>
      </c>
      <c r="D2" s="37" t="s">
        <v>89</v>
      </c>
    </row>
    <row r="3" spans="1:4" x14ac:dyDescent="0.3">
      <c r="A3" s="21" t="s">
        <v>90</v>
      </c>
      <c r="B3" s="21">
        <v>28476.5625</v>
      </c>
      <c r="C3" s="21" t="s">
        <v>91</v>
      </c>
      <c r="D3" s="21">
        <v>18816</v>
      </c>
    </row>
    <row r="4" spans="1:4" x14ac:dyDescent="0.3">
      <c r="A4" s="21" t="s">
        <v>90</v>
      </c>
      <c r="B4" s="21">
        <v>51076</v>
      </c>
      <c r="C4" s="21" t="s">
        <v>95</v>
      </c>
      <c r="D4" s="21">
        <v>51076</v>
      </c>
    </row>
    <row r="5" spans="1:4" x14ac:dyDescent="0.3">
      <c r="A5" s="21" t="s">
        <v>90</v>
      </c>
      <c r="B5" s="21">
        <v>25088</v>
      </c>
      <c r="C5" s="21" t="s">
        <v>95</v>
      </c>
      <c r="D5" s="21">
        <v>25088</v>
      </c>
    </row>
    <row r="6" spans="1:4" x14ac:dyDescent="0.3">
      <c r="A6" s="21" t="s">
        <v>90</v>
      </c>
      <c r="B6" s="21">
        <v>50176</v>
      </c>
      <c r="C6" s="21" t="s">
        <v>95</v>
      </c>
      <c r="D6" s="21">
        <v>50176</v>
      </c>
    </row>
    <row r="7" spans="1:4" x14ac:dyDescent="0.3">
      <c r="A7" s="21" t="s">
        <v>90</v>
      </c>
      <c r="B7" s="21">
        <v>12544</v>
      </c>
      <c r="C7" s="21" t="s">
        <v>95</v>
      </c>
      <c r="D7" s="21">
        <v>12544</v>
      </c>
    </row>
    <row r="8" spans="1:4" x14ac:dyDescent="0.3">
      <c r="A8" s="21" t="s">
        <v>90</v>
      </c>
      <c r="B8" s="21">
        <v>25088</v>
      </c>
      <c r="C8" s="21" t="s">
        <v>95</v>
      </c>
      <c r="D8" s="21">
        <v>25088</v>
      </c>
    </row>
    <row r="9" spans="1:4" x14ac:dyDescent="0.3">
      <c r="A9" s="21" t="s">
        <v>90</v>
      </c>
      <c r="B9" s="21">
        <v>6272</v>
      </c>
      <c r="C9" s="21" t="s">
        <v>95</v>
      </c>
      <c r="D9" s="21">
        <v>6272</v>
      </c>
    </row>
    <row r="10" spans="1:4" x14ac:dyDescent="0.3">
      <c r="A10" s="38" t="s">
        <v>90</v>
      </c>
      <c r="B10" s="38">
        <v>12544</v>
      </c>
      <c r="C10" s="21" t="s">
        <v>95</v>
      </c>
      <c r="D10" s="21">
        <v>12544</v>
      </c>
    </row>
    <row r="11" spans="1:4" x14ac:dyDescent="0.3">
      <c r="A11" s="38" t="s">
        <v>90</v>
      </c>
      <c r="B11" s="38">
        <v>12544</v>
      </c>
      <c r="C11" s="21" t="s">
        <v>95</v>
      </c>
      <c r="D11" s="21">
        <v>12544</v>
      </c>
    </row>
    <row r="12" spans="1:4" x14ac:dyDescent="0.3">
      <c r="A12" s="38" t="s">
        <v>90</v>
      </c>
      <c r="B12" s="38">
        <v>12544</v>
      </c>
      <c r="C12" s="21" t="s">
        <v>95</v>
      </c>
      <c r="D12" s="21">
        <v>12544</v>
      </c>
    </row>
    <row r="13" spans="1:4" x14ac:dyDescent="0.3">
      <c r="A13" s="38" t="s">
        <v>90</v>
      </c>
      <c r="B13" s="38">
        <v>12544</v>
      </c>
      <c r="C13" s="21" t="s">
        <v>95</v>
      </c>
      <c r="D13" s="21">
        <v>12544</v>
      </c>
    </row>
    <row r="14" spans="1:4" x14ac:dyDescent="0.3">
      <c r="A14" s="38" t="s">
        <v>90</v>
      </c>
      <c r="B14" s="38">
        <v>12544</v>
      </c>
      <c r="C14" s="21" t="s">
        <v>95</v>
      </c>
      <c r="D14" s="21">
        <v>12544</v>
      </c>
    </row>
    <row r="15" spans="1:4" x14ac:dyDescent="0.3">
      <c r="A15" s="21" t="s">
        <v>90</v>
      </c>
      <c r="B15" s="21">
        <v>3136</v>
      </c>
      <c r="C15" s="21" t="s">
        <v>95</v>
      </c>
      <c r="D15" s="21">
        <v>3136</v>
      </c>
    </row>
    <row r="16" spans="1:4" x14ac:dyDescent="0.3">
      <c r="A16" s="21" t="s">
        <v>90</v>
      </c>
      <c r="B16" s="21">
        <v>6272</v>
      </c>
      <c r="C16" s="21" t="s">
        <v>95</v>
      </c>
      <c r="D16" s="21">
        <v>6272</v>
      </c>
    </row>
    <row r="17" spans="1:6" x14ac:dyDescent="0.3">
      <c r="A17" s="21" t="s">
        <v>90</v>
      </c>
      <c r="B17" s="21">
        <v>128</v>
      </c>
      <c r="C17" s="21" t="s">
        <v>94</v>
      </c>
      <c r="D17" s="21">
        <v>128</v>
      </c>
    </row>
    <row r="19" spans="1:6" x14ac:dyDescent="0.3">
      <c r="B19" s="21">
        <f t="shared" ref="B19:C19" si="0">+SUM(B3:B17)</f>
        <v>270976.5625</v>
      </c>
      <c r="C19" s="21">
        <f t="shared" si="0"/>
        <v>0</v>
      </c>
      <c r="D19" s="21">
        <f>+SUM(D3:D17)</f>
        <v>261316</v>
      </c>
      <c r="F19" s="21">
        <f>+B19/(B19+D19)</f>
        <v>0.50907448570634495</v>
      </c>
    </row>
    <row r="22" spans="1:6" x14ac:dyDescent="0.3">
      <c r="B22" s="21">
        <f>+B19+D19</f>
        <v>532292.5625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2" sqref="D22"/>
    </sheetView>
  </sheetViews>
  <sheetFormatPr baseColWidth="10" defaultColWidth="8.6328125" defaultRowHeight="14" x14ac:dyDescent="0.3"/>
  <cols>
    <col min="1" max="1" width="8.6328125" style="21"/>
    <col min="2" max="2" width="10.453125" style="21" bestFit="1" customWidth="1"/>
    <col min="3" max="3" width="12.81640625" style="21" bestFit="1" customWidth="1"/>
    <col min="4" max="4" width="11" style="21" bestFit="1" customWidth="1"/>
    <col min="5" max="16384" width="8.6328125" style="21"/>
  </cols>
  <sheetData>
    <row r="1" spans="1:6" x14ac:dyDescent="0.3">
      <c r="A1" s="141" t="s">
        <v>96</v>
      </c>
      <c r="B1" s="142"/>
      <c r="C1" s="141" t="s">
        <v>97</v>
      </c>
      <c r="D1" s="142"/>
    </row>
    <row r="2" spans="1:6" x14ac:dyDescent="0.3">
      <c r="A2" s="28" t="s">
        <v>87</v>
      </c>
      <c r="B2" s="29" t="s">
        <v>88</v>
      </c>
      <c r="C2" s="28" t="s">
        <v>87</v>
      </c>
      <c r="D2" s="29" t="s">
        <v>89</v>
      </c>
    </row>
    <row r="3" spans="1:6" x14ac:dyDescent="0.3">
      <c r="A3" s="24" t="s">
        <v>90</v>
      </c>
      <c r="B3" s="25">
        <v>56448</v>
      </c>
      <c r="C3" s="24" t="s">
        <v>91</v>
      </c>
      <c r="D3" s="25">
        <v>18816</v>
      </c>
    </row>
    <row r="4" spans="1:6" x14ac:dyDescent="0.3">
      <c r="A4" s="24" t="s">
        <v>92</v>
      </c>
      <c r="B4" s="25">
        <v>804422</v>
      </c>
      <c r="C4" s="24" t="s">
        <v>90</v>
      </c>
      <c r="D4" s="25">
        <v>401408</v>
      </c>
    </row>
    <row r="5" spans="1:6" x14ac:dyDescent="0.3">
      <c r="A5" s="24" t="s">
        <v>90</v>
      </c>
      <c r="B5" s="25">
        <v>602112</v>
      </c>
      <c r="C5" s="24" t="s">
        <v>90</v>
      </c>
      <c r="D5" s="25">
        <v>200704</v>
      </c>
    </row>
    <row r="6" spans="1:6" x14ac:dyDescent="0.3">
      <c r="A6" s="24" t="s">
        <v>90</v>
      </c>
      <c r="B6" s="25">
        <v>150528</v>
      </c>
      <c r="C6" s="24" t="s">
        <v>92</v>
      </c>
      <c r="D6" s="25">
        <v>50176</v>
      </c>
    </row>
    <row r="7" spans="1:6" x14ac:dyDescent="0.3">
      <c r="A7" s="24" t="s">
        <v>90</v>
      </c>
      <c r="B7" s="25">
        <v>301056</v>
      </c>
      <c r="C7" s="24" t="s">
        <v>90</v>
      </c>
      <c r="D7" s="25">
        <v>100352</v>
      </c>
    </row>
    <row r="8" spans="1:6" x14ac:dyDescent="0.3">
      <c r="A8" s="24" t="s">
        <v>90</v>
      </c>
      <c r="B8" s="25">
        <v>75264</v>
      </c>
      <c r="C8" s="24" t="s">
        <v>92</v>
      </c>
      <c r="D8" s="25">
        <v>25088</v>
      </c>
    </row>
    <row r="9" spans="1:6" x14ac:dyDescent="0.3">
      <c r="A9" s="24" t="s">
        <v>90</v>
      </c>
      <c r="B9" s="25">
        <v>150528</v>
      </c>
      <c r="C9" s="24" t="s">
        <v>90</v>
      </c>
      <c r="D9" s="25">
        <v>50176</v>
      </c>
    </row>
    <row r="10" spans="1:6" x14ac:dyDescent="0.3">
      <c r="A10" s="39" t="s">
        <v>90</v>
      </c>
      <c r="B10" s="40">
        <v>37632</v>
      </c>
      <c r="C10" s="24" t="s">
        <v>92</v>
      </c>
      <c r="D10" s="25">
        <v>12544</v>
      </c>
    </row>
    <row r="11" spans="1:6" x14ac:dyDescent="0.3">
      <c r="A11" s="39" t="s">
        <v>90</v>
      </c>
      <c r="B11" s="40">
        <v>37632</v>
      </c>
      <c r="C11" s="24" t="s">
        <v>90</v>
      </c>
      <c r="D11" s="25">
        <v>12544</v>
      </c>
    </row>
    <row r="12" spans="1:6" x14ac:dyDescent="0.3">
      <c r="A12" s="24" t="s">
        <v>93</v>
      </c>
      <c r="B12" s="25">
        <v>3136</v>
      </c>
      <c r="C12" s="24" t="s">
        <v>92</v>
      </c>
      <c r="D12" s="25">
        <v>3136</v>
      </c>
    </row>
    <row r="13" spans="1:6" ht="14.5" thickBot="1" x14ac:dyDescent="0.35">
      <c r="A13" s="26" t="s">
        <v>93</v>
      </c>
      <c r="B13" s="27">
        <v>512</v>
      </c>
      <c r="C13" s="26" t="s">
        <v>93</v>
      </c>
      <c r="D13" s="27">
        <v>512</v>
      </c>
    </row>
    <row r="15" spans="1:6" x14ac:dyDescent="0.3">
      <c r="B15" s="21">
        <f t="shared" ref="B15:C15" si="0">+SUM(B3:B13)</f>
        <v>2219270</v>
      </c>
      <c r="C15" s="21">
        <f t="shared" si="0"/>
        <v>0</v>
      </c>
      <c r="D15" s="21">
        <f>+SUM(D3:D13)</f>
        <v>875456</v>
      </c>
      <c r="F15" s="21">
        <f>+B15/(B15+D15)</f>
        <v>0.7171135667584142</v>
      </c>
    </row>
    <row r="18" spans="2:2" x14ac:dyDescent="0.3">
      <c r="B18" s="21">
        <f>+B15+D15</f>
        <v>3094726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8" sqref="F18"/>
    </sheetView>
  </sheetViews>
  <sheetFormatPr baseColWidth="10" defaultColWidth="8.6328125" defaultRowHeight="14" x14ac:dyDescent="0.3"/>
  <cols>
    <col min="1" max="1" width="8.6328125" style="21"/>
    <col min="2" max="2" width="10.453125" style="21" bestFit="1" customWidth="1"/>
    <col min="3" max="3" width="12.81640625" style="21" bestFit="1" customWidth="1"/>
    <col min="4" max="4" width="11" style="21" bestFit="1" customWidth="1"/>
    <col min="5" max="16384" width="8.6328125" style="21"/>
  </cols>
  <sheetData>
    <row r="1" spans="1:4" x14ac:dyDescent="0.3">
      <c r="A1" s="136" t="s">
        <v>82</v>
      </c>
      <c r="B1" s="137"/>
      <c r="C1" s="136" t="s">
        <v>83</v>
      </c>
      <c r="D1" s="137"/>
    </row>
    <row r="2" spans="1:4" x14ac:dyDescent="0.3">
      <c r="A2" s="28" t="s">
        <v>87</v>
      </c>
      <c r="B2" s="29" t="s">
        <v>88</v>
      </c>
      <c r="C2" s="28" t="s">
        <v>87</v>
      </c>
      <c r="D2" s="29" t="s">
        <v>89</v>
      </c>
    </row>
    <row r="3" spans="1:4" x14ac:dyDescent="0.3">
      <c r="A3" s="24" t="s">
        <v>90</v>
      </c>
      <c r="B3" s="25">
        <v>65856</v>
      </c>
      <c r="C3" s="24" t="s">
        <v>91</v>
      </c>
      <c r="D3" s="25">
        <v>18816</v>
      </c>
    </row>
    <row r="4" spans="1:4" x14ac:dyDescent="0.3">
      <c r="A4" s="24" t="s">
        <v>90</v>
      </c>
      <c r="B4" s="25">
        <v>87480</v>
      </c>
      <c r="C4" s="24" t="s">
        <v>92</v>
      </c>
      <c r="D4" s="25">
        <v>34992</v>
      </c>
    </row>
    <row r="5" spans="1:4" x14ac:dyDescent="0.3">
      <c r="A5" s="24" t="s">
        <v>90</v>
      </c>
      <c r="B5" s="25">
        <v>16224</v>
      </c>
      <c r="C5" s="24" t="s">
        <v>92</v>
      </c>
      <c r="D5" s="25">
        <v>5408</v>
      </c>
    </row>
    <row r="6" spans="1:4" x14ac:dyDescent="0.3">
      <c r="A6" s="24" t="s">
        <v>90</v>
      </c>
      <c r="B6" s="25">
        <v>24336</v>
      </c>
      <c r="C6" s="24" t="s">
        <v>90</v>
      </c>
      <c r="D6" s="25">
        <v>8112</v>
      </c>
    </row>
    <row r="7" spans="1:4" x14ac:dyDescent="0.3">
      <c r="A7" s="24" t="s">
        <v>93</v>
      </c>
      <c r="B7" s="25">
        <v>1152</v>
      </c>
      <c r="C7" s="24" t="s">
        <v>92</v>
      </c>
      <c r="D7" s="25">
        <v>1152</v>
      </c>
    </row>
    <row r="8" spans="1:4" ht="14.5" thickBot="1" x14ac:dyDescent="0.35">
      <c r="A8" s="26" t="s">
        <v>93</v>
      </c>
      <c r="B8" s="27">
        <v>512</v>
      </c>
      <c r="C8" s="26" t="s">
        <v>93</v>
      </c>
      <c r="D8" s="27">
        <v>512</v>
      </c>
    </row>
    <row r="10" spans="1:4" x14ac:dyDescent="0.3">
      <c r="B10" s="21">
        <f t="shared" ref="B10" si="0">+SUM(B3:B8)</f>
        <v>195560</v>
      </c>
      <c r="D10" s="21">
        <f>+SUM(D3:D8)</f>
        <v>68992</v>
      </c>
    </row>
    <row r="13" spans="1:4" x14ac:dyDescent="0.3">
      <c r="B13" s="21">
        <f>+B10+D10</f>
        <v>264552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76"/>
  <sheetViews>
    <sheetView topLeftCell="A38" zoomScaleNormal="100" workbookViewId="0">
      <selection activeCell="C62" sqref="C62"/>
    </sheetView>
  </sheetViews>
  <sheetFormatPr baseColWidth="10" defaultColWidth="12.6328125" defaultRowHeight="15.75" customHeight="1" x14ac:dyDescent="0.25"/>
  <cols>
    <col min="1" max="1" width="12.6328125" style="53"/>
    <col min="2" max="2" width="14" style="53" customWidth="1"/>
    <col min="3" max="3" width="20.453125" style="53" bestFit="1" customWidth="1"/>
    <col min="4" max="4" width="14.81640625" style="53" customWidth="1"/>
    <col min="5" max="5" width="15.54296875" style="53" customWidth="1"/>
    <col min="6" max="7" width="12.6328125" style="53"/>
    <col min="8" max="8" width="13.36328125" style="53" customWidth="1"/>
    <col min="9" max="9" width="18.453125" style="53" customWidth="1"/>
    <col min="10" max="10" width="12.6328125" style="53"/>
    <col min="11" max="11" width="13.6328125" style="53" customWidth="1"/>
    <col min="12" max="16384" width="12.6328125" style="53"/>
  </cols>
  <sheetData>
    <row r="1" spans="1:13" ht="15.75" customHeight="1" x14ac:dyDescent="0.35">
      <c r="A1" s="51" t="s">
        <v>0</v>
      </c>
      <c r="B1" s="52"/>
      <c r="C1" s="52"/>
      <c r="D1" s="52"/>
      <c r="E1" s="52"/>
      <c r="F1" s="52"/>
      <c r="G1" s="52"/>
      <c r="H1" s="52"/>
      <c r="I1" s="52" t="s">
        <v>1</v>
      </c>
      <c r="J1" s="129" t="s">
        <v>2</v>
      </c>
      <c r="K1" s="130"/>
      <c r="L1" s="130"/>
      <c r="M1" s="51">
        <v>32</v>
      </c>
    </row>
    <row r="2" spans="1:13" ht="15.75" customHeight="1" x14ac:dyDescent="0.35">
      <c r="A2" s="52"/>
      <c r="B2" s="52"/>
      <c r="C2" s="52"/>
      <c r="D2" s="52"/>
      <c r="E2" s="52"/>
      <c r="F2" s="52" t="s">
        <v>3</v>
      </c>
      <c r="G2" s="52"/>
      <c r="H2" s="52"/>
      <c r="I2" s="52"/>
      <c r="J2" s="52" t="s">
        <v>3</v>
      </c>
      <c r="K2" s="52"/>
      <c r="L2" s="52"/>
      <c r="M2" s="52"/>
    </row>
    <row r="3" spans="1:13" ht="15.75" customHeight="1" x14ac:dyDescent="0.35">
      <c r="A3" s="52"/>
      <c r="B3" s="52"/>
      <c r="C3" s="52" t="s">
        <v>4</v>
      </c>
      <c r="D3" s="52" t="s">
        <v>5</v>
      </c>
      <c r="E3" s="52" t="s">
        <v>6</v>
      </c>
      <c r="F3" s="52" t="s">
        <v>7</v>
      </c>
      <c r="G3" s="52" t="s">
        <v>8</v>
      </c>
      <c r="H3" s="52"/>
      <c r="I3" s="52" t="s">
        <v>5</v>
      </c>
      <c r="J3" s="52" t="s">
        <v>7</v>
      </c>
      <c r="K3" s="52"/>
      <c r="L3" s="52"/>
      <c r="M3" s="52"/>
    </row>
    <row r="4" spans="1:13" ht="15.75" customHeight="1" x14ac:dyDescent="0.35">
      <c r="A4" s="51" t="s">
        <v>9</v>
      </c>
      <c r="B4" s="51" t="s">
        <v>10</v>
      </c>
      <c r="C4" s="52" t="s">
        <v>11</v>
      </c>
      <c r="D4" s="54">
        <f>I4/$M$1</f>
        <v>1.9266687500000001E-2</v>
      </c>
      <c r="E4" s="55">
        <f>D4*0.001</f>
        <v>1.9266687500000002E-5</v>
      </c>
      <c r="F4" s="56">
        <f>J4/$M$1</f>
        <v>7.3315312499999997E-5</v>
      </c>
      <c r="G4" s="57">
        <f>F4*0.000000001</f>
        <v>7.3315312500000005E-14</v>
      </c>
      <c r="H4" s="58"/>
      <c r="I4" s="58">
        <v>0.61653400000000003</v>
      </c>
      <c r="J4" s="59">
        <v>2.3460899999999999E-3</v>
      </c>
    </row>
    <row r="5" spans="1:13" ht="15.75" customHeight="1" x14ac:dyDescent="0.35">
      <c r="A5" s="51" t="s">
        <v>9</v>
      </c>
      <c r="B5" s="51" t="s">
        <v>12</v>
      </c>
      <c r="C5" s="52" t="s">
        <v>13</v>
      </c>
      <c r="D5" s="54">
        <f t="shared" ref="D5:D6" si="0">I5/$M$1</f>
        <v>3.5548125E-2</v>
      </c>
      <c r="E5" s="55">
        <f t="shared" ref="E5:E6" si="1">D5*0.001</f>
        <v>3.5548125000000001E-5</v>
      </c>
      <c r="F5" s="56">
        <f t="shared" ref="F5:F7" si="2">J5/$M$1</f>
        <v>1.158971875E-4</v>
      </c>
      <c r="G5" s="57">
        <f t="shared" ref="G5:G7" si="3">F5*0.000000001</f>
        <v>1.1589718750000001E-13</v>
      </c>
      <c r="H5" s="52"/>
      <c r="I5" s="52">
        <v>1.13754</v>
      </c>
      <c r="J5" s="59">
        <v>3.70871E-3</v>
      </c>
    </row>
    <row r="6" spans="1:13" ht="15.75" customHeight="1" x14ac:dyDescent="0.35">
      <c r="A6" s="51" t="s">
        <v>9</v>
      </c>
      <c r="B6" s="51" t="s">
        <v>14</v>
      </c>
      <c r="C6" s="52" t="s">
        <v>15</v>
      </c>
      <c r="D6" s="54">
        <f t="shared" si="0"/>
        <v>6.7205312500000003E-2</v>
      </c>
      <c r="E6" s="55">
        <f t="shared" si="1"/>
        <v>6.7205312500000003E-5</v>
      </c>
      <c r="F6" s="56">
        <f t="shared" si="2"/>
        <v>1.565746875E-4</v>
      </c>
      <c r="G6" s="57">
        <f t="shared" si="3"/>
        <v>1.5657468750000001E-13</v>
      </c>
      <c r="H6" s="52"/>
      <c r="I6" s="52">
        <v>2.1505700000000001</v>
      </c>
      <c r="J6" s="59">
        <v>5.01039E-3</v>
      </c>
    </row>
    <row r="7" spans="1:13" ht="15.75" customHeight="1" x14ac:dyDescent="0.35">
      <c r="A7" s="51" t="s">
        <v>9</v>
      </c>
      <c r="B7" s="51" t="s">
        <v>16</v>
      </c>
      <c r="C7" s="52" t="s">
        <v>17</v>
      </c>
      <c r="D7" s="54">
        <f>I7/$M$1</f>
        <v>0.1300603125</v>
      </c>
      <c r="E7" s="55">
        <f>D7*0.001</f>
        <v>1.3006031250000001E-4</v>
      </c>
      <c r="F7" s="56">
        <f t="shared" si="2"/>
        <v>2.0267249999999999E-4</v>
      </c>
      <c r="G7" s="57">
        <f t="shared" si="3"/>
        <v>2.0267250000000001E-13</v>
      </c>
      <c r="H7" s="52"/>
      <c r="I7" s="52">
        <v>4.1619299999999999</v>
      </c>
      <c r="J7" s="59">
        <v>6.4855199999999998E-3</v>
      </c>
    </row>
    <row r="8" spans="1:13" ht="15.75" customHeight="1" x14ac:dyDescent="0.35">
      <c r="A8" s="52"/>
      <c r="B8" s="52"/>
      <c r="C8" s="52"/>
      <c r="E8" s="55"/>
      <c r="G8" s="57"/>
    </row>
    <row r="9" spans="1:13" ht="15.75" customHeight="1" x14ac:dyDescent="0.35">
      <c r="A9" s="52"/>
      <c r="B9" s="51" t="s">
        <v>9</v>
      </c>
      <c r="C9" s="52" t="s">
        <v>18</v>
      </c>
      <c r="D9" s="60">
        <v>476.98599999999999</v>
      </c>
      <c r="E9" s="55">
        <f t="shared" ref="E9:E10" si="4">D9*0.001</f>
        <v>0.47698600000000002</v>
      </c>
      <c r="F9" s="61">
        <v>0.105882</v>
      </c>
      <c r="G9" s="57">
        <f t="shared" ref="G9:G10" si="5">F9*0.000000001</f>
        <v>1.05882E-10</v>
      </c>
    </row>
    <row r="10" spans="1:13" ht="15.75" customHeight="1" x14ac:dyDescent="0.35">
      <c r="A10" s="52"/>
      <c r="B10" s="51" t="s">
        <v>19</v>
      </c>
      <c r="C10" s="52" t="s">
        <v>18</v>
      </c>
      <c r="D10" s="62">
        <v>449.72300000000001</v>
      </c>
      <c r="E10" s="55">
        <f t="shared" si="4"/>
        <v>0.44972300000000004</v>
      </c>
      <c r="F10" s="61">
        <v>7.8992000000000007E-2</v>
      </c>
      <c r="G10" s="57">
        <f t="shared" si="5"/>
        <v>7.8992000000000008E-11</v>
      </c>
    </row>
    <row r="11" spans="1:13" ht="13" x14ac:dyDescent="0.3">
      <c r="G11" s="63" t="s">
        <v>20</v>
      </c>
    </row>
    <row r="12" spans="1:13" ht="13" x14ac:dyDescent="0.3">
      <c r="E12" s="63" t="s">
        <v>21</v>
      </c>
    </row>
    <row r="14" spans="1:13" ht="15.75" customHeight="1" x14ac:dyDescent="0.25">
      <c r="A14" s="64" t="s">
        <v>25</v>
      </c>
    </row>
    <row r="15" spans="1:13" ht="15.75" customHeight="1" x14ac:dyDescent="0.25">
      <c r="B15" s="53">
        <v>166134.65625</v>
      </c>
      <c r="D15" s="53">
        <f>+B15*16</f>
        <v>2658154.5</v>
      </c>
      <c r="F15" s="53">
        <v>304686</v>
      </c>
      <c r="G15" s="65">
        <f>+F15*G7</f>
        <v>6.1751473334999999E-8</v>
      </c>
    </row>
    <row r="16" spans="1:13" ht="15.75" customHeight="1" x14ac:dyDescent="0.25">
      <c r="G16" s="65"/>
    </row>
    <row r="17" spans="1:20" ht="15.75" customHeight="1" x14ac:dyDescent="0.25">
      <c r="B17" s="65">
        <f>+B15*G9</f>
        <v>1.75906696730625E-5</v>
      </c>
    </row>
    <row r="18" spans="1:20" ht="15.75" customHeight="1" x14ac:dyDescent="0.25">
      <c r="B18" s="65">
        <f>+B15*G10</f>
        <v>1.3123308766500001E-5</v>
      </c>
    </row>
    <row r="20" spans="1:20" ht="15.75" customHeight="1" x14ac:dyDescent="0.25">
      <c r="A20" s="53" t="s">
        <v>22</v>
      </c>
      <c r="B20" s="53">
        <v>1406946</v>
      </c>
      <c r="C20" s="66">
        <f>E9*B20*0.000000001</f>
        <v>6.7109354475600007E-4</v>
      </c>
      <c r="D20" s="53">
        <f>(B20+F15)*E7</f>
        <v>222.61539280500003</v>
      </c>
      <c r="E20" s="53">
        <f>D20*0.000000001</f>
        <v>2.2261539280500005E-7</v>
      </c>
    </row>
    <row r="21" spans="1:20" ht="15.75" customHeight="1" x14ac:dyDescent="0.25">
      <c r="C21" s="53">
        <f>B20*E10*0.000000001</f>
        <v>6.3273597595800012E-4</v>
      </c>
    </row>
    <row r="22" spans="1:20" ht="15.75" customHeight="1" x14ac:dyDescent="0.25">
      <c r="B22" s="64" t="s">
        <v>23</v>
      </c>
      <c r="C22" s="65">
        <f>+C21+B18</f>
        <v>6.4585928472450009E-4</v>
      </c>
      <c r="D22" s="65">
        <f>C22+G15+E20</f>
        <v>6.4614365159064012E-4</v>
      </c>
    </row>
    <row r="23" spans="1:20" ht="15.75" customHeight="1" x14ac:dyDescent="0.25">
      <c r="B23" s="64" t="s">
        <v>24</v>
      </c>
      <c r="C23" s="66">
        <f>C20+B17</f>
        <v>6.8868421442906257E-4</v>
      </c>
      <c r="F23" s="66">
        <f>C23/D22</f>
        <v>1.0658376240851373</v>
      </c>
      <c r="G23" s="67">
        <f>+C23/C22</f>
        <v>1.0663069041777886</v>
      </c>
      <c r="H23" s="68">
        <f>G7/G4</f>
        <v>2.76439522780456</v>
      </c>
    </row>
    <row r="25" spans="1:20" ht="15.75" customHeight="1" thickBot="1" x14ac:dyDescent="0.3"/>
    <row r="26" spans="1:20" ht="15.75" customHeight="1" thickBot="1" x14ac:dyDescent="0.3">
      <c r="A26" s="69"/>
      <c r="B26" s="70" t="s">
        <v>39</v>
      </c>
      <c r="C26" s="71" t="s">
        <v>32</v>
      </c>
      <c r="D26" s="71" t="s">
        <v>33</v>
      </c>
      <c r="E26" s="71" t="s">
        <v>31</v>
      </c>
      <c r="F26" s="71" t="s">
        <v>34</v>
      </c>
      <c r="G26" s="71" t="s">
        <v>36</v>
      </c>
      <c r="H26" s="71" t="s">
        <v>35</v>
      </c>
      <c r="I26" s="71" t="s">
        <v>37</v>
      </c>
      <c r="J26" s="70" t="s">
        <v>40</v>
      </c>
      <c r="K26" s="70" t="s">
        <v>41</v>
      </c>
      <c r="L26" s="70" t="s">
        <v>42</v>
      </c>
      <c r="M26" s="70" t="s">
        <v>23</v>
      </c>
      <c r="N26" s="70" t="s">
        <v>24</v>
      </c>
      <c r="O26" s="70" t="s">
        <v>38</v>
      </c>
      <c r="P26" s="70" t="s">
        <v>43</v>
      </c>
      <c r="Q26" s="72" t="s">
        <v>44</v>
      </c>
    </row>
    <row r="27" spans="1:20" ht="15.75" customHeight="1" x14ac:dyDescent="0.25">
      <c r="A27" s="73" t="s">
        <v>25</v>
      </c>
      <c r="B27" s="74">
        <v>1406946</v>
      </c>
      <c r="C27" s="75">
        <v>166134.65625</v>
      </c>
      <c r="D27" s="75">
        <f>+C27*16</f>
        <v>2658154.5</v>
      </c>
      <c r="E27" s="75">
        <v>304686</v>
      </c>
      <c r="F27" s="76">
        <f>+E27*$G$7</f>
        <v>6.1751473334999999E-8</v>
      </c>
      <c r="G27" s="77">
        <f>+(B27+E27)*$E$7</f>
        <v>222.61539280500003</v>
      </c>
      <c r="H27" s="75">
        <f>+G27*0.000000001</f>
        <v>2.2261539280500005E-7</v>
      </c>
      <c r="I27" s="76">
        <f>+C27*$G$9</f>
        <v>1.75906696730625E-5</v>
      </c>
      <c r="J27" s="76">
        <f>+C27*$G$10</f>
        <v>1.3123308766500001E-5</v>
      </c>
      <c r="K27" s="75">
        <f>+$E$9*B27*0.000000001</f>
        <v>6.7109354475600007E-4</v>
      </c>
      <c r="L27" s="75">
        <f>+B27*$E$10*0.000000001</f>
        <v>6.3273597595800012E-4</v>
      </c>
      <c r="M27" s="78">
        <f>+L27+J27</f>
        <v>6.4585928472450009E-4</v>
      </c>
      <c r="N27" s="78">
        <f>+K27+I27</f>
        <v>6.8868421442906257E-4</v>
      </c>
      <c r="O27" s="76">
        <f>+M27+F27+H27</f>
        <v>6.4614365159064012E-4</v>
      </c>
      <c r="P27" s="79">
        <f>+N27/O27</f>
        <v>1.0658376240851373</v>
      </c>
      <c r="Q27" s="80">
        <f>+N27/M27</f>
        <v>1.0663069041777886</v>
      </c>
      <c r="R27" s="53" t="s">
        <v>134</v>
      </c>
    </row>
    <row r="28" spans="1:20" ht="15.75" customHeight="1" x14ac:dyDescent="0.25">
      <c r="A28" s="81" t="s">
        <v>26</v>
      </c>
      <c r="B28" s="82">
        <v>1453369</v>
      </c>
      <c r="C28" s="83">
        <v>2255650</v>
      </c>
      <c r="D28" s="83">
        <f t="shared" ref="D28:D32" si="6">+C28*16</f>
        <v>36090400</v>
      </c>
      <c r="E28" s="83">
        <v>4761</v>
      </c>
      <c r="F28" s="84">
        <f t="shared" ref="F28:F32" si="7">+E28*$G$7</f>
        <v>9.6492377250000002E-10</v>
      </c>
      <c r="G28" s="85">
        <f t="shared" ref="G28:G32" si="8">+(B28+E28)*$E$7</f>
        <v>189.644843465625</v>
      </c>
      <c r="H28" s="83">
        <f t="shared" ref="H28:H32" si="9">+G28*0.000000001</f>
        <v>1.8964484346562501E-7</v>
      </c>
      <c r="I28" s="84">
        <f t="shared" ref="I28:I32" si="10">+C28*$G$9</f>
        <v>2.3883273330000001E-4</v>
      </c>
      <c r="J28" s="84">
        <f t="shared" ref="J28:J32" si="11">+C28*$G$10</f>
        <v>1.7817830480000002E-4</v>
      </c>
      <c r="K28" s="83">
        <f t="shared" ref="K28:K32" si="12">+$E$9*B28*0.000000001</f>
        <v>6.9323666583399998E-4</v>
      </c>
      <c r="L28" s="83">
        <f t="shared" ref="L28:L32" si="13">+B28*$E$10*0.000000001</f>
        <v>6.5361346678700016E-4</v>
      </c>
      <c r="M28" s="86">
        <f t="shared" ref="M28:M32" si="14">+L28+J28</f>
        <v>8.3179177158700015E-4</v>
      </c>
      <c r="N28" s="86">
        <f t="shared" ref="N28:N32" si="15">+K28+I28</f>
        <v>9.3206939913399994E-4</v>
      </c>
      <c r="O28" s="84">
        <f t="shared" ref="O28:O32" si="16">+M28+F28+H28</f>
        <v>8.3198238135423833E-4</v>
      </c>
      <c r="P28" s="87">
        <f t="shared" ref="P28:P32" si="17">+N28/O28</f>
        <v>1.120299443861837</v>
      </c>
      <c r="Q28" s="88">
        <f t="shared" ref="Q28:Q32" si="18">+N28/M28</f>
        <v>1.1205561667864028</v>
      </c>
      <c r="R28" s="53" t="s">
        <v>102</v>
      </c>
      <c r="S28" s="89">
        <v>3.75</v>
      </c>
      <c r="T28" s="90" t="s">
        <v>59</v>
      </c>
    </row>
    <row r="29" spans="1:20" ht="15.75" customHeight="1" x14ac:dyDescent="0.25">
      <c r="A29" s="91" t="s">
        <v>27</v>
      </c>
      <c r="B29" s="82">
        <v>6937351</v>
      </c>
      <c r="C29" s="83">
        <v>306313972.25</v>
      </c>
      <c r="D29" s="83">
        <f t="shared" si="6"/>
        <v>4901023556</v>
      </c>
      <c r="E29" s="83">
        <v>13796</v>
      </c>
      <c r="F29" s="84">
        <f t="shared" si="7"/>
        <v>2.79606981E-9</v>
      </c>
      <c r="G29" s="85">
        <f t="shared" si="8"/>
        <v>904.0683510534376</v>
      </c>
      <c r="H29" s="83">
        <f t="shared" si="9"/>
        <v>9.0406835105343764E-7</v>
      </c>
      <c r="I29" s="84">
        <f t="shared" si="10"/>
        <v>3.2433136009774502E-2</v>
      </c>
      <c r="J29" s="84">
        <f t="shared" si="11"/>
        <v>2.4196353295972001E-2</v>
      </c>
      <c r="K29" s="83">
        <f t="shared" si="12"/>
        <v>3.3090193040860006E-3</v>
      </c>
      <c r="L29" s="83">
        <f t="shared" si="13"/>
        <v>3.1198863037730008E-3</v>
      </c>
      <c r="M29" s="86">
        <f t="shared" si="14"/>
        <v>2.7316239599745003E-2</v>
      </c>
      <c r="N29" s="86">
        <f t="shared" si="15"/>
        <v>3.5742155313860505E-2</v>
      </c>
      <c r="O29" s="84">
        <f t="shared" si="16"/>
        <v>2.7317146464165866E-2</v>
      </c>
      <c r="P29" s="87">
        <f t="shared" si="17"/>
        <v>1.3084146750373951</v>
      </c>
      <c r="Q29" s="88">
        <f t="shared" si="18"/>
        <v>1.3084581127408972</v>
      </c>
      <c r="R29" s="53" t="s">
        <v>46</v>
      </c>
      <c r="S29" s="90">
        <v>0.46139439999999998</v>
      </c>
      <c r="T29" s="90" t="s">
        <v>47</v>
      </c>
    </row>
    <row r="30" spans="1:20" ht="15.75" customHeight="1" x14ac:dyDescent="0.25">
      <c r="A30" s="81" t="s">
        <v>28</v>
      </c>
      <c r="B30" s="82">
        <v>1670088</v>
      </c>
      <c r="C30" s="83">
        <v>532292.5625</v>
      </c>
      <c r="D30" s="83">
        <f t="shared" si="6"/>
        <v>8516681</v>
      </c>
      <c r="E30" s="83">
        <v>4534</v>
      </c>
      <c r="F30" s="84">
        <f t="shared" si="7"/>
        <v>9.1891711500000004E-10</v>
      </c>
      <c r="G30" s="85">
        <f t="shared" si="8"/>
        <v>217.80186063937501</v>
      </c>
      <c r="H30" s="83">
        <f t="shared" si="9"/>
        <v>2.1780186063937501E-7</v>
      </c>
      <c r="I30" s="84">
        <f t="shared" si="10"/>
        <v>5.6360201102625E-5</v>
      </c>
      <c r="J30" s="84">
        <f t="shared" si="11"/>
        <v>4.2046854097000004E-5</v>
      </c>
      <c r="K30" s="83">
        <f t="shared" si="12"/>
        <v>7.9660859476800012E-4</v>
      </c>
      <c r="L30" s="83">
        <f t="shared" si="13"/>
        <v>7.510769856240001E-4</v>
      </c>
      <c r="M30" s="86">
        <f t="shared" si="14"/>
        <v>7.9312383972100016E-4</v>
      </c>
      <c r="N30" s="86">
        <f t="shared" si="15"/>
        <v>8.5296879587062511E-4</v>
      </c>
      <c r="O30" s="84">
        <f t="shared" si="16"/>
        <v>7.9334256049875455E-4</v>
      </c>
      <c r="P30" s="87">
        <f t="shared" si="17"/>
        <v>1.0751582460600437</v>
      </c>
      <c r="Q30" s="88">
        <f t="shared" si="18"/>
        <v>1.0754547438274922</v>
      </c>
      <c r="R30" s="53" t="s">
        <v>48</v>
      </c>
      <c r="S30" s="90">
        <v>0.161075</v>
      </c>
      <c r="T30" s="90" t="s">
        <v>107</v>
      </c>
    </row>
    <row r="31" spans="1:20" ht="15.75" customHeight="1" x14ac:dyDescent="0.25">
      <c r="A31" s="81" t="s">
        <v>29</v>
      </c>
      <c r="B31" s="82">
        <v>27160746</v>
      </c>
      <c r="C31" s="83">
        <v>3094726</v>
      </c>
      <c r="D31" s="83">
        <f t="shared" si="6"/>
        <v>49515616</v>
      </c>
      <c r="E31" s="83">
        <v>1677364</v>
      </c>
      <c r="F31" s="84">
        <f t="shared" si="7"/>
        <v>3.3995555529E-7</v>
      </c>
      <c r="G31" s="85">
        <f t="shared" si="8"/>
        <v>3750.6935985093751</v>
      </c>
      <c r="H31" s="83">
        <f t="shared" si="9"/>
        <v>3.7506935985093753E-6</v>
      </c>
      <c r="I31" s="84">
        <f t="shared" si="10"/>
        <v>3.2767577833200002E-4</v>
      </c>
      <c r="J31" s="84">
        <f t="shared" si="11"/>
        <v>2.4445859619200003E-4</v>
      </c>
      <c r="K31" s="83">
        <f t="shared" si="12"/>
        <v>1.2955295591556002E-2</v>
      </c>
      <c r="L31" s="83">
        <f t="shared" si="13"/>
        <v>1.2214812173358002E-2</v>
      </c>
      <c r="M31" s="86">
        <f t="shared" si="14"/>
        <v>1.2459270769550002E-2</v>
      </c>
      <c r="N31" s="86">
        <f t="shared" si="15"/>
        <v>1.3282971369888003E-2</v>
      </c>
      <c r="O31" s="84">
        <f t="shared" si="16"/>
        <v>1.24633614187038E-2</v>
      </c>
      <c r="P31" s="87">
        <f t="shared" si="17"/>
        <v>1.0657615488831298</v>
      </c>
      <c r="Q31" s="88">
        <f t="shared" si="18"/>
        <v>1.0661114615432465</v>
      </c>
      <c r="R31" s="53" t="s">
        <v>49</v>
      </c>
      <c r="S31" s="90">
        <v>0.14517099999999999</v>
      </c>
      <c r="T31" s="90" t="s">
        <v>107</v>
      </c>
    </row>
    <row r="32" spans="1:20" ht="15.75" customHeight="1" thickBot="1" x14ac:dyDescent="0.3">
      <c r="A32" s="92" t="s">
        <v>30</v>
      </c>
      <c r="B32" s="93">
        <v>2099986</v>
      </c>
      <c r="C32" s="94">
        <v>3094726</v>
      </c>
      <c r="D32" s="94">
        <f t="shared" si="6"/>
        <v>49515616</v>
      </c>
      <c r="E32" s="94">
        <v>305822</v>
      </c>
      <c r="F32" s="95">
        <f t="shared" si="7"/>
        <v>6.1981709294999998E-8</v>
      </c>
      <c r="G32" s="96">
        <f t="shared" si="8"/>
        <v>312.90014029500003</v>
      </c>
      <c r="H32" s="94">
        <f t="shared" si="9"/>
        <v>3.1290014029500006E-7</v>
      </c>
      <c r="I32" s="95">
        <f t="shared" si="10"/>
        <v>3.2767577833200002E-4</v>
      </c>
      <c r="J32" s="95">
        <f t="shared" si="11"/>
        <v>2.4445859619200003E-4</v>
      </c>
      <c r="K32" s="94">
        <f t="shared" si="12"/>
        <v>1.001663922196E-3</v>
      </c>
      <c r="L32" s="94">
        <f t="shared" si="13"/>
        <v>9.4441200387800019E-4</v>
      </c>
      <c r="M32" s="97">
        <f t="shared" si="14"/>
        <v>1.1888706000700003E-3</v>
      </c>
      <c r="N32" s="97">
        <f t="shared" si="15"/>
        <v>1.3293397005279999E-3</v>
      </c>
      <c r="O32" s="95">
        <f t="shared" si="16"/>
        <v>1.1892454819195902E-3</v>
      </c>
      <c r="P32" s="98">
        <f t="shared" si="17"/>
        <v>1.1178009256611008</v>
      </c>
      <c r="Q32" s="99">
        <f t="shared" si="18"/>
        <v>1.1181533973922215</v>
      </c>
    </row>
    <row r="35" spans="1:21" ht="15.75" customHeight="1" x14ac:dyDescent="0.25">
      <c r="B35" s="53" t="s">
        <v>45</v>
      </c>
      <c r="C35" s="53" t="s">
        <v>9</v>
      </c>
      <c r="D35" s="64" t="s">
        <v>103</v>
      </c>
      <c r="F35" s="53" t="s">
        <v>45</v>
      </c>
      <c r="G35" s="53" t="s">
        <v>19</v>
      </c>
      <c r="H35" s="64" t="s">
        <v>103</v>
      </c>
      <c r="J35" s="64" t="s">
        <v>105</v>
      </c>
      <c r="L35" s="64" t="s">
        <v>9</v>
      </c>
      <c r="N35" s="53" t="s">
        <v>106</v>
      </c>
      <c r="R35" s="53" t="s">
        <v>135</v>
      </c>
    </row>
    <row r="36" spans="1:21" ht="15.75" customHeight="1" x14ac:dyDescent="0.25">
      <c r="B36" s="53" t="s">
        <v>102</v>
      </c>
      <c r="C36" s="100">
        <v>3.1</v>
      </c>
      <c r="D36" s="100" t="s">
        <v>59</v>
      </c>
      <c r="F36" s="64" t="s">
        <v>104</v>
      </c>
      <c r="G36" s="53">
        <v>2.89</v>
      </c>
      <c r="H36" s="53" t="s">
        <v>59</v>
      </c>
      <c r="J36" s="53" t="s">
        <v>102</v>
      </c>
      <c r="K36" s="101">
        <v>0.52</v>
      </c>
      <c r="L36" s="101" t="s">
        <v>59</v>
      </c>
      <c r="N36" s="53" t="s">
        <v>102</v>
      </c>
      <c r="O36" s="102">
        <v>2.96</v>
      </c>
      <c r="P36" s="102" t="s">
        <v>59</v>
      </c>
      <c r="R36" s="53" t="s">
        <v>102</v>
      </c>
      <c r="S36" s="103" t="s">
        <v>136</v>
      </c>
      <c r="T36" s="104" t="s">
        <v>59</v>
      </c>
    </row>
    <row r="37" spans="1:21" ht="15.75" customHeight="1" x14ac:dyDescent="0.25">
      <c r="B37" s="53" t="s">
        <v>46</v>
      </c>
      <c r="C37" s="100">
        <v>0.31495279999999998</v>
      </c>
      <c r="D37" s="53" t="s">
        <v>47</v>
      </c>
      <c r="F37" s="53" t="s">
        <v>46</v>
      </c>
      <c r="G37" s="100">
        <v>0.26979439999999999</v>
      </c>
      <c r="H37" s="53" t="s">
        <v>47</v>
      </c>
      <c r="J37" s="53" t="s">
        <v>46</v>
      </c>
      <c r="K37" s="101">
        <v>4.0182799999999999E-3</v>
      </c>
      <c r="L37" s="53" t="s">
        <v>47</v>
      </c>
      <c r="N37" s="53" t="s">
        <v>46</v>
      </c>
      <c r="O37" s="102">
        <v>0.30349359999999997</v>
      </c>
      <c r="P37" s="102" t="s">
        <v>47</v>
      </c>
      <c r="R37" s="53" t="s">
        <v>46</v>
      </c>
      <c r="S37" s="104">
        <v>0.28848079999999998</v>
      </c>
      <c r="T37" s="104" t="s">
        <v>47</v>
      </c>
    </row>
    <row r="38" spans="1:21" ht="15.75" customHeight="1" x14ac:dyDescent="0.25">
      <c r="B38" s="53" t="s">
        <v>48</v>
      </c>
      <c r="C38" s="100">
        <v>8.3795400000000006E-2</v>
      </c>
      <c r="D38" s="64" t="s">
        <v>107</v>
      </c>
      <c r="F38" s="53" t="s">
        <v>48</v>
      </c>
      <c r="G38" s="100">
        <v>6.4523200000000003E-2</v>
      </c>
      <c r="H38" s="64" t="s">
        <v>107</v>
      </c>
      <c r="J38" s="53" t="s">
        <v>50</v>
      </c>
      <c r="K38" s="101">
        <v>1.49489E-3</v>
      </c>
      <c r="L38" s="64" t="s">
        <v>107</v>
      </c>
      <c r="N38" s="53" t="s">
        <v>48</v>
      </c>
      <c r="O38" s="102">
        <v>7.4424699999999996E-2</v>
      </c>
      <c r="P38" s="102" t="s">
        <v>107</v>
      </c>
      <c r="R38" s="53" t="s">
        <v>48</v>
      </c>
      <c r="S38" s="104">
        <v>7.1254200000000004E-2</v>
      </c>
      <c r="T38" s="104" t="s">
        <v>107</v>
      </c>
    </row>
    <row r="39" spans="1:21" ht="15.75" customHeight="1" x14ac:dyDescent="0.25">
      <c r="B39" s="53" t="s">
        <v>49</v>
      </c>
      <c r="C39" s="100">
        <v>6.6416299999999998E-2</v>
      </c>
      <c r="D39" s="64" t="s">
        <v>107</v>
      </c>
      <c r="F39" s="53" t="s">
        <v>49</v>
      </c>
      <c r="G39" s="100">
        <v>4.80229E-2</v>
      </c>
      <c r="H39" s="64" t="s">
        <v>107</v>
      </c>
      <c r="J39" s="53" t="s">
        <v>51</v>
      </c>
      <c r="K39" s="101">
        <v>1.67907E-3</v>
      </c>
      <c r="L39" s="64" t="s">
        <v>107</v>
      </c>
      <c r="N39" s="53" t="s">
        <v>49</v>
      </c>
      <c r="O39" s="102">
        <v>5.5861899999999999E-2</v>
      </c>
      <c r="P39" s="102" t="s">
        <v>107</v>
      </c>
      <c r="R39" s="53" t="s">
        <v>49</v>
      </c>
      <c r="S39" s="104">
        <v>5.36926E-2</v>
      </c>
      <c r="T39" s="104" t="s">
        <v>107</v>
      </c>
    </row>
    <row r="41" spans="1:21" ht="15.75" customHeight="1" x14ac:dyDescent="0.25">
      <c r="B41" s="53" t="s">
        <v>57</v>
      </c>
      <c r="C41" s="53">
        <v>1</v>
      </c>
      <c r="D41" s="53" t="s">
        <v>58</v>
      </c>
    </row>
    <row r="42" spans="1:21" ht="15.75" customHeight="1" x14ac:dyDescent="0.25">
      <c r="C42" s="53">
        <f>C41/1000000000</f>
        <v>1.0000000000000001E-9</v>
      </c>
      <c r="D42" s="53" t="s">
        <v>59</v>
      </c>
      <c r="E42" s="53">
        <f>+D46+F46</f>
        <v>86176289.6875</v>
      </c>
      <c r="F42" s="53">
        <f>+E42*2</f>
        <v>172352579.375</v>
      </c>
    </row>
    <row r="43" spans="1:21" ht="15.75" customHeight="1" x14ac:dyDescent="0.25">
      <c r="S43" s="64" t="s">
        <v>109</v>
      </c>
    </row>
    <row r="44" spans="1:21" ht="15.75" customHeight="1" x14ac:dyDescent="0.25">
      <c r="G44" s="53" t="s">
        <v>74</v>
      </c>
      <c r="J44" s="105" t="s">
        <v>66</v>
      </c>
      <c r="L44" s="64" t="s">
        <v>108</v>
      </c>
      <c r="M44" s="105" t="s">
        <v>68</v>
      </c>
      <c r="O44" s="64" t="s">
        <v>108</v>
      </c>
      <c r="P44" s="105" t="s">
        <v>61</v>
      </c>
      <c r="R44" s="64" t="s">
        <v>108</v>
      </c>
      <c r="S44" s="105" t="s">
        <v>68</v>
      </c>
      <c r="U44" s="64" t="s">
        <v>108</v>
      </c>
    </row>
    <row r="45" spans="1:21" ht="15.75" customHeight="1" x14ac:dyDescent="0.25">
      <c r="B45" s="53" t="s">
        <v>52</v>
      </c>
      <c r="C45" s="53" t="s">
        <v>53</v>
      </c>
      <c r="D45" s="53" t="s">
        <v>54</v>
      </c>
      <c r="E45" s="53" t="s">
        <v>55</v>
      </c>
      <c r="F45" s="64" t="s">
        <v>56</v>
      </c>
      <c r="G45" s="106" t="s">
        <v>72</v>
      </c>
      <c r="H45" s="106" t="s">
        <v>73</v>
      </c>
      <c r="I45" s="53" t="s">
        <v>60</v>
      </c>
      <c r="J45" s="53" t="s">
        <v>65</v>
      </c>
      <c r="K45" s="53" t="s">
        <v>63</v>
      </c>
      <c r="L45" s="53" t="s">
        <v>64</v>
      </c>
      <c r="M45" s="53" t="s">
        <v>67</v>
      </c>
      <c r="N45" s="53" t="s">
        <v>69</v>
      </c>
      <c r="O45" s="53" t="s">
        <v>70</v>
      </c>
      <c r="P45" s="53" t="s">
        <v>62</v>
      </c>
      <c r="Q45" s="53" t="s">
        <v>71</v>
      </c>
      <c r="R45" s="53" t="s">
        <v>64</v>
      </c>
      <c r="S45" s="53" t="s">
        <v>67</v>
      </c>
      <c r="T45" s="53" t="s">
        <v>69</v>
      </c>
      <c r="U45" s="53" t="s">
        <v>70</v>
      </c>
    </row>
    <row r="46" spans="1:21" ht="15.75" customHeight="1" x14ac:dyDescent="0.3">
      <c r="A46" s="73" t="s">
        <v>25</v>
      </c>
      <c r="B46" s="74">
        <v>1406946</v>
      </c>
      <c r="C46" s="53">
        <v>1378418857</v>
      </c>
      <c r="D46" s="105">
        <v>86154662</v>
      </c>
      <c r="E46" s="53">
        <v>346043</v>
      </c>
      <c r="F46" s="105">
        <v>21627.6875</v>
      </c>
      <c r="G46" s="107">
        <v>14</v>
      </c>
      <c r="H46" s="107">
        <v>2</v>
      </c>
      <c r="I46" s="53">
        <f>B46*$C$42</f>
        <v>1.4069460000000001E-3</v>
      </c>
      <c r="J46" s="53">
        <f>I46*$C$37</f>
        <v>4.4312158214879997E-4</v>
      </c>
      <c r="K46" s="53">
        <f t="shared" ref="K46:K51" si="19">D46*$C$38*0.000000001</f>
        <v>7.2193643641548016E-3</v>
      </c>
      <c r="L46" s="53">
        <f>F46*$C$39*0.000000001</f>
        <v>1.43643098130625E-6</v>
      </c>
      <c r="M46" s="53">
        <f>(I46+SUM(G46:H46)*$C$42)*$G$37</f>
        <v>3.795904686128E-4</v>
      </c>
      <c r="N46" s="53">
        <f>D46*$G$38*0.000000001</f>
        <v>5.5589744871583999E-3</v>
      </c>
      <c r="O46" s="53">
        <f>F46*$G$39*0.000000001</f>
        <v>1.0386242740437502E-6</v>
      </c>
      <c r="P46" s="53">
        <f>(I46+SUM(G46:H46)*$C$42)*$K$37</f>
        <v>5.6535672653600006E-6</v>
      </c>
      <c r="Q46" s="53">
        <f>G46*$K$38*0.000000001</f>
        <v>2.0928460000000002E-11</v>
      </c>
      <c r="R46" s="53">
        <f>H46*$K$39*0.000000001</f>
        <v>3.3581400000000001E-12</v>
      </c>
      <c r="S46" s="53">
        <f>(I46+SUM(G46:H46)*$C$42)*$S$37</f>
        <v>4.058815233296E-4</v>
      </c>
      <c r="T46" s="53">
        <f>D46*$S$38*0.000000001</f>
        <v>6.1388815170804007E-3</v>
      </c>
      <c r="U46" s="53">
        <f>F46*$S$39*0.000000001</f>
        <v>1.1612467738625001E-6</v>
      </c>
    </row>
    <row r="47" spans="1:21" ht="15.75" customHeight="1" x14ac:dyDescent="0.3">
      <c r="A47" s="81" t="s">
        <v>26</v>
      </c>
      <c r="B47" s="82">
        <v>1453369</v>
      </c>
      <c r="C47" s="53">
        <v>3967229</v>
      </c>
      <c r="D47" s="105">
        <v>253081</v>
      </c>
      <c r="E47" s="53">
        <v>2408456</v>
      </c>
      <c r="F47" s="105">
        <v>150528.5</v>
      </c>
      <c r="G47" s="107">
        <v>81</v>
      </c>
      <c r="H47" s="107">
        <v>32</v>
      </c>
      <c r="I47" s="53">
        <f t="shared" ref="I47:I51" si="20">B47*$C$42</f>
        <v>1.4533690000000001E-3</v>
      </c>
      <c r="J47" s="53">
        <f t="shared" ref="J47:J51" si="21">I47*$C$37</f>
        <v>4.5774263598319999E-4</v>
      </c>
      <c r="K47" s="53">
        <f t="shared" si="19"/>
        <v>2.1207023627400003E-5</v>
      </c>
      <c r="L47" s="53">
        <f t="shared" ref="L47:L51" si="22">F47*$C$39*0.000000001</f>
        <v>9.9975460145500012E-6</v>
      </c>
      <c r="M47" s="53">
        <f t="shared" ref="M47:M51" si="23">(I47+SUM(G47:H47)*$C$42)*$G$37</f>
        <v>3.9214130410080003E-4</v>
      </c>
      <c r="N47" s="53">
        <f t="shared" ref="N47:N51" si="24">D47*$G$38*0.000000001</f>
        <v>1.6329595979200001E-5</v>
      </c>
      <c r="O47" s="53">
        <f t="shared" ref="O47:O51" si="25">F47*$G$39*0.000000001</f>
        <v>7.2288151026500005E-6</v>
      </c>
      <c r="P47" s="53">
        <f>(I47+SUM(G47:H47)*$C$42)*$K$37</f>
        <v>5.84049765096E-6</v>
      </c>
      <c r="Q47" s="53">
        <f t="shared" ref="Q47:Q51" si="26">G47*$K$38*0.000000001</f>
        <v>1.2108609000000002E-10</v>
      </c>
      <c r="R47" s="53">
        <f t="shared" ref="R47:R51" si="27">H47*$K$39*0.000000001</f>
        <v>5.3730240000000001E-11</v>
      </c>
      <c r="S47" s="53">
        <f t="shared" ref="S47:S50" si="28">(I47+SUM(G47:H47)*$C$42)*$S$37</f>
        <v>4.1930165014559997E-4</v>
      </c>
      <c r="T47" s="53">
        <f t="shared" ref="T47:T51" si="29">D47*$S$38*0.000000001</f>
        <v>1.80330841902E-5</v>
      </c>
      <c r="U47" s="53">
        <f t="shared" ref="U47:U51" si="30">F47*$S$39*0.000000001</f>
        <v>8.0822665391000002E-6</v>
      </c>
    </row>
    <row r="48" spans="1:21" ht="15.75" customHeight="1" x14ac:dyDescent="0.3">
      <c r="A48" s="91" t="s">
        <v>27</v>
      </c>
      <c r="B48" s="82">
        <v>6937351</v>
      </c>
      <c r="C48" s="53">
        <v>34349440</v>
      </c>
      <c r="D48" s="105">
        <v>2146840</v>
      </c>
      <c r="E48" s="53">
        <v>13313896</v>
      </c>
      <c r="F48" s="105">
        <v>832118.5</v>
      </c>
      <c r="G48" s="107">
        <v>881</v>
      </c>
      <c r="H48" s="107">
        <v>224</v>
      </c>
      <c r="I48" s="53">
        <f t="shared" si="20"/>
        <v>6.9373510000000005E-3</v>
      </c>
      <c r="J48" s="53">
        <f t="shared" si="21"/>
        <v>2.1849381220328001E-3</v>
      </c>
      <c r="K48" s="53">
        <f t="shared" si="19"/>
        <v>1.7989531653600001E-4</v>
      </c>
      <c r="L48" s="53">
        <f t="shared" si="22"/>
        <v>5.5266231931550004E-5</v>
      </c>
      <c r="M48" s="53">
        <f t="shared" si="23"/>
        <v>1.8719565734464001E-3</v>
      </c>
      <c r="N48" s="53">
        <f t="shared" si="24"/>
        <v>1.3852098668800002E-4</v>
      </c>
      <c r="O48" s="53">
        <f t="shared" si="25"/>
        <v>3.9960743513650004E-5</v>
      </c>
      <c r="P48" s="53">
        <f t="shared" ref="P48:P51" si="31">(I48+SUM(G48:H48)*$C$42)*$K$37</f>
        <v>2.7880658975680004E-5</v>
      </c>
      <c r="Q48" s="53">
        <f t="shared" si="26"/>
        <v>1.3169980900000001E-9</v>
      </c>
      <c r="R48" s="53">
        <f t="shared" si="27"/>
        <v>3.7611168000000005E-10</v>
      </c>
      <c r="S48" s="53">
        <f t="shared" si="28"/>
        <v>2.0016113376448001E-3</v>
      </c>
      <c r="T48" s="53">
        <f t="shared" si="29"/>
        <v>1.52971366728E-4</v>
      </c>
      <c r="U48" s="53">
        <f>F48*$S$39*0.000000001</f>
        <v>4.4678605773099998E-5</v>
      </c>
    </row>
    <row r="49" spans="1:27" ht="15.75" customHeight="1" x14ac:dyDescent="0.3">
      <c r="A49" s="81" t="s">
        <v>28</v>
      </c>
      <c r="B49" s="82">
        <v>1670088</v>
      </c>
      <c r="C49" s="53">
        <v>29687712</v>
      </c>
      <c r="D49" s="105">
        <v>1862748</v>
      </c>
      <c r="E49" s="53">
        <v>2090528</v>
      </c>
      <c r="F49" s="105">
        <v>130658</v>
      </c>
      <c r="G49" s="107">
        <v>171</v>
      </c>
      <c r="H49" s="107">
        <v>26</v>
      </c>
      <c r="I49" s="53">
        <f t="shared" si="20"/>
        <v>1.6700880000000001E-3</v>
      </c>
      <c r="J49" s="53">
        <f t="shared" si="21"/>
        <v>5.2599889184639997E-4</v>
      </c>
      <c r="K49" s="53">
        <f t="shared" si="19"/>
        <v>1.5608971375920001E-4</v>
      </c>
      <c r="L49" s="53">
        <f t="shared" si="22"/>
        <v>8.6778209254E-6</v>
      </c>
      <c r="M49" s="53">
        <f t="shared" si="23"/>
        <v>4.5063353940400002E-4</v>
      </c>
      <c r="N49" s="53">
        <f t="shared" si="24"/>
        <v>1.2019046175360001E-4</v>
      </c>
      <c r="O49" s="53">
        <f t="shared" si="25"/>
        <v>6.2745760682000006E-6</v>
      </c>
      <c r="P49" s="53">
        <f t="shared" si="31"/>
        <v>6.7116728098000002E-6</v>
      </c>
      <c r="Q49" s="53">
        <f t="shared" si="26"/>
        <v>2.5562619000000006E-10</v>
      </c>
      <c r="R49" s="53">
        <f t="shared" si="27"/>
        <v>4.3655819999999998E-11</v>
      </c>
      <c r="S49" s="53">
        <f t="shared" si="28"/>
        <v>4.81845153028E-4</v>
      </c>
      <c r="T49" s="53">
        <f t="shared" si="29"/>
        <v>1.3272861854160003E-4</v>
      </c>
      <c r="U49" s="53">
        <f t="shared" si="30"/>
        <v>7.0153677308E-6</v>
      </c>
    </row>
    <row r="50" spans="1:27" ht="15.75" customHeight="1" x14ac:dyDescent="0.3">
      <c r="A50" s="81" t="s">
        <v>29</v>
      </c>
      <c r="B50" s="82">
        <v>27160746</v>
      </c>
      <c r="C50" s="53">
        <v>10108481912</v>
      </c>
      <c r="D50" s="105">
        <v>631780120</v>
      </c>
      <c r="E50" s="53">
        <v>4283902</v>
      </c>
      <c r="F50" s="105">
        <v>267743.875</v>
      </c>
      <c r="G50" s="107">
        <v>746</v>
      </c>
      <c r="H50" s="107">
        <v>135</v>
      </c>
      <c r="I50" s="53">
        <f t="shared" si="20"/>
        <v>2.7160746000000003E-2</v>
      </c>
      <c r="J50" s="53">
        <f t="shared" si="21"/>
        <v>8.5543530027888011E-3</v>
      </c>
      <c r="K50" s="53">
        <f t="shared" si="19"/>
        <v>5.2940267867448008E-2</v>
      </c>
      <c r="L50" s="53">
        <f t="shared" si="22"/>
        <v>1.7782557525162498E-5</v>
      </c>
      <c r="M50" s="53">
        <f t="shared" si="23"/>
        <v>7.328054859488801E-3</v>
      </c>
      <c r="N50" s="53">
        <f t="shared" si="24"/>
        <v>4.0764475038784005E-2</v>
      </c>
      <c r="O50" s="53">
        <f t="shared" si="25"/>
        <v>1.2857837334737501E-5</v>
      </c>
      <c r="P50" s="53">
        <f t="shared" si="31"/>
        <v>1.0914302254156002E-4</v>
      </c>
      <c r="Q50" s="53">
        <f t="shared" si="26"/>
        <v>1.1151879400000001E-9</v>
      </c>
      <c r="R50" s="53">
        <f t="shared" si="27"/>
        <v>2.2667445E-10</v>
      </c>
      <c r="S50" s="53">
        <f t="shared" si="28"/>
        <v>7.8356078862616002E-3</v>
      </c>
      <c r="T50" s="53">
        <f t="shared" si="29"/>
        <v>4.5016987026504009E-2</v>
      </c>
      <c r="U50" s="53">
        <f t="shared" si="30"/>
        <v>1.4375864782825001E-5</v>
      </c>
    </row>
    <row r="51" spans="1:27" ht="15.75" customHeight="1" thickBot="1" x14ac:dyDescent="0.35">
      <c r="A51" s="92" t="s">
        <v>30</v>
      </c>
      <c r="B51" s="93">
        <v>2099986</v>
      </c>
      <c r="C51" s="53">
        <v>1380066114</v>
      </c>
      <c r="D51" s="105">
        <v>86254903</v>
      </c>
      <c r="E51" s="53">
        <v>551936</v>
      </c>
      <c r="F51" s="105">
        <v>34496</v>
      </c>
      <c r="G51" s="107">
        <v>27</v>
      </c>
      <c r="H51" s="107">
        <v>4</v>
      </c>
      <c r="I51" s="53">
        <f t="shared" si="20"/>
        <v>2.0999860000000003E-3</v>
      </c>
      <c r="J51" s="53">
        <f t="shared" si="21"/>
        <v>6.6139647066080001E-4</v>
      </c>
      <c r="K51" s="53">
        <f t="shared" si="19"/>
        <v>7.2277640988462014E-3</v>
      </c>
      <c r="L51" s="53">
        <f t="shared" si="22"/>
        <v>2.2910966848E-6</v>
      </c>
      <c r="M51" s="53">
        <f t="shared" si="23"/>
        <v>5.6657282650480014E-4</v>
      </c>
      <c r="N51" s="53">
        <f t="shared" si="24"/>
        <v>5.5654423572496E-3</v>
      </c>
      <c r="O51" s="53">
        <f t="shared" si="25"/>
        <v>1.6565979584E-6</v>
      </c>
      <c r="P51" s="53">
        <f t="shared" si="31"/>
        <v>8.4384563107600019E-6</v>
      </c>
      <c r="Q51" s="53">
        <f t="shared" si="26"/>
        <v>4.0362030000000005E-11</v>
      </c>
      <c r="R51" s="53">
        <f t="shared" si="27"/>
        <v>6.7162800000000001E-12</v>
      </c>
      <c r="S51" s="53">
        <f>(I51+SUM(G51:H51)*$C$42)*$S$37</f>
        <v>6.058145841736001E-4</v>
      </c>
      <c r="T51" s="53">
        <f t="shared" si="29"/>
        <v>6.1460241093426009E-3</v>
      </c>
      <c r="U51" s="53">
        <f t="shared" si="30"/>
        <v>1.8521799296E-6</v>
      </c>
    </row>
    <row r="54" spans="1:27" ht="15.75" customHeight="1" x14ac:dyDescent="0.25">
      <c r="B54" s="53" t="s">
        <v>75</v>
      </c>
      <c r="C54" s="53" t="s">
        <v>76</v>
      </c>
      <c r="D54" s="64" t="s">
        <v>111</v>
      </c>
      <c r="E54" s="64" t="s">
        <v>112</v>
      </c>
      <c r="F54" s="64" t="s">
        <v>110</v>
      </c>
      <c r="H54" s="64" t="s">
        <v>113</v>
      </c>
      <c r="L54" s="64" t="s">
        <v>115</v>
      </c>
      <c r="M54" s="64" t="s">
        <v>116</v>
      </c>
      <c r="N54" s="64" t="s">
        <v>117</v>
      </c>
      <c r="O54" s="64" t="s">
        <v>118</v>
      </c>
      <c r="P54" s="64" t="s">
        <v>119</v>
      </c>
      <c r="Q54" s="64" t="s">
        <v>120</v>
      </c>
      <c r="U54" s="64" t="s">
        <v>115</v>
      </c>
      <c r="V54" s="64" t="s">
        <v>116</v>
      </c>
      <c r="W54" s="64" t="s">
        <v>117</v>
      </c>
      <c r="X54" s="64" t="s">
        <v>118</v>
      </c>
      <c r="Y54" s="64" t="s">
        <v>119</v>
      </c>
      <c r="Z54" s="64" t="s">
        <v>120</v>
      </c>
    </row>
    <row r="55" spans="1:27" ht="15.75" customHeight="1" x14ac:dyDescent="0.25">
      <c r="A55" s="73" t="s">
        <v>25</v>
      </c>
      <c r="B55" s="53">
        <f>J46+K46+L46</f>
        <v>7.6639223772849074E-3</v>
      </c>
      <c r="C55" s="53">
        <f>SUM(P46:U46)</f>
        <v>6.5515778787358231E-3</v>
      </c>
      <c r="D55" s="53">
        <f>SUM(M46:O46)</f>
        <v>5.9396035800452444E-3</v>
      </c>
      <c r="E55" s="53">
        <f>SUM(P46:R46)+SUM(S46:U46)-SUM(M46:O46)</f>
        <v>6.1197429869057785E-4</v>
      </c>
      <c r="F55" s="64">
        <v>3.9527600000000001E-4</v>
      </c>
      <c r="H55" s="106">
        <f>B55/C55</f>
        <v>1.1697826873369503</v>
      </c>
      <c r="J55" s="127" t="s">
        <v>25</v>
      </c>
      <c r="K55" s="64" t="s">
        <v>9</v>
      </c>
      <c r="L55" s="53">
        <f>J46</f>
        <v>4.4312158214879997E-4</v>
      </c>
      <c r="M55" s="53">
        <v>0</v>
      </c>
      <c r="N55" s="53">
        <f>K46</f>
        <v>7.2193643641548016E-3</v>
      </c>
      <c r="O55" s="53">
        <v>0</v>
      </c>
      <c r="P55" s="53">
        <f>L46</f>
        <v>1.43643098130625E-6</v>
      </c>
      <c r="Q55" s="53">
        <v>0</v>
      </c>
      <c r="S55" s="127" t="s">
        <v>25</v>
      </c>
      <c r="T55" s="64" t="s">
        <v>9</v>
      </c>
      <c r="U55" s="53">
        <f>L55/SUM(L55:Q55)</f>
        <v>5.7819163652044238E-2</v>
      </c>
      <c r="V55" s="53">
        <f>M55/SUM(L55:Q55)</f>
        <v>0</v>
      </c>
      <c r="W55" s="53">
        <f>N55/SUM(L55:Q55)</f>
        <v>0.94199340869530057</v>
      </c>
      <c r="X55" s="53">
        <f>O55/SUM(L55:Q55)</f>
        <v>0</v>
      </c>
      <c r="Y55" s="53">
        <f>P55/SUM(L55:Q55)</f>
        <v>1.8742765265521041E-4</v>
      </c>
      <c r="Z55" s="53">
        <f>Q55/SUM(L55:Q55)</f>
        <v>0</v>
      </c>
      <c r="AA55" s="53">
        <f>SUM(U55:Z55)</f>
        <v>1</v>
      </c>
    </row>
    <row r="56" spans="1:27" ht="15.75" customHeight="1" x14ac:dyDescent="0.25">
      <c r="A56" s="81" t="s">
        <v>26</v>
      </c>
      <c r="B56" s="53">
        <f t="shared" ref="B56:B60" si="32">J47+K47+L47</f>
        <v>4.8894720562514993E-4</v>
      </c>
      <c r="C56" s="53">
        <f t="shared" ref="C56:C60" si="33">SUM(P47:U47)</f>
        <v>4.5125767334218994E-4</v>
      </c>
      <c r="D56" s="53">
        <f t="shared" ref="D56:D60" si="34">SUM(M47:O47)</f>
        <v>4.1569971518265003E-4</v>
      </c>
      <c r="E56" s="53">
        <f t="shared" ref="E56:E60" si="35">SUM(P47:R47)+SUM(S47:U47)-SUM(M47:O47)</f>
        <v>3.5557958159539908E-5</v>
      </c>
      <c r="F56" s="64">
        <v>5.3859899999999996E-4</v>
      </c>
      <c r="H56" s="106">
        <f t="shared" ref="H56:H60" si="36">B56/C56</f>
        <v>1.0835210889685634</v>
      </c>
      <c r="J56" s="127"/>
      <c r="K56" s="64" t="s">
        <v>114</v>
      </c>
      <c r="L56" s="53">
        <f>M46</f>
        <v>3.795904686128E-4</v>
      </c>
      <c r="M56" s="53">
        <f>P46+S46-L56</f>
        <v>3.1944621982160008E-5</v>
      </c>
      <c r="N56" s="53">
        <f>N46</f>
        <v>5.5589744871583999E-3</v>
      </c>
      <c r="O56" s="53">
        <f>Q46+T46-N56</f>
        <v>5.7990705085046116E-4</v>
      </c>
      <c r="P56" s="53">
        <f>O46</f>
        <v>1.0386242740437502E-6</v>
      </c>
      <c r="Q56" s="53">
        <f>R46+U46-P56</f>
        <v>1.2262585795875002E-7</v>
      </c>
      <c r="S56" s="127"/>
      <c r="T56" s="64" t="s">
        <v>114</v>
      </c>
      <c r="U56" s="53">
        <f>L56/SUM(L55:Q55)</f>
        <v>4.9529529387962991E-2</v>
      </c>
      <c r="V56" s="53">
        <f>M56/SUM(L55:Q55)</f>
        <v>4.1681818277336221E-3</v>
      </c>
      <c r="W56" s="53">
        <f>N56/SUM(L55:Q55)</f>
        <v>0.72534326595408105</v>
      </c>
      <c r="X56" s="53">
        <f>O56/SUM(L55:Q55)</f>
        <v>7.566713522167802E-2</v>
      </c>
      <c r="Y56" s="53">
        <f>P56/SUM(L55:Q55)</f>
        <v>1.3552124133226189E-4</v>
      </c>
      <c r="Z56" s="53">
        <f>Q56/SUM(L55:Q55)</f>
        <v>1.6000404482461968E-5</v>
      </c>
      <c r="AA56" s="53">
        <f t="shared" ref="AA56:AA66" si="37">SUM(U56:Z56)</f>
        <v>0.8548596340372705</v>
      </c>
    </row>
    <row r="57" spans="1:27" ht="15.75" customHeight="1" x14ac:dyDescent="0.25">
      <c r="A57" s="91" t="s">
        <v>27</v>
      </c>
      <c r="B57" s="53">
        <f t="shared" si="32"/>
        <v>2.4200996705003499E-3</v>
      </c>
      <c r="C57" s="53">
        <f t="shared" si="33"/>
        <v>2.2271436622313501E-3</v>
      </c>
      <c r="D57" s="53">
        <f t="shared" si="34"/>
        <v>2.0504383036480498E-3</v>
      </c>
      <c r="E57" s="53">
        <f t="shared" si="35"/>
        <v>1.767053585833003E-4</v>
      </c>
      <c r="F57" s="64">
        <v>2.1636944000000002E-2</v>
      </c>
      <c r="H57" s="106">
        <f t="shared" si="36"/>
        <v>1.086638330315737</v>
      </c>
      <c r="J57" s="127" t="s">
        <v>26</v>
      </c>
      <c r="K57" s="64" t="s">
        <v>9</v>
      </c>
      <c r="L57" s="53">
        <f>J47</f>
        <v>4.5774263598319999E-4</v>
      </c>
      <c r="M57" s="53">
        <v>0</v>
      </c>
      <c r="N57" s="53">
        <f>K47</f>
        <v>2.1207023627400003E-5</v>
      </c>
      <c r="O57" s="53">
        <v>0</v>
      </c>
      <c r="P57" s="53">
        <f>L47</f>
        <v>9.9975460145500012E-6</v>
      </c>
      <c r="Q57" s="53">
        <v>0</v>
      </c>
      <c r="S57" s="127" t="s">
        <v>26</v>
      </c>
      <c r="T57" s="64" t="s">
        <v>9</v>
      </c>
      <c r="U57" s="53">
        <f>L57/SUM(L57:Q57)</f>
        <v>0.93618008389667973</v>
      </c>
      <c r="V57" s="53">
        <f>M57/SUM(L57:Q57)</f>
        <v>0</v>
      </c>
      <c r="W57" s="53">
        <f>N57/SUM(L57:Q57)</f>
        <v>4.3372829179554227E-2</v>
      </c>
      <c r="X57" s="53">
        <f>O57/SUM(L57:Q57)</f>
        <v>0</v>
      </c>
      <c r="Y57" s="53">
        <f>P57/SUM(L57:Q57)</f>
        <v>2.0447086923766147E-2</v>
      </c>
      <c r="Z57" s="53">
        <f>Q57/SUM(L57:Q57)</f>
        <v>0</v>
      </c>
      <c r="AA57" s="53">
        <f t="shared" si="37"/>
        <v>1</v>
      </c>
    </row>
    <row r="58" spans="1:27" ht="15.75" customHeight="1" x14ac:dyDescent="0.25">
      <c r="A58" s="81" t="s">
        <v>28</v>
      </c>
      <c r="B58" s="53">
        <f t="shared" si="32"/>
        <v>6.9076642653099997E-4</v>
      </c>
      <c r="C58" s="53">
        <f t="shared" si="33"/>
        <v>6.2830111139221007E-4</v>
      </c>
      <c r="D58" s="53">
        <f t="shared" si="34"/>
        <v>5.7709857722579999E-4</v>
      </c>
      <c r="E58" s="53">
        <f t="shared" si="35"/>
        <v>5.1202534166410081E-5</v>
      </c>
      <c r="F58" s="64">
        <v>4.87381E-4</v>
      </c>
      <c r="H58" s="106">
        <f t="shared" si="36"/>
        <v>1.0994193930365286</v>
      </c>
      <c r="J58" s="127"/>
      <c r="K58" s="64" t="s">
        <v>114</v>
      </c>
      <c r="L58" s="53">
        <f>M47</f>
        <v>3.9214130410080003E-4</v>
      </c>
      <c r="M58" s="53">
        <f>P47+S47-L58</f>
        <v>3.3000843695759946E-5</v>
      </c>
      <c r="N58" s="53">
        <f>N47</f>
        <v>1.6329595979200001E-5</v>
      </c>
      <c r="O58" s="53">
        <f>Q47+T47-N58</f>
        <v>1.7036092970899992E-6</v>
      </c>
      <c r="P58" s="53">
        <f>O47</f>
        <v>7.2288151026500005E-6</v>
      </c>
      <c r="Q58" s="53">
        <f>R47+U47-P58</f>
        <v>8.5350516669000052E-7</v>
      </c>
      <c r="S58" s="127"/>
      <c r="T58" s="64" t="s">
        <v>114</v>
      </c>
      <c r="U58" s="53">
        <f>L58/SUM(L57:Q57)</f>
        <v>0.80201154560117094</v>
      </c>
      <c r="V58" s="53">
        <f>M58/SUM(L57:Q57)</f>
        <v>6.7493674810077453E-2</v>
      </c>
      <c r="W58" s="53">
        <f>N58/SUM(L57:Q57)</f>
        <v>3.3397462530380104E-2</v>
      </c>
      <c r="X58" s="53">
        <f>O58/SUM(L57:Q57)</f>
        <v>3.4842397655424312E-3</v>
      </c>
      <c r="Y58" s="53">
        <f>P58/SUM(L57:Q57)</f>
        <v>1.4784449158283875E-2</v>
      </c>
      <c r="Z58" s="53">
        <f>Q58/SUM(L57:Q57)</f>
        <v>1.7455978004797883E-3</v>
      </c>
      <c r="AA58" s="53">
        <f t="shared" si="37"/>
        <v>0.92291696966593462</v>
      </c>
    </row>
    <row r="59" spans="1:27" ht="15.75" customHeight="1" x14ac:dyDescent="0.25">
      <c r="A59" s="81" t="s">
        <v>29</v>
      </c>
      <c r="B59" s="53">
        <f t="shared" si="32"/>
        <v>6.1512403427761979E-2</v>
      </c>
      <c r="C59" s="53">
        <f t="shared" si="33"/>
        <v>5.2976115141952385E-2</v>
      </c>
      <c r="D59" s="53">
        <f t="shared" si="34"/>
        <v>4.810538773560754E-2</v>
      </c>
      <c r="E59" s="53">
        <f t="shared" si="35"/>
        <v>4.870727406344845E-3</v>
      </c>
      <c r="F59" s="64">
        <v>7.6257360000000001E-3</v>
      </c>
      <c r="H59" s="106">
        <f t="shared" si="36"/>
        <v>1.161134659703456</v>
      </c>
      <c r="J59" s="128" t="s">
        <v>27</v>
      </c>
      <c r="K59" s="64" t="s">
        <v>9</v>
      </c>
      <c r="L59" s="53">
        <f>J48</f>
        <v>2.1849381220328001E-3</v>
      </c>
      <c r="M59" s="53">
        <v>0</v>
      </c>
      <c r="N59" s="53">
        <f>K48</f>
        <v>1.7989531653600001E-4</v>
      </c>
      <c r="O59" s="53">
        <v>0</v>
      </c>
      <c r="P59" s="53">
        <f>L48</f>
        <v>5.5266231931550004E-5</v>
      </c>
      <c r="Q59" s="53">
        <v>0</v>
      </c>
      <c r="S59" s="128" t="s">
        <v>27</v>
      </c>
      <c r="T59" s="64" t="s">
        <v>9</v>
      </c>
      <c r="U59" s="53">
        <f>L59/SUM(L59:Q59)</f>
        <v>0.90282980848514771</v>
      </c>
      <c r="V59" s="53">
        <f>M59/SUM(L59:Q59)</f>
        <v>0</v>
      </c>
      <c r="W59" s="53">
        <f>N59/SUM(L59:Q59)</f>
        <v>7.4333846134034251E-2</v>
      </c>
      <c r="X59" s="53">
        <f>O59/SUM(L59:Q59)</f>
        <v>0</v>
      </c>
      <c r="Y59" s="53">
        <f>P59/SUM(L59:Q59)</f>
        <v>2.2836345380818072E-2</v>
      </c>
      <c r="Z59" s="53">
        <f>Q59/SUM(L59:Q59)</f>
        <v>0</v>
      </c>
      <c r="AA59" s="53">
        <f t="shared" si="37"/>
        <v>1</v>
      </c>
    </row>
    <row r="60" spans="1:27" ht="15.75" customHeight="1" thickBot="1" x14ac:dyDescent="0.3">
      <c r="A60" s="92" t="s">
        <v>30</v>
      </c>
      <c r="B60" s="53">
        <f t="shared" si="32"/>
        <v>7.8914516661918021E-3</v>
      </c>
      <c r="C60" s="53">
        <f t="shared" si="33"/>
        <v>6.762129376834871E-3</v>
      </c>
      <c r="D60" s="53">
        <f t="shared" si="34"/>
        <v>6.1336717817127998E-3</v>
      </c>
      <c r="E60" s="53">
        <f t="shared" si="35"/>
        <v>6.2845759512207122E-4</v>
      </c>
      <c r="F60" s="64">
        <v>5.9102600000000003E-4</v>
      </c>
      <c r="H60" s="106">
        <f t="shared" si="36"/>
        <v>1.1670069036575472</v>
      </c>
      <c r="J60" s="128"/>
      <c r="K60" s="64" t="s">
        <v>114</v>
      </c>
      <c r="L60" s="53">
        <f>M48</f>
        <v>1.8719565734464001E-3</v>
      </c>
      <c r="M60" s="53">
        <f>P48+S48-L60</f>
        <v>1.5753542317408008E-4</v>
      </c>
      <c r="N60" s="53">
        <f>N48</f>
        <v>1.3852098668800002E-4</v>
      </c>
      <c r="O60" s="53">
        <f>Q48+T48-N60</f>
        <v>1.4451697038089995E-5</v>
      </c>
      <c r="P60" s="53">
        <f>O48</f>
        <v>3.9960743513650004E-5</v>
      </c>
      <c r="Q60" s="53">
        <f>R48+U48-P60</f>
        <v>4.7182383711299954E-6</v>
      </c>
      <c r="S60" s="128"/>
      <c r="T60" s="64" t="s">
        <v>114</v>
      </c>
      <c r="U60" s="53">
        <f>L60/SUM(L59:Q59)</f>
        <v>0.77350391649752903</v>
      </c>
      <c r="V60" s="53">
        <f>M60/SUM(L59:Q59)</f>
        <v>6.5094601306858568E-2</v>
      </c>
      <c r="W60" s="53">
        <f>N60/SUM(L59:Q59)</f>
        <v>5.7237719742080348E-2</v>
      </c>
      <c r="X60" s="53">
        <f>O60/SUM(L59:Q59)</f>
        <v>5.9715296912139747E-3</v>
      </c>
      <c r="Y60" s="53">
        <f>P60/SUM(L59:Q59)</f>
        <v>1.6512023864450266E-2</v>
      </c>
      <c r="Z60" s="53">
        <f>Q60/SUM(L59:Q59)</f>
        <v>1.9496049805892957E-3</v>
      </c>
      <c r="AA60" s="53">
        <f t="shared" si="37"/>
        <v>0.9202693960827214</v>
      </c>
    </row>
    <row r="61" spans="1:27" ht="15.75" customHeight="1" x14ac:dyDescent="0.25">
      <c r="J61" s="127" t="s">
        <v>28</v>
      </c>
      <c r="K61" s="64" t="s">
        <v>9</v>
      </c>
      <c r="L61" s="53">
        <f>J49</f>
        <v>5.2599889184639997E-4</v>
      </c>
      <c r="M61" s="53">
        <v>0</v>
      </c>
      <c r="N61" s="53">
        <f>K49</f>
        <v>1.5608971375920001E-4</v>
      </c>
      <c r="O61" s="53">
        <v>0</v>
      </c>
      <c r="P61" s="53">
        <f>L49</f>
        <v>8.6778209254E-6</v>
      </c>
      <c r="Q61" s="53">
        <v>0</v>
      </c>
      <c r="S61" s="127" t="s">
        <v>28</v>
      </c>
      <c r="T61" s="64" t="s">
        <v>9</v>
      </c>
      <c r="U61" s="53">
        <f>L61/SUM(L61:Q61)</f>
        <v>0.76147142021355085</v>
      </c>
      <c r="V61" s="53">
        <f>M61/SUM(L61:Q61)</f>
        <v>0</v>
      </c>
      <c r="W61" s="53">
        <f>N61/SUM(L61:Q61)</f>
        <v>0.22596598179080013</v>
      </c>
      <c r="X61" s="53">
        <f>O61/SUM(L61:Q61)</f>
        <v>0</v>
      </c>
      <c r="Y61" s="53">
        <f>P61/SUM(L61:Q61)</f>
        <v>1.2562597995649055E-2</v>
      </c>
      <c r="Z61" s="53">
        <f>Q61/SUM(L61:Q61)</f>
        <v>0</v>
      </c>
      <c r="AA61" s="53">
        <f t="shared" si="37"/>
        <v>1</v>
      </c>
    </row>
    <row r="62" spans="1:27" ht="15.75" customHeight="1" x14ac:dyDescent="0.25">
      <c r="C62" s="108"/>
      <c r="D62" s="108"/>
      <c r="E62" s="108"/>
      <c r="F62" s="108"/>
      <c r="G62" s="108"/>
      <c r="H62" s="108"/>
      <c r="J62" s="127"/>
      <c r="K62" s="64" t="s">
        <v>114</v>
      </c>
      <c r="L62" s="53">
        <f>M49</f>
        <v>4.5063353940400002E-4</v>
      </c>
      <c r="M62" s="53">
        <f>P49+S49-L62</f>
        <v>3.7923286433799947E-5</v>
      </c>
      <c r="N62" s="53">
        <f>N49</f>
        <v>1.2019046175360001E-4</v>
      </c>
      <c r="O62" s="53">
        <f>Q49+T49-N62</f>
        <v>1.2538412414190019E-5</v>
      </c>
      <c r="P62" s="53">
        <f>O49</f>
        <v>6.2745760682000006E-6</v>
      </c>
      <c r="Q62" s="53">
        <f>R49+U49-P62</f>
        <v>7.4083531841999977E-7</v>
      </c>
      <c r="S62" s="127"/>
      <c r="T62" s="64" t="s">
        <v>114</v>
      </c>
      <c r="U62" s="53">
        <f>L62/SUM(L61:Q61)</f>
        <v>0.65236746039766691</v>
      </c>
      <c r="V62" s="53">
        <f>M62/SUM(L61:Q61)</f>
        <v>5.4900303456045338E-2</v>
      </c>
      <c r="W62" s="53">
        <f>N62/SUM(L61:Q61)</f>
        <v>0.17399580688539174</v>
      </c>
      <c r="X62" s="53">
        <f>O62/SUM(L61:Q61)</f>
        <v>1.8151450233557818E-2</v>
      </c>
      <c r="Y62" s="53">
        <f>P62/SUM(L61:Q61)</f>
        <v>9.0834988893578085E-3</v>
      </c>
      <c r="Z62" s="53">
        <f>Q62/SUM(L61:Q61)</f>
        <v>1.0724830998814516E-3</v>
      </c>
      <c r="AA62" s="53">
        <f t="shared" si="37"/>
        <v>0.90957100296190108</v>
      </c>
    </row>
    <row r="63" spans="1:27" ht="15.75" customHeight="1" x14ac:dyDescent="0.25">
      <c r="C63" s="109"/>
      <c r="D63" s="108"/>
      <c r="E63" s="109"/>
      <c r="F63" s="109"/>
      <c r="G63" s="108"/>
      <c r="H63" s="108"/>
      <c r="J63" s="127" t="s">
        <v>29</v>
      </c>
      <c r="K63" s="64" t="s">
        <v>9</v>
      </c>
      <c r="L63" s="53">
        <f>J50</f>
        <v>8.5543530027888011E-3</v>
      </c>
      <c r="M63" s="53">
        <v>0</v>
      </c>
      <c r="N63" s="53">
        <f>K50</f>
        <v>5.2940267867448008E-2</v>
      </c>
      <c r="O63" s="53">
        <v>0</v>
      </c>
      <c r="P63" s="53">
        <f>L50</f>
        <v>1.7782557525162498E-5</v>
      </c>
      <c r="Q63" s="53">
        <v>0</v>
      </c>
      <c r="S63" s="127" t="s">
        <v>29</v>
      </c>
      <c r="T63" s="64" t="s">
        <v>9</v>
      </c>
      <c r="U63" s="53">
        <f>L63/SUM(L63:Q63)</f>
        <v>0.13906712347591385</v>
      </c>
      <c r="V63" s="53">
        <f>M63/SUM(L63:Q63)</f>
        <v>0</v>
      </c>
      <c r="W63" s="53">
        <f>N63/SUM(L63:Q63)</f>
        <v>0.86064378755122473</v>
      </c>
      <c r="X63" s="53">
        <f>O63/SUM(L63:Q63)</f>
        <v>0</v>
      </c>
      <c r="Y63" s="53">
        <f>P63/SUM(L63:Q63)</f>
        <v>2.890889728613143E-4</v>
      </c>
      <c r="Z63" s="53">
        <f>Q63/SUM(L63:Q63)</f>
        <v>0</v>
      </c>
      <c r="AA63" s="53">
        <f t="shared" si="37"/>
        <v>0.99999999999999989</v>
      </c>
    </row>
    <row r="64" spans="1:27" ht="15.75" customHeight="1" x14ac:dyDescent="0.25">
      <c r="C64" s="108"/>
      <c r="D64" s="109"/>
      <c r="E64" s="110"/>
      <c r="F64" s="109"/>
      <c r="G64" s="108"/>
      <c r="H64" s="108"/>
      <c r="J64" s="127"/>
      <c r="K64" s="64" t="s">
        <v>114</v>
      </c>
      <c r="L64" s="53">
        <f>M50</f>
        <v>7.328054859488801E-3</v>
      </c>
      <c r="M64" s="53">
        <f>P50+S50-L64</f>
        <v>6.1669604931435893E-4</v>
      </c>
      <c r="N64" s="53">
        <f>N50</f>
        <v>4.0764475038784005E-2</v>
      </c>
      <c r="O64" s="53">
        <f>Q50+T50-N64</f>
        <v>4.2525131029079455E-3</v>
      </c>
      <c r="P64" s="53">
        <f>O50</f>
        <v>1.2857837334737501E-5</v>
      </c>
      <c r="Q64" s="53">
        <f>R50+U50-P64</f>
        <v>1.5182541225374997E-6</v>
      </c>
      <c r="S64" s="127"/>
      <c r="T64" s="64" t="s">
        <v>114</v>
      </c>
      <c r="U64" s="53">
        <f>L64/SUM(L63:Q63)</f>
        <v>0.1191313369521419</v>
      </c>
      <c r="V64" s="53">
        <f>M64/SUM(L63:Q63)</f>
        <v>1.0025556065917426E-2</v>
      </c>
      <c r="W64" s="53">
        <f>N64/SUM(L63:Q63)</f>
        <v>0.66270333733027331</v>
      </c>
      <c r="X64" s="53">
        <f>O64/SUM(L63:Q63)</f>
        <v>6.9132611732558108E-2</v>
      </c>
      <c r="Y64" s="53">
        <f>P64/SUM(L63:Q63)</f>
        <v>2.0902836856045295E-4</v>
      </c>
      <c r="Z64" s="53">
        <f>Q64/SUM(L63:Q63)</f>
        <v>2.4682080977708576E-5</v>
      </c>
      <c r="AA64" s="53">
        <f t="shared" si="37"/>
        <v>0.8612265525304289</v>
      </c>
    </row>
    <row r="65" spans="1:27" ht="15.75" customHeight="1" x14ac:dyDescent="0.25">
      <c r="C65" s="108"/>
      <c r="D65" s="109"/>
      <c r="E65" s="109"/>
      <c r="F65" s="108"/>
      <c r="G65" s="108"/>
      <c r="H65" s="108"/>
      <c r="J65" s="127" t="s">
        <v>30</v>
      </c>
      <c r="K65" s="64" t="s">
        <v>9</v>
      </c>
      <c r="L65" s="53">
        <f>J51</f>
        <v>6.6139647066080001E-4</v>
      </c>
      <c r="M65" s="53">
        <v>0</v>
      </c>
      <c r="N65" s="53">
        <f>K51</f>
        <v>7.2277640988462014E-3</v>
      </c>
      <c r="O65" s="53">
        <v>0</v>
      </c>
      <c r="P65" s="53">
        <f>L51</f>
        <v>2.2910966848E-6</v>
      </c>
      <c r="Q65" s="53">
        <v>0</v>
      </c>
      <c r="S65" s="127" t="s">
        <v>30</v>
      </c>
      <c r="T65" s="64" t="s">
        <v>9</v>
      </c>
      <c r="U65" s="53">
        <f>L65/SUM(L65:Q65)</f>
        <v>8.3811762225488209E-2</v>
      </c>
      <c r="V65" s="53">
        <f>M65/SUM(L65:Q65)</f>
        <v>0</v>
      </c>
      <c r="W65" s="53">
        <f>N65/SUM(L65:Q65)</f>
        <v>0.91589791138315646</v>
      </c>
      <c r="X65" s="53">
        <f>O65/SUM(L65:Q65)</f>
        <v>0</v>
      </c>
      <c r="Y65" s="53">
        <f>P65/SUM(L65:Q65)</f>
        <v>2.9032639135527017E-4</v>
      </c>
      <c r="Z65" s="53">
        <f>Q65/SUM(L65:Q65)</f>
        <v>0</v>
      </c>
      <c r="AA65" s="53">
        <f t="shared" si="37"/>
        <v>1</v>
      </c>
    </row>
    <row r="66" spans="1:27" ht="15.75" customHeight="1" x14ac:dyDescent="0.25">
      <c r="C66" s="108"/>
      <c r="D66" s="109"/>
      <c r="E66" s="109"/>
      <c r="F66" s="108"/>
      <c r="G66" s="108"/>
      <c r="H66" s="108"/>
      <c r="J66" s="127"/>
      <c r="K66" s="64" t="s">
        <v>114</v>
      </c>
      <c r="L66" s="53">
        <f>M51</f>
        <v>5.6657282650480014E-4</v>
      </c>
      <c r="M66" s="53">
        <f>P51+S51-L66</f>
        <v>4.7680213979560014E-5</v>
      </c>
      <c r="N66" s="53">
        <f>N51</f>
        <v>5.5654423572496E-3</v>
      </c>
      <c r="O66" s="53">
        <f>Q51+T51-N66</f>
        <v>5.8058179245503057E-4</v>
      </c>
      <c r="P66" s="53">
        <f>O51</f>
        <v>1.6565979584E-6</v>
      </c>
      <c r="Q66" s="53">
        <f>R51+U51-P66</f>
        <v>1.9558868748000004E-7</v>
      </c>
      <c r="S66" s="127"/>
      <c r="T66" s="64" t="s">
        <v>114</v>
      </c>
      <c r="U66" s="53">
        <f>L66/SUM(L65:Q65)</f>
        <v>7.1795767175776501E-2</v>
      </c>
      <c r="V66" s="53">
        <f>M66/SUM(L65:Q65)</f>
        <v>6.0420079848970522E-3</v>
      </c>
      <c r="W66" s="53">
        <f>N66/SUM(L65:Q65)</f>
        <v>0.70524950195067593</v>
      </c>
      <c r="X66" s="53">
        <f>O66/SUM(L65:Q65)</f>
        <v>7.3570974899628758E-2</v>
      </c>
      <c r="Y66" s="53">
        <f>P66/SUM(L65:Q65)</f>
        <v>2.0992309507477839E-4</v>
      </c>
      <c r="Z66" s="53">
        <f>Q66/SUM(L65:Q65)</f>
        <v>2.4784880621892697E-5</v>
      </c>
      <c r="AA66" s="53">
        <f t="shared" si="37"/>
        <v>0.85689295998667481</v>
      </c>
    </row>
    <row r="67" spans="1:27" ht="15.75" customHeight="1" x14ac:dyDescent="0.25">
      <c r="C67" s="108"/>
      <c r="D67" s="109"/>
      <c r="E67" s="108"/>
      <c r="F67" s="109"/>
      <c r="G67" s="108"/>
      <c r="H67" s="108"/>
      <c r="S67" s="102" t="s">
        <v>125</v>
      </c>
      <c r="T67" s="111" t="s">
        <v>9</v>
      </c>
      <c r="U67" s="112">
        <f>(U55+U57+U59+U61+U63+U65)/6</f>
        <v>0.48019656032480412</v>
      </c>
      <c r="V67" s="112">
        <f t="shared" ref="V67:AA68" si="38">(V55+V57+V59+V61+V63+V65)/6</f>
        <v>0</v>
      </c>
      <c r="W67" s="112">
        <f t="shared" si="38"/>
        <v>0.51036796078901181</v>
      </c>
      <c r="X67" s="112">
        <f t="shared" si="38"/>
        <v>0</v>
      </c>
      <c r="Y67" s="112">
        <f t="shared" si="38"/>
        <v>9.435478886184177E-3</v>
      </c>
      <c r="Z67" s="112">
        <f t="shared" si="38"/>
        <v>0</v>
      </c>
      <c r="AA67" s="112">
        <f t="shared" si="38"/>
        <v>1</v>
      </c>
    </row>
    <row r="68" spans="1:27" ht="15.75" customHeight="1" x14ac:dyDescent="0.25">
      <c r="C68" s="108"/>
      <c r="D68" s="109"/>
      <c r="E68" s="109"/>
      <c r="F68" s="108"/>
      <c r="G68" s="108"/>
      <c r="H68" s="108"/>
      <c r="S68" s="102"/>
      <c r="T68" s="111" t="s">
        <v>114</v>
      </c>
      <c r="U68" s="112">
        <f>(U56+U58+U60+U62+U64+U66)/6</f>
        <v>0.41138992600204144</v>
      </c>
      <c r="V68" s="112">
        <f t="shared" si="38"/>
        <v>3.462072090858824E-2</v>
      </c>
      <c r="W68" s="112">
        <f t="shared" si="38"/>
        <v>0.3929878490654804</v>
      </c>
      <c r="X68" s="112">
        <f t="shared" si="38"/>
        <v>4.0996323590696521E-2</v>
      </c>
      <c r="Y68" s="112">
        <f t="shared" si="38"/>
        <v>6.8224074361765722E-3</v>
      </c>
      <c r="Z68" s="112">
        <f t="shared" si="38"/>
        <v>8.0552554117209983E-4</v>
      </c>
      <c r="AA68" s="112">
        <f t="shared" si="38"/>
        <v>0.88762275254415535</v>
      </c>
    </row>
    <row r="69" spans="1:27" ht="15.75" customHeight="1" x14ac:dyDescent="0.25">
      <c r="A69" s="108"/>
      <c r="B69" s="108"/>
      <c r="C69" s="108"/>
      <c r="D69" s="108"/>
      <c r="E69" s="108"/>
      <c r="F69" s="108"/>
      <c r="G69" s="108"/>
      <c r="H69" s="108"/>
      <c r="AA69" s="113"/>
    </row>
    <row r="70" spans="1:27" ht="15.75" customHeight="1" x14ac:dyDescent="0.25">
      <c r="C70" s="108"/>
      <c r="D70" s="108"/>
      <c r="E70" s="108"/>
      <c r="F70" s="108"/>
      <c r="G70" s="108"/>
      <c r="H70" s="108"/>
      <c r="T70" s="64" t="s">
        <v>121</v>
      </c>
      <c r="U70" s="64" t="s">
        <v>122</v>
      </c>
    </row>
    <row r="71" spans="1:27" ht="15.75" customHeight="1" x14ac:dyDescent="0.25">
      <c r="S71" s="73" t="s">
        <v>25</v>
      </c>
      <c r="T71" s="53">
        <f>1-B46/(B46+SUM(G46:H46))</f>
        <v>1.1372019997679672E-5</v>
      </c>
      <c r="U71" s="53">
        <f>B46/(B46+SUM(G46:H46))</f>
        <v>0.99998862798000232</v>
      </c>
    </row>
    <row r="72" spans="1:27" ht="15.75" customHeight="1" x14ac:dyDescent="0.25">
      <c r="S72" s="81" t="s">
        <v>26</v>
      </c>
      <c r="T72" s="53">
        <f>1-B47/(B47+SUM(G47:H47))</f>
        <v>7.7744340831187309E-5</v>
      </c>
      <c r="U72" s="53">
        <f t="shared" ref="U72:U76" si="39">B47/(B47+SUM(G47:H47))</f>
        <v>0.99992225565916881</v>
      </c>
    </row>
    <row r="73" spans="1:27" ht="15.75" customHeight="1" x14ac:dyDescent="0.25">
      <c r="S73" s="91" t="s">
        <v>27</v>
      </c>
      <c r="T73" s="53">
        <f t="shared" ref="T73:T76" si="40">1-B48/(B48+SUM(G48:H48))</f>
        <v>1.5925733333177483E-4</v>
      </c>
      <c r="U73" s="53">
        <f t="shared" si="39"/>
        <v>0.99984074266666823</v>
      </c>
    </row>
    <row r="74" spans="1:27" ht="15.75" customHeight="1" x14ac:dyDescent="0.25">
      <c r="S74" s="81" t="s">
        <v>28</v>
      </c>
      <c r="T74" s="53">
        <f t="shared" si="40"/>
        <v>1.1794394369823991E-4</v>
      </c>
      <c r="U74" s="53">
        <f t="shared" si="39"/>
        <v>0.99988205605630176</v>
      </c>
    </row>
    <row r="75" spans="1:27" ht="15.75" customHeight="1" x14ac:dyDescent="0.25">
      <c r="S75" s="81" t="s">
        <v>29</v>
      </c>
      <c r="T75" s="53">
        <f t="shared" si="40"/>
        <v>3.243546493003624E-5</v>
      </c>
      <c r="U75" s="53">
        <f t="shared" si="39"/>
        <v>0.99996756453506996</v>
      </c>
    </row>
    <row r="76" spans="1:27" ht="15.75" customHeight="1" thickBot="1" x14ac:dyDescent="0.3">
      <c r="S76" s="92" t="s">
        <v>30</v>
      </c>
      <c r="T76" s="53">
        <f t="shared" si="40"/>
        <v>1.4761785261718785E-5</v>
      </c>
      <c r="U76" s="53">
        <f t="shared" si="39"/>
        <v>0.99998523821473828</v>
      </c>
    </row>
  </sheetData>
  <mergeCells count="13">
    <mergeCell ref="J59:J60"/>
    <mergeCell ref="S59:S60"/>
    <mergeCell ref="J1:L1"/>
    <mergeCell ref="J55:J56"/>
    <mergeCell ref="S55:S56"/>
    <mergeCell ref="J57:J58"/>
    <mergeCell ref="S57:S58"/>
    <mergeCell ref="J61:J62"/>
    <mergeCell ref="S61:S62"/>
    <mergeCell ref="J63:J64"/>
    <mergeCell ref="S63:S64"/>
    <mergeCell ref="J65:J66"/>
    <mergeCell ref="S65:S6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4" sqref="B14"/>
    </sheetView>
  </sheetViews>
  <sheetFormatPr baseColWidth="10" defaultRowHeight="12.5" x14ac:dyDescent="0.25"/>
  <cols>
    <col min="1" max="16384" width="10.90625" style="50"/>
  </cols>
  <sheetData>
    <row r="1" spans="1:8" x14ac:dyDescent="0.25">
      <c r="A1" s="50" t="s">
        <v>123</v>
      </c>
      <c r="B1" s="50" t="s">
        <v>124</v>
      </c>
      <c r="C1" s="50" t="s">
        <v>115</v>
      </c>
      <c r="D1" s="46" t="s">
        <v>131</v>
      </c>
      <c r="E1" s="50" t="s">
        <v>82</v>
      </c>
      <c r="F1" s="46" t="s">
        <v>132</v>
      </c>
      <c r="G1" s="50" t="s">
        <v>83</v>
      </c>
      <c r="H1" s="46" t="s">
        <v>133</v>
      </c>
    </row>
    <row r="2" spans="1:8" x14ac:dyDescent="0.25">
      <c r="A2" s="50" t="s">
        <v>25</v>
      </c>
      <c r="B2" s="50" t="s">
        <v>129</v>
      </c>
      <c r="C2" s="50">
        <v>5.7819163652044238E-2</v>
      </c>
      <c r="D2" s="50">
        <v>0</v>
      </c>
      <c r="E2" s="50">
        <v>0.94199340869530057</v>
      </c>
      <c r="F2" s="50">
        <v>0</v>
      </c>
      <c r="G2" s="50">
        <v>1.8742765265521041E-4</v>
      </c>
      <c r="H2" s="50">
        <v>0</v>
      </c>
    </row>
    <row r="3" spans="1:8" x14ac:dyDescent="0.25">
      <c r="B3" s="50" t="s">
        <v>130</v>
      </c>
      <c r="C3" s="50">
        <v>4.9529529387962991E-2</v>
      </c>
      <c r="D3" s="50">
        <v>4.1681818277336221E-3</v>
      </c>
      <c r="E3" s="50">
        <v>0.72534326595408105</v>
      </c>
      <c r="F3" s="50">
        <v>7.566713522167802E-2</v>
      </c>
      <c r="G3" s="50">
        <v>1.3552124133226189E-4</v>
      </c>
      <c r="H3" s="50">
        <v>1.6000404482461968E-5</v>
      </c>
    </row>
    <row r="4" spans="1:8" x14ac:dyDescent="0.25">
      <c r="A4" s="50" t="s">
        <v>27</v>
      </c>
      <c r="B4" s="50" t="s">
        <v>129</v>
      </c>
      <c r="C4" s="50">
        <v>0.90282980848514771</v>
      </c>
      <c r="D4" s="50">
        <v>0</v>
      </c>
      <c r="E4" s="50">
        <v>7.4333846134034251E-2</v>
      </c>
      <c r="F4" s="50">
        <v>0</v>
      </c>
      <c r="G4" s="50">
        <v>2.2836345380818072E-2</v>
      </c>
      <c r="H4" s="50">
        <v>0</v>
      </c>
    </row>
    <row r="5" spans="1:8" x14ac:dyDescent="0.25">
      <c r="B5" s="50" t="s">
        <v>130</v>
      </c>
      <c r="C5" s="50">
        <v>0.77350391649752903</v>
      </c>
      <c r="D5" s="50">
        <v>6.5094601306858568E-2</v>
      </c>
      <c r="E5" s="50">
        <v>5.7237719742080348E-2</v>
      </c>
      <c r="F5" s="50">
        <v>5.9715296912139747E-3</v>
      </c>
      <c r="G5" s="50">
        <v>1.6512023864450266E-2</v>
      </c>
      <c r="H5" s="50">
        <v>1.9496049805892957E-3</v>
      </c>
    </row>
    <row r="6" spans="1:8" x14ac:dyDescent="0.25">
      <c r="A6" s="50" t="s">
        <v>28</v>
      </c>
      <c r="B6" s="50" t="s">
        <v>129</v>
      </c>
      <c r="C6" s="50">
        <v>0.76147142021355085</v>
      </c>
      <c r="D6" s="50">
        <v>0</v>
      </c>
      <c r="E6" s="50">
        <v>0.22596598179080013</v>
      </c>
      <c r="F6" s="50">
        <v>0</v>
      </c>
      <c r="G6" s="50">
        <v>1.2562597995649055E-2</v>
      </c>
      <c r="H6" s="50">
        <v>0</v>
      </c>
    </row>
    <row r="7" spans="1:8" x14ac:dyDescent="0.25">
      <c r="B7" s="50" t="s">
        <v>130</v>
      </c>
      <c r="C7" s="50">
        <v>0.65236746039766691</v>
      </c>
      <c r="D7" s="50">
        <v>5.4900303456045338E-2</v>
      </c>
      <c r="E7" s="50">
        <v>0.17399580688539174</v>
      </c>
      <c r="F7" s="50">
        <v>1.8151450233557818E-2</v>
      </c>
      <c r="G7" s="50">
        <v>9.0834988893578085E-3</v>
      </c>
      <c r="H7" s="50">
        <v>1.0724830998814516E-3</v>
      </c>
    </row>
    <row r="8" spans="1:8" x14ac:dyDescent="0.25">
      <c r="A8" s="50" t="s">
        <v>26</v>
      </c>
      <c r="B8" s="50" t="s">
        <v>129</v>
      </c>
      <c r="C8" s="50">
        <v>0.93618008389667973</v>
      </c>
      <c r="D8" s="50">
        <v>0</v>
      </c>
      <c r="E8" s="50">
        <v>4.3372829179554227E-2</v>
      </c>
      <c r="F8" s="50">
        <v>0</v>
      </c>
      <c r="G8" s="50">
        <v>2.0447086923766147E-2</v>
      </c>
      <c r="H8" s="50">
        <v>0</v>
      </c>
    </row>
    <row r="9" spans="1:8" x14ac:dyDescent="0.25">
      <c r="B9" s="50" t="s">
        <v>130</v>
      </c>
      <c r="C9" s="50">
        <v>0.80201154560117094</v>
      </c>
      <c r="D9" s="50">
        <v>6.7493674810077453E-2</v>
      </c>
      <c r="E9" s="50">
        <v>3.3397462530380104E-2</v>
      </c>
      <c r="F9" s="50">
        <v>3.4842397655424312E-3</v>
      </c>
      <c r="G9" s="50">
        <v>1.4784449158283875E-2</v>
      </c>
      <c r="H9" s="50">
        <v>1.7455978004797883E-3</v>
      </c>
    </row>
    <row r="10" spans="1:8" x14ac:dyDescent="0.25">
      <c r="A10" s="50" t="s">
        <v>29</v>
      </c>
      <c r="B10" s="50" t="s">
        <v>129</v>
      </c>
      <c r="C10" s="50">
        <v>0.13906712347591385</v>
      </c>
      <c r="D10" s="50">
        <v>0</v>
      </c>
      <c r="E10" s="50">
        <v>0.86064378755122473</v>
      </c>
      <c r="F10" s="50">
        <v>0</v>
      </c>
      <c r="G10" s="50">
        <v>2.890889728613143E-4</v>
      </c>
      <c r="H10" s="50">
        <v>0</v>
      </c>
    </row>
    <row r="11" spans="1:8" x14ac:dyDescent="0.25">
      <c r="B11" s="50" t="s">
        <v>130</v>
      </c>
      <c r="C11" s="50">
        <v>0.1191313369521419</v>
      </c>
      <c r="D11" s="50">
        <v>1.0025556065917426E-2</v>
      </c>
      <c r="E11" s="50">
        <v>0.66270333733027331</v>
      </c>
      <c r="F11" s="50">
        <v>6.9132611732558108E-2</v>
      </c>
      <c r="G11" s="50">
        <v>2.0902836856045295E-4</v>
      </c>
      <c r="H11" s="50">
        <v>2.4682080977708576E-5</v>
      </c>
    </row>
    <row r="12" spans="1:8" x14ac:dyDescent="0.25">
      <c r="A12" s="50" t="s">
        <v>30</v>
      </c>
      <c r="B12" s="50" t="s">
        <v>129</v>
      </c>
      <c r="C12" s="50">
        <v>8.3811762225488209E-2</v>
      </c>
      <c r="D12" s="50">
        <v>0</v>
      </c>
      <c r="E12" s="50">
        <v>0.91589791138315646</v>
      </c>
      <c r="F12" s="50">
        <v>0</v>
      </c>
      <c r="G12" s="50">
        <v>2.9032639135527017E-4</v>
      </c>
      <c r="H12" s="50">
        <v>0</v>
      </c>
    </row>
    <row r="13" spans="1:8" x14ac:dyDescent="0.25">
      <c r="B13" s="50" t="s">
        <v>130</v>
      </c>
      <c r="C13" s="50">
        <v>7.1795767175776501E-2</v>
      </c>
      <c r="D13" s="50">
        <v>6.0420079848970522E-3</v>
      </c>
      <c r="E13" s="50">
        <v>0.70524950195067593</v>
      </c>
      <c r="F13" s="50">
        <v>7.3570974899628758E-2</v>
      </c>
      <c r="G13" s="50">
        <v>2.0992309507477839E-4</v>
      </c>
      <c r="H13" s="50">
        <v>2.4784880621892697E-5</v>
      </c>
    </row>
    <row r="14" spans="1:8" x14ac:dyDescent="0.25">
      <c r="A14" s="50" t="s">
        <v>125</v>
      </c>
      <c r="B14" s="50" t="s">
        <v>129</v>
      </c>
      <c r="C14" s="50">
        <v>0.48019656032480412</v>
      </c>
      <c r="D14" s="50">
        <v>0</v>
      </c>
      <c r="E14" s="50">
        <v>0.51036796078901181</v>
      </c>
      <c r="F14" s="50">
        <v>0</v>
      </c>
      <c r="G14" s="50">
        <v>9.435478886184177E-3</v>
      </c>
      <c r="H14" s="50">
        <v>0</v>
      </c>
    </row>
    <row r="15" spans="1:8" x14ac:dyDescent="0.25">
      <c r="B15" s="50" t="s">
        <v>130</v>
      </c>
      <c r="C15" s="50">
        <v>0.41138992600204144</v>
      </c>
      <c r="D15" s="50">
        <v>3.462072090858824E-2</v>
      </c>
      <c r="E15" s="50">
        <v>0.3929878490654804</v>
      </c>
      <c r="F15" s="50">
        <v>4.0996323590696521E-2</v>
      </c>
      <c r="G15" s="50">
        <v>6.8224074361765722E-3</v>
      </c>
      <c r="H15" s="50">
        <v>8.0552554117209983E-4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16" sqref="I16"/>
    </sheetView>
  </sheetViews>
  <sheetFormatPr baseColWidth="10" defaultRowHeight="12.5" x14ac:dyDescent="0.25"/>
  <cols>
    <col min="3" max="3" width="12.08984375" bestFit="1" customWidth="1"/>
    <col min="5" max="5" width="12.08984375" bestFit="1" customWidth="1"/>
    <col min="7" max="7" width="12.08984375" bestFit="1" customWidth="1"/>
  </cols>
  <sheetData>
    <row r="1" spans="1:8" x14ac:dyDescent="0.25">
      <c r="A1" s="47" t="s">
        <v>123</v>
      </c>
      <c r="B1" s="47" t="s">
        <v>124</v>
      </c>
      <c r="C1" t="s">
        <v>115</v>
      </c>
      <c r="D1" t="s">
        <v>126</v>
      </c>
      <c r="E1" t="s">
        <v>117</v>
      </c>
      <c r="F1" t="s">
        <v>127</v>
      </c>
      <c r="G1" t="s">
        <v>119</v>
      </c>
      <c r="H1" t="s">
        <v>128</v>
      </c>
    </row>
    <row r="2" spans="1:8" x14ac:dyDescent="0.25">
      <c r="A2" t="s">
        <v>25</v>
      </c>
      <c r="B2" s="49" t="s">
        <v>129</v>
      </c>
      <c r="C2">
        <v>5.7819163652044238E-2</v>
      </c>
      <c r="D2">
        <v>0</v>
      </c>
      <c r="E2">
        <v>0.94199340869530057</v>
      </c>
      <c r="F2">
        <v>0</v>
      </c>
      <c r="G2">
        <v>1.8742765265521041E-4</v>
      </c>
      <c r="H2">
        <v>0</v>
      </c>
    </row>
    <row r="3" spans="1:8" x14ac:dyDescent="0.25">
      <c r="B3" t="s">
        <v>114</v>
      </c>
      <c r="C3">
        <v>4.9529529387962991E-2</v>
      </c>
      <c r="D3">
        <v>4.1681818277336221E-3</v>
      </c>
      <c r="E3">
        <v>0.72534326595408105</v>
      </c>
      <c r="F3">
        <v>7.566713522167802E-2</v>
      </c>
      <c r="G3">
        <v>1.3552124133226189E-4</v>
      </c>
      <c r="H3">
        <v>1.6000404482461968E-5</v>
      </c>
    </row>
    <row r="4" spans="1:8" s="50" customFormat="1" x14ac:dyDescent="0.25">
      <c r="B4" s="46"/>
      <c r="C4" s="115"/>
    </row>
    <row r="5" spans="1:8" x14ac:dyDescent="0.25">
      <c r="A5" t="s">
        <v>27</v>
      </c>
      <c r="B5" s="47" t="s">
        <v>129</v>
      </c>
      <c r="C5">
        <v>0.90282980848514771</v>
      </c>
      <c r="D5">
        <v>0</v>
      </c>
      <c r="E5">
        <v>7.4333846134034251E-2</v>
      </c>
      <c r="F5">
        <v>0</v>
      </c>
      <c r="G5">
        <v>2.2836345380818072E-2</v>
      </c>
      <c r="H5">
        <v>0</v>
      </c>
    </row>
    <row r="6" spans="1:8" x14ac:dyDescent="0.25">
      <c r="B6" t="s">
        <v>114</v>
      </c>
      <c r="C6">
        <v>0.77350391649752903</v>
      </c>
      <c r="D6">
        <v>6.5094601306858568E-2</v>
      </c>
      <c r="E6">
        <v>5.7237719742080348E-2</v>
      </c>
      <c r="F6">
        <v>5.9715296912139747E-3</v>
      </c>
      <c r="G6">
        <v>1.6512023864450266E-2</v>
      </c>
      <c r="H6">
        <v>1.9496049805892957E-3</v>
      </c>
    </row>
    <row r="7" spans="1:8" s="50" customFormat="1" x14ac:dyDescent="0.25">
      <c r="B7" s="46"/>
    </row>
    <row r="8" spans="1:8" x14ac:dyDescent="0.25">
      <c r="A8" t="s">
        <v>28</v>
      </c>
      <c r="B8" s="47" t="s">
        <v>129</v>
      </c>
      <c r="C8">
        <v>0.76147142021355085</v>
      </c>
      <c r="D8">
        <v>0</v>
      </c>
      <c r="E8">
        <v>0.22596598179080013</v>
      </c>
      <c r="F8">
        <v>0</v>
      </c>
      <c r="G8">
        <v>1.2562597995649055E-2</v>
      </c>
      <c r="H8">
        <v>0</v>
      </c>
    </row>
    <row r="9" spans="1:8" x14ac:dyDescent="0.25">
      <c r="B9" t="s">
        <v>114</v>
      </c>
      <c r="C9">
        <v>0.65236746039766691</v>
      </c>
      <c r="D9">
        <v>5.4900303456045338E-2</v>
      </c>
      <c r="E9">
        <v>0.17399580688539174</v>
      </c>
      <c r="F9">
        <v>1.8151450233557818E-2</v>
      </c>
      <c r="G9">
        <v>9.0834988893578085E-3</v>
      </c>
      <c r="H9">
        <v>1.0724830998814516E-3</v>
      </c>
    </row>
    <row r="10" spans="1:8" s="50" customFormat="1" x14ac:dyDescent="0.25">
      <c r="B10" s="46"/>
    </row>
    <row r="11" spans="1:8" s="48" customFormat="1" x14ac:dyDescent="0.25">
      <c r="A11" t="s">
        <v>26</v>
      </c>
      <c r="B11" s="47" t="s">
        <v>129</v>
      </c>
      <c r="C11">
        <v>0.93618008389667973</v>
      </c>
      <c r="D11">
        <v>0</v>
      </c>
      <c r="E11">
        <v>4.3372829179554227E-2</v>
      </c>
      <c r="F11">
        <v>0</v>
      </c>
      <c r="G11">
        <v>2.0447086923766147E-2</v>
      </c>
      <c r="H11">
        <v>0</v>
      </c>
    </row>
    <row r="12" spans="1:8" s="48" customFormat="1" x14ac:dyDescent="0.25">
      <c r="A12"/>
      <c r="B12" t="s">
        <v>114</v>
      </c>
      <c r="C12">
        <v>0.80201154560117094</v>
      </c>
      <c r="D12">
        <v>6.7493674810077453E-2</v>
      </c>
      <c r="E12">
        <v>3.3397462530380104E-2</v>
      </c>
      <c r="F12">
        <v>3.4842397655424312E-3</v>
      </c>
      <c r="G12">
        <v>1.4784449158283875E-2</v>
      </c>
      <c r="H12">
        <v>1.7455978004797883E-3</v>
      </c>
    </row>
    <row r="13" spans="1:8" s="50" customFormat="1" x14ac:dyDescent="0.25">
      <c r="B13" s="46"/>
      <c r="E13" s="114"/>
    </row>
    <row r="14" spans="1:8" x14ac:dyDescent="0.25">
      <c r="A14" t="s">
        <v>29</v>
      </c>
      <c r="B14" s="47" t="s">
        <v>129</v>
      </c>
      <c r="C14">
        <v>0.13906712347591385</v>
      </c>
      <c r="D14">
        <v>0</v>
      </c>
      <c r="E14">
        <v>0.86064378755122473</v>
      </c>
      <c r="F14">
        <v>0</v>
      </c>
      <c r="G14">
        <v>2.890889728613143E-4</v>
      </c>
      <c r="H14">
        <v>0</v>
      </c>
    </row>
    <row r="15" spans="1:8" x14ac:dyDescent="0.25">
      <c r="B15" t="s">
        <v>114</v>
      </c>
      <c r="C15">
        <v>0.1191313369521419</v>
      </c>
      <c r="D15">
        <v>1.0025556065917426E-2</v>
      </c>
      <c r="E15">
        <v>0.66270333733027331</v>
      </c>
      <c r="F15">
        <v>6.9132611732558108E-2</v>
      </c>
      <c r="G15">
        <v>2.0902836856045295E-4</v>
      </c>
      <c r="H15">
        <v>2.4682080977708576E-5</v>
      </c>
    </row>
    <row r="16" spans="1:8" s="50" customFormat="1" x14ac:dyDescent="0.25">
      <c r="B16" s="46"/>
    </row>
    <row r="17" spans="1:8" x14ac:dyDescent="0.25">
      <c r="A17" t="s">
        <v>30</v>
      </c>
      <c r="B17" s="47" t="s">
        <v>129</v>
      </c>
      <c r="C17">
        <v>8.3811762225488209E-2</v>
      </c>
      <c r="D17">
        <v>0</v>
      </c>
      <c r="E17">
        <v>0.91589791138315646</v>
      </c>
      <c r="F17">
        <v>0</v>
      </c>
      <c r="G17">
        <v>2.9032639135527017E-4</v>
      </c>
      <c r="H17">
        <v>0</v>
      </c>
    </row>
    <row r="18" spans="1:8" x14ac:dyDescent="0.25">
      <c r="B18" t="s">
        <v>114</v>
      </c>
      <c r="C18">
        <v>7.1795767175776501E-2</v>
      </c>
      <c r="D18">
        <v>6.0420079848970522E-3</v>
      </c>
      <c r="E18">
        <v>0.70524950195067593</v>
      </c>
      <c r="F18">
        <v>7.3570974899628758E-2</v>
      </c>
      <c r="G18">
        <v>2.0992309507477839E-4</v>
      </c>
      <c r="H18">
        <v>2.4784880621892697E-5</v>
      </c>
    </row>
    <row r="19" spans="1:8" s="50" customFormat="1" x14ac:dyDescent="0.25">
      <c r="B19" s="46"/>
    </row>
    <row r="20" spans="1:8" x14ac:dyDescent="0.25">
      <c r="A20" t="s">
        <v>125</v>
      </c>
      <c r="B20" s="47" t="s">
        <v>129</v>
      </c>
      <c r="C20">
        <v>0.48019656032480412</v>
      </c>
      <c r="D20">
        <v>0</v>
      </c>
      <c r="E20">
        <v>0.51036796078901181</v>
      </c>
      <c r="F20">
        <v>0</v>
      </c>
      <c r="G20">
        <v>9.435478886184177E-3</v>
      </c>
      <c r="H20">
        <v>0</v>
      </c>
    </row>
    <row r="21" spans="1:8" x14ac:dyDescent="0.25">
      <c r="B21" t="s">
        <v>114</v>
      </c>
      <c r="C21">
        <v>0.41138992600204144</v>
      </c>
      <c r="D21">
        <v>3.462072090858824E-2</v>
      </c>
      <c r="E21">
        <v>0.3929878490654804</v>
      </c>
      <c r="F21">
        <v>4.0996323590696521E-2</v>
      </c>
      <c r="G21">
        <v>6.8224074361765722E-3</v>
      </c>
      <c r="H21">
        <v>8.0552554117209983E-4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K16" sqref="K16"/>
    </sheetView>
  </sheetViews>
  <sheetFormatPr baseColWidth="10" defaultRowHeight="12.5" x14ac:dyDescent="0.25"/>
  <sheetData>
    <row r="1" spans="1:8" x14ac:dyDescent="0.25">
      <c r="A1" s="116"/>
      <c r="B1" s="116" t="s">
        <v>137</v>
      </c>
      <c r="C1" s="117" t="s">
        <v>115</v>
      </c>
      <c r="D1" s="117" t="s">
        <v>116</v>
      </c>
      <c r="E1" s="117" t="s">
        <v>117</v>
      </c>
      <c r="F1" s="117" t="s">
        <v>118</v>
      </c>
      <c r="G1" s="117" t="s">
        <v>119</v>
      </c>
      <c r="H1" s="117" t="s">
        <v>120</v>
      </c>
    </row>
    <row r="2" spans="1:8" x14ac:dyDescent="0.25">
      <c r="A2" s="122" t="s">
        <v>25</v>
      </c>
      <c r="B2" s="50" t="s">
        <v>129</v>
      </c>
      <c r="C2" s="116">
        <v>5.7819163652044238E-2</v>
      </c>
      <c r="D2" s="116">
        <v>0</v>
      </c>
      <c r="E2" s="116">
        <v>0.94199340869530057</v>
      </c>
      <c r="F2" s="116">
        <v>0</v>
      </c>
      <c r="G2" s="116">
        <v>1.8742765265521041E-4</v>
      </c>
      <c r="H2" s="116">
        <v>0</v>
      </c>
    </row>
    <row r="3" spans="1:8" x14ac:dyDescent="0.25">
      <c r="A3" s="122"/>
      <c r="B3" s="117" t="s">
        <v>138</v>
      </c>
      <c r="C3" s="116">
        <v>5.2103792903688904E-2</v>
      </c>
      <c r="D3" s="116">
        <v>0</v>
      </c>
      <c r="E3" s="116">
        <v>0.79763722772435763</v>
      </c>
      <c r="F3" s="116">
        <v>0</v>
      </c>
      <c r="G3" s="116">
        <v>1.7070046511927716E-4</v>
      </c>
      <c r="H3" s="116">
        <v>0</v>
      </c>
    </row>
    <row r="4" spans="1:8" x14ac:dyDescent="0.25">
      <c r="A4" s="122"/>
      <c r="B4" s="117" t="s">
        <v>114</v>
      </c>
      <c r="C4" s="116">
        <v>4.9529529387962991E-2</v>
      </c>
      <c r="D4" s="116">
        <v>4.1681818277336221E-3</v>
      </c>
      <c r="E4" s="116">
        <v>0.72534326595408105</v>
      </c>
      <c r="F4" s="116">
        <v>7.566713522167802E-2</v>
      </c>
      <c r="G4" s="116">
        <v>1.3552124133226189E-4</v>
      </c>
      <c r="H4" s="116">
        <v>1.6000404482461968E-5</v>
      </c>
    </row>
    <row r="5" spans="1:8" x14ac:dyDescent="0.25">
      <c r="A5" s="123" t="s">
        <v>27</v>
      </c>
      <c r="B5" s="50" t="s">
        <v>129</v>
      </c>
      <c r="C5" s="116">
        <v>0.90282980848514771</v>
      </c>
      <c r="D5" s="116">
        <v>0</v>
      </c>
      <c r="E5" s="116">
        <v>7.4333846134034251E-2</v>
      </c>
      <c r="F5" s="116">
        <v>0</v>
      </c>
      <c r="G5" s="116">
        <v>2.2836345380818072E-2</v>
      </c>
      <c r="H5" s="116">
        <v>0</v>
      </c>
    </row>
    <row r="6" spans="1:8" x14ac:dyDescent="0.25">
      <c r="A6" s="123"/>
      <c r="B6" s="117" t="s">
        <v>138</v>
      </c>
      <c r="C6" s="116">
        <v>0.82021298425944833</v>
      </c>
      <c r="D6" s="116">
        <v>0</v>
      </c>
      <c r="E6" s="116">
        <v>9.6386235215375593E-2</v>
      </c>
      <c r="F6" s="116">
        <v>0</v>
      </c>
      <c r="G6" s="116">
        <v>1.8319454565796901E-2</v>
      </c>
      <c r="H6" s="116">
        <v>0</v>
      </c>
    </row>
    <row r="7" spans="1:8" x14ac:dyDescent="0.25">
      <c r="A7" s="123"/>
      <c r="B7" s="117" t="s">
        <v>114</v>
      </c>
      <c r="C7" s="116">
        <v>0.77350391649752903</v>
      </c>
      <c r="D7" s="116">
        <v>6.5094601306858568E-2</v>
      </c>
      <c r="E7" s="116">
        <v>5.7237719742080348E-2</v>
      </c>
      <c r="F7" s="116">
        <v>5.9715296912139747E-3</v>
      </c>
      <c r="G7" s="116">
        <v>1.6512023864450266E-2</v>
      </c>
      <c r="H7" s="116">
        <v>1.9496049805892957E-3</v>
      </c>
    </row>
    <row r="8" spans="1:8" x14ac:dyDescent="0.25">
      <c r="A8" s="122" t="s">
        <v>28</v>
      </c>
      <c r="B8" s="117" t="s">
        <v>129</v>
      </c>
      <c r="C8" s="116">
        <v>0.76147142021355085</v>
      </c>
      <c r="D8" s="116">
        <v>0</v>
      </c>
      <c r="E8" s="116">
        <v>0.22596598179080013</v>
      </c>
      <c r="F8" s="116">
        <v>0</v>
      </c>
      <c r="G8" s="116">
        <v>1.2562597995649055E-2</v>
      </c>
      <c r="H8" s="116">
        <v>0</v>
      </c>
    </row>
    <row r="9" spans="1:8" x14ac:dyDescent="0.25">
      <c r="A9" s="122"/>
      <c r="B9" s="117" t="s">
        <v>138</v>
      </c>
      <c r="C9" s="116">
        <v>0.74058269476396155</v>
      </c>
      <c r="D9" s="116">
        <v>0</v>
      </c>
      <c r="E9" s="116">
        <v>0.21167426309883647</v>
      </c>
      <c r="F9" s="116">
        <v>0</v>
      </c>
      <c r="G9" s="116">
        <v>1.2255564885372041E-2</v>
      </c>
      <c r="H9" s="116">
        <v>0</v>
      </c>
    </row>
    <row r="10" spans="1:8" x14ac:dyDescent="0.25">
      <c r="A10" s="122"/>
      <c r="B10" s="117" t="s">
        <v>114</v>
      </c>
      <c r="C10" s="116">
        <v>0.65236746039766691</v>
      </c>
      <c r="D10" s="116">
        <v>5.4900303456045338E-2</v>
      </c>
      <c r="E10" s="116">
        <v>0.17399580688539174</v>
      </c>
      <c r="F10" s="116">
        <v>1.8151450233557818E-2</v>
      </c>
      <c r="G10" s="116">
        <v>9.0834988893578085E-3</v>
      </c>
      <c r="H10" s="116">
        <v>1.0724830998814516E-3</v>
      </c>
    </row>
    <row r="11" spans="1:8" x14ac:dyDescent="0.25">
      <c r="A11" s="122" t="s">
        <v>26</v>
      </c>
      <c r="B11" s="50" t="s">
        <v>129</v>
      </c>
      <c r="C11" s="116">
        <v>0.93618008389667973</v>
      </c>
      <c r="D11" s="116">
        <v>0</v>
      </c>
      <c r="E11" s="116">
        <v>4.3372829179554227E-2</v>
      </c>
      <c r="F11" s="116">
        <v>0</v>
      </c>
      <c r="G11" s="116">
        <v>2.0447086923766147E-2</v>
      </c>
      <c r="H11" s="116">
        <v>0</v>
      </c>
    </row>
    <row r="12" spans="1:8" x14ac:dyDescent="0.25">
      <c r="A12" s="122"/>
      <c r="B12" s="117" t="s">
        <v>138</v>
      </c>
      <c r="C12" s="116">
        <v>0.89743157857006406</v>
      </c>
      <c r="D12" s="116">
        <v>0</v>
      </c>
      <c r="E12" s="116">
        <v>5.2416025995554331E-2</v>
      </c>
      <c r="F12" s="116">
        <v>0</v>
      </c>
      <c r="G12" s="116">
        <v>1.7784584525623561E-2</v>
      </c>
      <c r="H12" s="116">
        <v>0</v>
      </c>
    </row>
    <row r="13" spans="1:8" x14ac:dyDescent="0.25">
      <c r="A13" s="122"/>
      <c r="B13" s="117" t="s">
        <v>114</v>
      </c>
      <c r="C13" s="116">
        <v>0.80201154560117094</v>
      </c>
      <c r="D13" s="116">
        <v>6.7493674810077453E-2</v>
      </c>
      <c r="E13" s="116">
        <v>3.3397462530380104E-2</v>
      </c>
      <c r="F13" s="116">
        <v>3.4842397655424312E-3</v>
      </c>
      <c r="G13" s="116">
        <v>1.4784449158283875E-2</v>
      </c>
      <c r="H13" s="116">
        <v>1.7455978004797883E-3</v>
      </c>
    </row>
    <row r="14" spans="1:8" x14ac:dyDescent="0.25">
      <c r="A14" s="122" t="s">
        <v>29</v>
      </c>
      <c r="B14" s="117" t="s">
        <v>129</v>
      </c>
      <c r="C14" s="116">
        <v>0.13906712347591385</v>
      </c>
      <c r="D14" s="116">
        <v>0</v>
      </c>
      <c r="E14" s="116">
        <v>0.86064378755122473</v>
      </c>
      <c r="F14" s="116">
        <v>0</v>
      </c>
      <c r="G14" s="116">
        <v>2.890889728613143E-4</v>
      </c>
      <c r="H14" s="116">
        <v>0</v>
      </c>
    </row>
    <row r="15" spans="1:8" x14ac:dyDescent="0.25">
      <c r="A15" s="122"/>
      <c r="B15" s="117" t="s">
        <v>138</v>
      </c>
      <c r="C15" s="116">
        <v>0.13649643217197699</v>
      </c>
      <c r="D15" s="116">
        <v>0</v>
      </c>
      <c r="E15" s="116">
        <v>0.7974212760978906</v>
      </c>
      <c r="F15" s="116">
        <v>0</v>
      </c>
      <c r="G15" s="116">
        <v>4.5905468776171024E-4</v>
      </c>
      <c r="H15" s="116">
        <v>0</v>
      </c>
    </row>
    <row r="16" spans="1:8" x14ac:dyDescent="0.25">
      <c r="A16" s="122"/>
      <c r="B16" s="117" t="s">
        <v>114</v>
      </c>
      <c r="C16" s="116">
        <v>0.1191313369521419</v>
      </c>
      <c r="D16" s="116">
        <v>1.0025556065917426E-2</v>
      </c>
      <c r="E16" s="116">
        <v>0.66270333733027331</v>
      </c>
      <c r="F16" s="116">
        <v>6.9132611732558108E-2</v>
      </c>
      <c r="G16" s="116">
        <v>2.0902836856045295E-4</v>
      </c>
      <c r="H16" s="116">
        <v>2.4682080977708576E-5</v>
      </c>
    </row>
    <row r="17" spans="1:8" x14ac:dyDescent="0.25">
      <c r="A17" s="122" t="s">
        <v>30</v>
      </c>
      <c r="B17" s="117" t="s">
        <v>129</v>
      </c>
      <c r="C17" s="116">
        <v>8.3811762225488209E-2</v>
      </c>
      <c r="D17" s="116">
        <v>0</v>
      </c>
      <c r="E17" s="116">
        <v>0.91589791138315646</v>
      </c>
      <c r="F17" s="116">
        <v>0</v>
      </c>
      <c r="G17" s="116">
        <v>2.9032639135527017E-4</v>
      </c>
      <c r="H17" s="116">
        <v>0</v>
      </c>
    </row>
    <row r="18" spans="1:8" x14ac:dyDescent="0.25">
      <c r="A18" s="122"/>
      <c r="B18" s="117" t="s">
        <v>138</v>
      </c>
      <c r="C18" s="116">
        <v>7.6671062346020641E-2</v>
      </c>
      <c r="D18" s="116">
        <v>0</v>
      </c>
      <c r="E18" s="116">
        <v>0.7769062169307942</v>
      </c>
      <c r="F18" s="116">
        <v>0</v>
      </c>
      <c r="G18" s="116">
        <v>2.8107777471266399E-4</v>
      </c>
      <c r="H18" s="116">
        <v>0</v>
      </c>
    </row>
    <row r="19" spans="1:8" x14ac:dyDescent="0.25">
      <c r="A19" s="122"/>
      <c r="B19" s="117" t="s">
        <v>114</v>
      </c>
      <c r="C19" s="116">
        <v>7.1795767175776501E-2</v>
      </c>
      <c r="D19" s="116">
        <v>6.0420079848970522E-3</v>
      </c>
      <c r="E19" s="116">
        <v>0.70524950195067593</v>
      </c>
      <c r="F19" s="116">
        <v>7.3570974899628758E-2</v>
      </c>
      <c r="G19" s="116">
        <v>2.0992309507477839E-4</v>
      </c>
      <c r="H19" s="116">
        <v>2.4784880621892697E-5</v>
      </c>
    </row>
    <row r="20" spans="1:8" x14ac:dyDescent="0.25">
      <c r="A20" s="118" t="s">
        <v>125</v>
      </c>
      <c r="B20" s="121" t="s">
        <v>129</v>
      </c>
      <c r="C20" s="120">
        <v>0.48019656032480412</v>
      </c>
      <c r="D20" s="120">
        <v>0</v>
      </c>
      <c r="E20" s="120">
        <v>0.51036796078901181</v>
      </c>
      <c r="F20" s="120">
        <v>0</v>
      </c>
      <c r="G20" s="120">
        <v>9.435478886184177E-3</v>
      </c>
      <c r="H20" s="120">
        <v>0</v>
      </c>
    </row>
    <row r="21" spans="1:8" x14ac:dyDescent="0.25">
      <c r="A21" s="118"/>
      <c r="B21" s="121" t="s">
        <v>138</v>
      </c>
      <c r="C21" s="120">
        <v>0.45391642416919337</v>
      </c>
      <c r="D21" s="120">
        <v>0</v>
      </c>
      <c r="E21" s="120">
        <v>0.45540687417713482</v>
      </c>
      <c r="F21" s="120">
        <v>0</v>
      </c>
      <c r="G21" s="120">
        <v>8.2117394840643589E-3</v>
      </c>
      <c r="H21" s="120">
        <v>0</v>
      </c>
    </row>
    <row r="22" spans="1:8" x14ac:dyDescent="0.25">
      <c r="A22" s="118"/>
      <c r="B22" s="119" t="s">
        <v>114</v>
      </c>
      <c r="C22" s="120">
        <v>0.41138992600204144</v>
      </c>
      <c r="D22" s="120">
        <v>3.462072090858824E-2</v>
      </c>
      <c r="E22" s="120">
        <v>0.3929878490654804</v>
      </c>
      <c r="F22" s="120">
        <v>4.0996323590696521E-2</v>
      </c>
      <c r="G22" s="120">
        <v>6.8224074361765722E-3</v>
      </c>
      <c r="H22" s="120">
        <v>8.0552554117209983E-4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5" workbookViewId="0">
      <selection activeCell="H38" sqref="H38"/>
    </sheetView>
  </sheetViews>
  <sheetFormatPr baseColWidth="10" defaultColWidth="10.81640625" defaultRowHeight="14" x14ac:dyDescent="0.3"/>
  <cols>
    <col min="1" max="2" width="10.81640625" style="4"/>
    <col min="3" max="3" width="12.36328125" style="4" bestFit="1" customWidth="1"/>
    <col min="4" max="4" width="15.81640625" style="4" bestFit="1" customWidth="1"/>
    <col min="5" max="5" width="15.6328125" style="4" bestFit="1" customWidth="1"/>
    <col min="6" max="16384" width="10.81640625" style="4"/>
  </cols>
  <sheetData>
    <row r="1" spans="1:7" ht="14.5" thickBot="1" x14ac:dyDescent="0.35">
      <c r="A1" s="1" t="s">
        <v>77</v>
      </c>
      <c r="B1" s="2" t="s">
        <v>78</v>
      </c>
      <c r="C1" s="3" t="s">
        <v>79</v>
      </c>
      <c r="D1" s="131" t="s">
        <v>80</v>
      </c>
      <c r="E1" s="132"/>
      <c r="F1" s="133" t="s">
        <v>81</v>
      </c>
      <c r="G1" s="133"/>
    </row>
    <row r="2" spans="1:7" x14ac:dyDescent="0.3">
      <c r="A2" s="5"/>
      <c r="C2" s="6"/>
      <c r="D2" s="7" t="s">
        <v>82</v>
      </c>
      <c r="E2" s="8" t="s">
        <v>83</v>
      </c>
      <c r="F2" s="7" t="s">
        <v>82</v>
      </c>
      <c r="G2" s="8" t="s">
        <v>83</v>
      </c>
    </row>
    <row r="3" spans="1:7" x14ac:dyDescent="0.3">
      <c r="A3" s="9" t="s">
        <v>25</v>
      </c>
      <c r="B3" s="10">
        <v>1406946</v>
      </c>
      <c r="C3" s="11">
        <f>+B3*150</f>
        <v>211041900</v>
      </c>
      <c r="D3" s="4">
        <v>108</v>
      </c>
      <c r="E3" s="4">
        <v>2</v>
      </c>
      <c r="F3" s="4">
        <v>16200</v>
      </c>
      <c r="G3" s="4">
        <v>150</v>
      </c>
    </row>
    <row r="4" spans="1:7" x14ac:dyDescent="0.3">
      <c r="A4" s="12" t="s">
        <v>26</v>
      </c>
      <c r="B4" s="13">
        <v>1453369</v>
      </c>
      <c r="C4" s="14">
        <f t="shared" ref="C4:C8" si="0">+B4*150</f>
        <v>218005350</v>
      </c>
      <c r="D4" s="4">
        <v>237</v>
      </c>
      <c r="E4" s="4">
        <v>32</v>
      </c>
      <c r="F4" s="4">
        <v>35550</v>
      </c>
      <c r="G4" s="4">
        <v>4650</v>
      </c>
    </row>
    <row r="5" spans="1:7" x14ac:dyDescent="0.3">
      <c r="A5" s="15" t="s">
        <v>27</v>
      </c>
      <c r="B5" s="13">
        <v>6937351</v>
      </c>
      <c r="C5" s="14">
        <f t="shared" si="0"/>
        <v>1040602650</v>
      </c>
      <c r="D5" s="4">
        <v>1637</v>
      </c>
      <c r="E5" s="4">
        <v>224</v>
      </c>
      <c r="F5" s="4">
        <v>245550</v>
      </c>
      <c r="G5" s="4">
        <v>33450</v>
      </c>
    </row>
    <row r="6" spans="1:7" x14ac:dyDescent="0.3">
      <c r="A6" s="12" t="s">
        <v>28</v>
      </c>
      <c r="B6" s="13">
        <v>1670088</v>
      </c>
      <c r="C6" s="14">
        <f t="shared" si="0"/>
        <v>250513200</v>
      </c>
      <c r="D6" s="4">
        <v>178</v>
      </c>
      <c r="E6" s="4">
        <v>26</v>
      </c>
      <c r="F6" s="4">
        <v>26700</v>
      </c>
      <c r="G6" s="4">
        <v>3750</v>
      </c>
    </row>
    <row r="7" spans="1:7" x14ac:dyDescent="0.3">
      <c r="A7" s="12" t="s">
        <v>29</v>
      </c>
      <c r="B7" s="13">
        <v>27160746</v>
      </c>
      <c r="C7" s="14">
        <f t="shared" si="0"/>
        <v>4074111900</v>
      </c>
      <c r="D7" s="4">
        <v>12733</v>
      </c>
      <c r="E7" s="4">
        <v>135</v>
      </c>
    </row>
    <row r="8" spans="1:7" ht="14.5" thickBot="1" x14ac:dyDescent="0.35">
      <c r="A8" s="16" t="s">
        <v>30</v>
      </c>
      <c r="B8" s="17">
        <v>2099986</v>
      </c>
      <c r="C8" s="18">
        <f t="shared" si="0"/>
        <v>314997900</v>
      </c>
      <c r="D8" s="4">
        <v>328</v>
      </c>
      <c r="E8" s="4">
        <v>4</v>
      </c>
    </row>
    <row r="10" spans="1:7" x14ac:dyDescent="0.3">
      <c r="C10" s="19"/>
    </row>
    <row r="11" spans="1:7" x14ac:dyDescent="0.3">
      <c r="A11" s="20"/>
    </row>
    <row r="12" spans="1:7" ht="14.5" thickBot="1" x14ac:dyDescent="0.35">
      <c r="B12" s="4" t="s">
        <v>84</v>
      </c>
    </row>
    <row r="13" spans="1:7" ht="14.5" thickBot="1" x14ac:dyDescent="0.35">
      <c r="A13" s="1" t="s">
        <v>77</v>
      </c>
      <c r="B13" s="2" t="s">
        <v>78</v>
      </c>
      <c r="C13" s="3" t="s">
        <v>79</v>
      </c>
      <c r="D13" s="131" t="s">
        <v>80</v>
      </c>
      <c r="E13" s="132"/>
      <c r="F13" s="133" t="s">
        <v>81</v>
      </c>
      <c r="G13" s="133"/>
    </row>
    <row r="14" spans="1:7" x14ac:dyDescent="0.3">
      <c r="A14" s="5"/>
      <c r="C14" s="6"/>
      <c r="D14" s="7" t="s">
        <v>82</v>
      </c>
      <c r="E14" s="8" t="s">
        <v>83</v>
      </c>
      <c r="F14" s="7" t="s">
        <v>82</v>
      </c>
      <c r="G14" s="8" t="s">
        <v>83</v>
      </c>
    </row>
    <row r="15" spans="1:7" x14ac:dyDescent="0.3">
      <c r="A15" s="9" t="s">
        <v>25</v>
      </c>
      <c r="B15" s="10"/>
      <c r="C15" s="11"/>
      <c r="D15" s="4">
        <v>1314</v>
      </c>
      <c r="E15" s="4">
        <v>15</v>
      </c>
    </row>
    <row r="16" spans="1:7" x14ac:dyDescent="0.3">
      <c r="A16" s="12" t="s">
        <v>26</v>
      </c>
      <c r="B16" s="13"/>
      <c r="C16" s="14"/>
      <c r="D16" s="4">
        <v>1029</v>
      </c>
      <c r="E16" s="4">
        <v>128</v>
      </c>
    </row>
    <row r="17" spans="1:7" x14ac:dyDescent="0.3">
      <c r="A17" s="15" t="s">
        <v>27</v>
      </c>
      <c r="B17" s="13"/>
      <c r="C17" s="14"/>
      <c r="D17" s="4">
        <v>5193</v>
      </c>
      <c r="E17" s="4">
        <v>726</v>
      </c>
    </row>
    <row r="18" spans="1:7" x14ac:dyDescent="0.3">
      <c r="A18" s="12" t="s">
        <v>28</v>
      </c>
      <c r="B18" s="13"/>
      <c r="C18" s="14"/>
      <c r="D18" s="4">
        <v>1230</v>
      </c>
      <c r="E18" s="4">
        <v>104</v>
      </c>
    </row>
    <row r="19" spans="1:7" x14ac:dyDescent="0.3">
      <c r="A19" s="12" t="s">
        <v>29</v>
      </c>
      <c r="B19" s="13"/>
      <c r="C19" s="14"/>
      <c r="D19" s="4">
        <v>31178</v>
      </c>
      <c r="E19" s="4">
        <v>292</v>
      </c>
    </row>
    <row r="20" spans="1:7" ht="14.5" thickBot="1" x14ac:dyDescent="0.35">
      <c r="A20" s="16" t="s">
        <v>30</v>
      </c>
      <c r="B20" s="17"/>
      <c r="C20" s="18"/>
      <c r="D20" s="4">
        <v>2134</v>
      </c>
      <c r="E20" s="4">
        <v>26</v>
      </c>
    </row>
    <row r="24" spans="1:7" ht="14.5" thickBot="1" x14ac:dyDescent="0.35">
      <c r="B24" s="4" t="s">
        <v>85</v>
      </c>
    </row>
    <row r="25" spans="1:7" ht="14.5" thickBot="1" x14ac:dyDescent="0.35">
      <c r="A25" s="1" t="s">
        <v>77</v>
      </c>
      <c r="B25" s="2" t="s">
        <v>78</v>
      </c>
      <c r="C25" s="3" t="s">
        <v>79</v>
      </c>
      <c r="D25" s="131" t="s">
        <v>80</v>
      </c>
      <c r="E25" s="132"/>
      <c r="F25" s="133" t="s">
        <v>81</v>
      </c>
      <c r="G25" s="133"/>
    </row>
    <row r="26" spans="1:7" x14ac:dyDescent="0.3">
      <c r="A26" s="5"/>
      <c r="C26" s="6"/>
      <c r="D26" s="7" t="s">
        <v>82</v>
      </c>
      <c r="E26" s="8" t="s">
        <v>83</v>
      </c>
      <c r="F26" s="7" t="s">
        <v>82</v>
      </c>
      <c r="G26" s="8" t="s">
        <v>83</v>
      </c>
    </row>
    <row r="27" spans="1:7" x14ac:dyDescent="0.3">
      <c r="A27" s="9" t="s">
        <v>25</v>
      </c>
      <c r="B27" s="10"/>
      <c r="C27" s="11"/>
      <c r="D27" s="4">
        <v>1910</v>
      </c>
      <c r="E27" s="4">
        <v>20</v>
      </c>
    </row>
    <row r="28" spans="1:7" x14ac:dyDescent="0.3">
      <c r="A28" s="12" t="s">
        <v>26</v>
      </c>
      <c r="B28" s="13"/>
      <c r="C28" s="14"/>
      <c r="D28" s="4">
        <v>1781</v>
      </c>
      <c r="E28" s="4">
        <v>197</v>
      </c>
    </row>
    <row r="29" spans="1:7" x14ac:dyDescent="0.3">
      <c r="A29" s="15" t="s">
        <v>27</v>
      </c>
      <c r="B29" s="13"/>
      <c r="C29" s="14"/>
      <c r="D29" s="4">
        <v>7686</v>
      </c>
      <c r="E29" s="4">
        <v>1078</v>
      </c>
    </row>
    <row r="30" spans="1:7" x14ac:dyDescent="0.3">
      <c r="A30" s="12" t="s">
        <v>28</v>
      </c>
      <c r="B30" s="13"/>
      <c r="C30" s="14"/>
      <c r="D30" s="4">
        <v>1838</v>
      </c>
      <c r="E30" s="4">
        <v>160</v>
      </c>
    </row>
    <row r="31" spans="1:7" x14ac:dyDescent="0.3">
      <c r="A31" s="12" t="s">
        <v>29</v>
      </c>
      <c r="B31" s="13"/>
      <c r="C31" s="14"/>
      <c r="D31" s="4">
        <v>45975</v>
      </c>
      <c r="E31" s="4">
        <v>432</v>
      </c>
    </row>
    <row r="32" spans="1:7" ht="14.5" thickBot="1" x14ac:dyDescent="0.35">
      <c r="A32" s="16" t="s">
        <v>30</v>
      </c>
      <c r="B32" s="17"/>
      <c r="C32" s="18"/>
      <c r="D32" s="4">
        <v>3476</v>
      </c>
      <c r="E32" s="4">
        <v>40</v>
      </c>
    </row>
    <row r="35" spans="1:8" ht="14.5" thickBot="1" x14ac:dyDescent="0.35">
      <c r="B35" s="4" t="s">
        <v>86</v>
      </c>
    </row>
    <row r="36" spans="1:8" ht="14.5" thickBot="1" x14ac:dyDescent="0.35">
      <c r="A36" s="1" t="s">
        <v>77</v>
      </c>
      <c r="B36" s="2" t="s">
        <v>78</v>
      </c>
      <c r="C36" s="3" t="s">
        <v>79</v>
      </c>
      <c r="D36" s="131" t="s">
        <v>80</v>
      </c>
      <c r="E36" s="132"/>
      <c r="F36" s="133" t="s">
        <v>81</v>
      </c>
      <c r="G36" s="133"/>
    </row>
    <row r="37" spans="1:8" x14ac:dyDescent="0.3">
      <c r="A37" s="5"/>
      <c r="C37" s="6"/>
      <c r="D37" s="7" t="s">
        <v>82</v>
      </c>
      <c r="E37" s="8" t="s">
        <v>83</v>
      </c>
      <c r="F37" s="7" t="s">
        <v>82</v>
      </c>
      <c r="G37" s="8" t="s">
        <v>83</v>
      </c>
    </row>
    <row r="38" spans="1:8" x14ac:dyDescent="0.3">
      <c r="A38" s="9" t="s">
        <v>25</v>
      </c>
      <c r="B38" s="10"/>
      <c r="C38" s="11"/>
      <c r="D38" s="4">
        <v>304686</v>
      </c>
      <c r="E38" s="4">
        <v>54</v>
      </c>
      <c r="H38" s="4">
        <f>+D38/11515</f>
        <v>26.459921841076856</v>
      </c>
    </row>
    <row r="39" spans="1:8" x14ac:dyDescent="0.3">
      <c r="A39" s="12" t="s">
        <v>26</v>
      </c>
      <c r="B39" s="13"/>
      <c r="C39" s="14"/>
      <c r="D39" s="4">
        <v>4761</v>
      </c>
      <c r="E39" s="4">
        <v>341</v>
      </c>
    </row>
    <row r="40" spans="1:8" x14ac:dyDescent="0.3">
      <c r="A40" s="15" t="s">
        <v>27</v>
      </c>
      <c r="B40" s="13"/>
      <c r="C40" s="14"/>
      <c r="D40" s="4">
        <v>13796</v>
      </c>
      <c r="E40" s="4">
        <v>1978</v>
      </c>
    </row>
    <row r="41" spans="1:8" x14ac:dyDescent="0.3">
      <c r="A41" s="12" t="s">
        <v>28</v>
      </c>
      <c r="B41" s="13"/>
      <c r="C41" s="14"/>
      <c r="D41" s="4">
        <v>4534</v>
      </c>
      <c r="E41" s="4">
        <v>300</v>
      </c>
    </row>
    <row r="42" spans="1:8" x14ac:dyDescent="0.3">
      <c r="A42" s="12" t="s">
        <v>29</v>
      </c>
      <c r="B42" s="13"/>
      <c r="C42" s="14"/>
      <c r="D42" s="4">
        <v>1677364</v>
      </c>
      <c r="E42" s="4">
        <v>615</v>
      </c>
    </row>
    <row r="43" spans="1:8" ht="14.5" thickBot="1" x14ac:dyDescent="0.35">
      <c r="A43" s="16" t="s">
        <v>30</v>
      </c>
      <c r="B43" s="17"/>
      <c r="C43" s="18"/>
      <c r="D43" s="4">
        <v>305822</v>
      </c>
      <c r="E43" s="4">
        <v>77</v>
      </c>
    </row>
  </sheetData>
  <mergeCells count="8">
    <mergeCell ref="D36:E36"/>
    <mergeCell ref="F36:G36"/>
    <mergeCell ref="D1:E1"/>
    <mergeCell ref="F1:G1"/>
    <mergeCell ref="D13:E13"/>
    <mergeCell ref="F13:G13"/>
    <mergeCell ref="D25:E25"/>
    <mergeCell ref="F25:G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4" sqref="E14"/>
    </sheetView>
  </sheetViews>
  <sheetFormatPr baseColWidth="10" defaultColWidth="8.6328125" defaultRowHeight="14" x14ac:dyDescent="0.3"/>
  <cols>
    <col min="1" max="1" width="8.6328125" style="21"/>
    <col min="2" max="2" width="11.81640625" style="21" bestFit="1" customWidth="1"/>
    <col min="3" max="3" width="12.81640625" style="21" bestFit="1" customWidth="1"/>
    <col min="4" max="4" width="11" style="21" bestFit="1" customWidth="1"/>
    <col min="5" max="5" width="8.6328125" style="21"/>
    <col min="6" max="6" width="11.1796875" style="21" bestFit="1" customWidth="1"/>
    <col min="7" max="16384" width="8.6328125" style="21"/>
  </cols>
  <sheetData>
    <row r="1" spans="1:6" ht="14.5" thickBot="1" x14ac:dyDescent="0.35">
      <c r="A1" s="134" t="s">
        <v>82</v>
      </c>
      <c r="B1" s="135"/>
      <c r="C1" s="134" t="s">
        <v>83</v>
      </c>
      <c r="D1" s="135"/>
    </row>
    <row r="2" spans="1:6" ht="14.5" thickBot="1" x14ac:dyDescent="0.35">
      <c r="A2" s="22" t="s">
        <v>87</v>
      </c>
      <c r="B2" s="23" t="s">
        <v>88</v>
      </c>
      <c r="C2" s="22" t="s">
        <v>87</v>
      </c>
      <c r="D2" s="23" t="s">
        <v>89</v>
      </c>
    </row>
    <row r="3" spans="1:6" x14ac:dyDescent="0.3">
      <c r="A3" s="24" t="s">
        <v>90</v>
      </c>
      <c r="B3" s="25">
        <v>53139.28125</v>
      </c>
      <c r="C3" s="24" t="s">
        <v>91</v>
      </c>
      <c r="D3" s="25">
        <v>19323.375</v>
      </c>
    </row>
    <row r="4" spans="1:6" x14ac:dyDescent="0.3">
      <c r="A4" s="24" t="s">
        <v>90</v>
      </c>
      <c r="B4" s="25">
        <v>43740</v>
      </c>
      <c r="C4" s="24" t="s">
        <v>92</v>
      </c>
      <c r="D4" s="25">
        <v>8748</v>
      </c>
    </row>
    <row r="5" spans="1:6" x14ac:dyDescent="0.3">
      <c r="A5" s="24" t="s">
        <v>90</v>
      </c>
      <c r="B5" s="25">
        <v>16224</v>
      </c>
      <c r="C5" s="24" t="s">
        <v>92</v>
      </c>
      <c r="D5" s="25">
        <v>5408</v>
      </c>
    </row>
    <row r="6" spans="1:6" x14ac:dyDescent="0.3">
      <c r="A6" s="24" t="s">
        <v>90</v>
      </c>
      <c r="B6" s="25">
        <v>8112</v>
      </c>
      <c r="C6" s="24" t="s">
        <v>90</v>
      </c>
      <c r="D6" s="25">
        <v>8112</v>
      </c>
    </row>
    <row r="7" spans="1:6" x14ac:dyDescent="0.3">
      <c r="A7" s="24" t="s">
        <v>93</v>
      </c>
      <c r="B7" s="25">
        <v>1152</v>
      </c>
      <c r="C7" s="24" t="s">
        <v>92</v>
      </c>
      <c r="D7" s="25">
        <v>1152</v>
      </c>
    </row>
    <row r="8" spans="1:6" ht="14.5" thickBot="1" x14ac:dyDescent="0.35">
      <c r="A8" s="26" t="s">
        <v>93</v>
      </c>
      <c r="B8" s="27">
        <v>512</v>
      </c>
      <c r="C8" s="26" t="s">
        <v>93</v>
      </c>
      <c r="D8" s="27">
        <v>512</v>
      </c>
    </row>
    <row r="10" spans="1:6" x14ac:dyDescent="0.3">
      <c r="B10" s="21">
        <f>+SUM(B3:B8)</f>
        <v>122879.28125</v>
      </c>
      <c r="D10" s="21">
        <f>+SUM(D3:D8)</f>
        <v>43255.375</v>
      </c>
      <c r="F10" s="21">
        <f>+B10/(B10+D10)</f>
        <v>0.7396366539266247</v>
      </c>
    </row>
    <row r="12" spans="1:6" x14ac:dyDescent="0.3">
      <c r="B12" s="21">
        <f>+B10+D10</f>
        <v>166134.65625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24" sqref="G24"/>
    </sheetView>
  </sheetViews>
  <sheetFormatPr baseColWidth="10" defaultColWidth="8.6328125" defaultRowHeight="14" x14ac:dyDescent="0.3"/>
  <cols>
    <col min="1" max="1" width="12.81640625" style="21" bestFit="1" customWidth="1"/>
    <col min="2" max="2" width="10.453125" style="21" bestFit="1" customWidth="1"/>
    <col min="3" max="3" width="21.453125" style="21" bestFit="1" customWidth="1"/>
    <col min="4" max="4" width="11" style="21" bestFit="1" customWidth="1"/>
    <col min="5" max="16384" width="8.6328125" style="21"/>
  </cols>
  <sheetData>
    <row r="1" spans="1:4" x14ac:dyDescent="0.3">
      <c r="A1" s="136" t="s">
        <v>82</v>
      </c>
      <c r="B1" s="137"/>
      <c r="C1" s="136" t="s">
        <v>83</v>
      </c>
      <c r="D1" s="137"/>
    </row>
    <row r="2" spans="1:4" x14ac:dyDescent="0.3">
      <c r="A2" s="28" t="s">
        <v>87</v>
      </c>
      <c r="B2" s="29" t="s">
        <v>88</v>
      </c>
      <c r="C2" s="28" t="s">
        <v>87</v>
      </c>
      <c r="D2" s="29" t="s">
        <v>89</v>
      </c>
    </row>
    <row r="3" spans="1:4" x14ac:dyDescent="0.3">
      <c r="A3" s="30" t="s">
        <v>90</v>
      </c>
      <c r="B3" s="30">
        <v>65856</v>
      </c>
      <c r="C3" s="30" t="s">
        <v>91</v>
      </c>
      <c r="D3" s="30">
        <v>18816</v>
      </c>
    </row>
    <row r="4" spans="1:4" x14ac:dyDescent="0.3">
      <c r="A4" s="30" t="s">
        <v>90</v>
      </c>
      <c r="B4" s="30">
        <v>37632</v>
      </c>
      <c r="C4" s="30" t="s">
        <v>92</v>
      </c>
      <c r="D4" s="30">
        <v>37632</v>
      </c>
    </row>
    <row r="5" spans="1:4" x14ac:dyDescent="0.3">
      <c r="A5" s="31" t="s">
        <v>90</v>
      </c>
      <c r="B5" s="31">
        <v>50176</v>
      </c>
      <c r="C5" s="31" t="s">
        <v>90</v>
      </c>
      <c r="D5" s="31">
        <v>25088</v>
      </c>
    </row>
    <row r="6" spans="1:4" x14ac:dyDescent="0.3">
      <c r="A6" s="31" t="s">
        <v>90</v>
      </c>
      <c r="B6" s="31">
        <v>50176</v>
      </c>
      <c r="C6" s="31" t="s">
        <v>90</v>
      </c>
      <c r="D6" s="31">
        <v>25088</v>
      </c>
    </row>
    <row r="7" spans="1:4" x14ac:dyDescent="0.3">
      <c r="A7" s="30" t="s">
        <v>92</v>
      </c>
      <c r="B7" s="30">
        <v>1650401</v>
      </c>
      <c r="C7" s="31" t="s">
        <v>90</v>
      </c>
      <c r="D7" s="32">
        <v>25088</v>
      </c>
    </row>
    <row r="8" spans="1:4" x14ac:dyDescent="0.3">
      <c r="A8" s="30" t="s">
        <v>90</v>
      </c>
      <c r="B8" s="30">
        <v>3136</v>
      </c>
      <c r="C8" s="31" t="s">
        <v>90</v>
      </c>
      <c r="D8" s="32">
        <v>25088</v>
      </c>
    </row>
    <row r="9" spans="1:4" x14ac:dyDescent="0.3">
      <c r="A9" s="30" t="s">
        <v>90</v>
      </c>
      <c r="B9" s="30">
        <v>9408</v>
      </c>
      <c r="C9" s="33" t="s">
        <v>90</v>
      </c>
      <c r="D9" s="33">
        <v>50176</v>
      </c>
    </row>
    <row r="10" spans="1:4" x14ac:dyDescent="0.3">
      <c r="A10" s="30" t="s">
        <v>90</v>
      </c>
      <c r="B10" s="30">
        <v>4704</v>
      </c>
      <c r="C10" s="33" t="s">
        <v>90</v>
      </c>
      <c r="D10" s="33">
        <v>50176</v>
      </c>
    </row>
    <row r="11" spans="1:4" x14ac:dyDescent="0.3">
      <c r="A11" s="30" t="s">
        <v>90</v>
      </c>
      <c r="B11" s="30">
        <v>14112</v>
      </c>
      <c r="C11" s="30" t="s">
        <v>90</v>
      </c>
      <c r="D11" s="30">
        <v>3136</v>
      </c>
    </row>
    <row r="12" spans="1:4" x14ac:dyDescent="0.3">
      <c r="A12" s="30" t="s">
        <v>90</v>
      </c>
      <c r="B12" s="30">
        <v>4704</v>
      </c>
      <c r="C12" s="34" t="s">
        <v>90</v>
      </c>
      <c r="D12" s="34">
        <v>4704</v>
      </c>
    </row>
    <row r="13" spans="1:4" x14ac:dyDescent="0.3">
      <c r="A13" s="30" t="s">
        <v>90</v>
      </c>
      <c r="B13" s="30">
        <v>14112</v>
      </c>
      <c r="C13" s="34" t="s">
        <v>90</v>
      </c>
      <c r="D13" s="34">
        <v>4704</v>
      </c>
    </row>
    <row r="14" spans="1:4" x14ac:dyDescent="0.3">
      <c r="A14" s="30" t="s">
        <v>90</v>
      </c>
      <c r="B14" s="30">
        <v>6272</v>
      </c>
      <c r="C14" s="30" t="s">
        <v>90</v>
      </c>
      <c r="D14" s="30">
        <v>6272</v>
      </c>
    </row>
    <row r="15" spans="1:4" x14ac:dyDescent="0.3">
      <c r="A15" s="30" t="s">
        <v>90</v>
      </c>
      <c r="B15" s="30">
        <v>18816</v>
      </c>
      <c r="C15" s="30" t="s">
        <v>92</v>
      </c>
      <c r="D15" s="30">
        <v>12544</v>
      </c>
    </row>
    <row r="16" spans="1:4" x14ac:dyDescent="0.3">
      <c r="A16" s="35" t="s">
        <v>90</v>
      </c>
      <c r="B16" s="35">
        <v>12544</v>
      </c>
      <c r="C16" s="35" t="s">
        <v>90</v>
      </c>
      <c r="D16" s="35">
        <v>6272</v>
      </c>
    </row>
    <row r="17" spans="1:6" x14ac:dyDescent="0.3">
      <c r="A17" s="35" t="s">
        <v>90</v>
      </c>
      <c r="B17" s="35">
        <v>12544</v>
      </c>
      <c r="C17" s="35" t="s">
        <v>90</v>
      </c>
      <c r="D17" s="35">
        <v>6272</v>
      </c>
    </row>
    <row r="18" spans="1:6" ht="14.5" thickBot="1" x14ac:dyDescent="0.35">
      <c r="A18" s="26"/>
      <c r="B18" s="36"/>
      <c r="C18" s="30" t="s">
        <v>94</v>
      </c>
      <c r="D18" s="30">
        <v>1</v>
      </c>
    </row>
    <row r="19" spans="1:6" x14ac:dyDescent="0.3">
      <c r="B19" s="21">
        <f>+SUM(B3:B18)</f>
        <v>1954593</v>
      </c>
      <c r="D19" s="21">
        <f>+SUM(D3:D18)</f>
        <v>301057</v>
      </c>
      <c r="F19" s="21">
        <f>+B19/(B19+D19)</f>
        <v>0.8665320417617981</v>
      </c>
    </row>
    <row r="22" spans="1:6" x14ac:dyDescent="0.3">
      <c r="B22" s="21">
        <f>+B19+D19</f>
        <v>2255650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97" workbookViewId="0">
      <selection activeCell="F156" sqref="F156"/>
    </sheetView>
  </sheetViews>
  <sheetFormatPr baseColWidth="10" defaultColWidth="8.6328125" defaultRowHeight="14" x14ac:dyDescent="0.3"/>
  <cols>
    <col min="1" max="1" width="21.453125" style="44" bestFit="1" customWidth="1"/>
    <col min="2" max="2" width="10.453125" style="45" bestFit="1" customWidth="1"/>
    <col min="3" max="3" width="17.1796875" style="44" customWidth="1"/>
    <col min="4" max="4" width="17.6328125" style="45" customWidth="1"/>
    <col min="5" max="16384" width="8.6328125" style="41"/>
  </cols>
  <sheetData>
    <row r="1" spans="1:4" x14ac:dyDescent="0.3">
      <c r="A1" s="138" t="s">
        <v>82</v>
      </c>
      <c r="B1" s="139"/>
      <c r="C1" s="138" t="s">
        <v>83</v>
      </c>
      <c r="D1" s="139"/>
    </row>
    <row r="2" spans="1:4" x14ac:dyDescent="0.3">
      <c r="A2" s="42" t="s">
        <v>87</v>
      </c>
      <c r="B2" s="43" t="s">
        <v>88</v>
      </c>
      <c r="C2" s="42" t="s">
        <v>87</v>
      </c>
      <c r="D2" s="43" t="s">
        <v>89</v>
      </c>
    </row>
    <row r="3" spans="1:4" x14ac:dyDescent="0.3">
      <c r="A3" s="44" t="s">
        <v>90</v>
      </c>
      <c r="B3" s="45">
        <v>69431.25</v>
      </c>
      <c r="C3" s="44" t="s">
        <v>91</v>
      </c>
      <c r="D3" s="45">
        <v>18816</v>
      </c>
    </row>
    <row r="4" spans="1:4" x14ac:dyDescent="0.3">
      <c r="A4" s="44" t="s">
        <v>98</v>
      </c>
      <c r="B4" s="45">
        <v>947072</v>
      </c>
      <c r="C4" s="44" t="s">
        <v>92</v>
      </c>
      <c r="D4" s="45">
        <v>25088</v>
      </c>
    </row>
    <row r="5" spans="1:4" x14ac:dyDescent="0.3">
      <c r="A5" s="44" t="s">
        <v>90</v>
      </c>
      <c r="B5" s="45">
        <v>150528</v>
      </c>
      <c r="C5" s="44" t="s">
        <v>90</v>
      </c>
      <c r="D5" s="45">
        <v>50176</v>
      </c>
    </row>
    <row r="6" spans="1:4" x14ac:dyDescent="0.3">
      <c r="A6" s="44" t="s">
        <v>90</v>
      </c>
      <c r="B6" s="45">
        <v>37632</v>
      </c>
      <c r="C6" s="44" t="s">
        <v>98</v>
      </c>
      <c r="D6" s="45">
        <v>37632</v>
      </c>
    </row>
    <row r="7" spans="1:4" x14ac:dyDescent="0.3">
      <c r="A7" s="44" t="s">
        <v>98</v>
      </c>
      <c r="B7" s="45">
        <v>2180096</v>
      </c>
      <c r="C7" s="44" t="s">
        <v>90</v>
      </c>
      <c r="D7" s="45">
        <v>12544</v>
      </c>
    </row>
    <row r="8" spans="1:4" x14ac:dyDescent="0.3">
      <c r="A8" s="44" t="s">
        <v>90</v>
      </c>
      <c r="B8" s="45">
        <v>150528</v>
      </c>
      <c r="C8" s="44" t="s">
        <v>99</v>
      </c>
      <c r="D8" s="45">
        <v>37632</v>
      </c>
    </row>
    <row r="9" spans="1:4" x14ac:dyDescent="0.3">
      <c r="A9" s="44" t="s">
        <v>90</v>
      </c>
      <c r="B9" s="45">
        <v>62720</v>
      </c>
      <c r="C9" s="44" t="s">
        <v>90</v>
      </c>
      <c r="D9" s="45">
        <v>50176</v>
      </c>
    </row>
    <row r="10" spans="1:4" x14ac:dyDescent="0.3">
      <c r="A10" s="44" t="s">
        <v>98</v>
      </c>
      <c r="B10" s="45">
        <v>3638912</v>
      </c>
      <c r="C10" s="44" t="s">
        <v>98</v>
      </c>
      <c r="D10" s="45">
        <v>62720</v>
      </c>
    </row>
    <row r="11" spans="1:4" x14ac:dyDescent="0.3">
      <c r="A11" s="44" t="s">
        <v>90</v>
      </c>
      <c r="B11" s="45">
        <v>150528</v>
      </c>
      <c r="C11" s="44" t="s">
        <v>90</v>
      </c>
      <c r="D11" s="45">
        <v>12544</v>
      </c>
    </row>
    <row r="12" spans="1:4" x14ac:dyDescent="0.3">
      <c r="A12" s="44" t="s">
        <v>90</v>
      </c>
      <c r="B12" s="45">
        <v>87808</v>
      </c>
      <c r="C12" s="44" t="s">
        <v>99</v>
      </c>
      <c r="D12" s="45">
        <v>62720</v>
      </c>
    </row>
    <row r="13" spans="1:4" x14ac:dyDescent="0.3">
      <c r="A13" s="44" t="s">
        <v>98</v>
      </c>
      <c r="B13" s="45">
        <v>5323520</v>
      </c>
      <c r="C13" s="44" t="s">
        <v>90</v>
      </c>
      <c r="D13" s="45">
        <v>50176</v>
      </c>
    </row>
    <row r="14" spans="1:4" x14ac:dyDescent="0.3">
      <c r="A14" s="44" t="s">
        <v>100</v>
      </c>
      <c r="B14" s="45">
        <v>5373696</v>
      </c>
      <c r="C14" s="44" t="s">
        <v>98</v>
      </c>
      <c r="D14" s="45">
        <v>87808</v>
      </c>
    </row>
    <row r="15" spans="1:4" x14ac:dyDescent="0.3">
      <c r="A15" s="44" t="s">
        <v>90</v>
      </c>
      <c r="B15" s="45">
        <v>12544</v>
      </c>
      <c r="C15" s="44" t="s">
        <v>90</v>
      </c>
      <c r="D15" s="45">
        <v>12544</v>
      </c>
    </row>
    <row r="16" spans="1:4" x14ac:dyDescent="0.3">
      <c r="A16" s="44" t="s">
        <v>98</v>
      </c>
      <c r="B16" s="45">
        <v>5489728</v>
      </c>
      <c r="C16" s="44" t="s">
        <v>99</v>
      </c>
      <c r="D16" s="45">
        <v>87808</v>
      </c>
    </row>
    <row r="17" spans="1:4" x14ac:dyDescent="0.3">
      <c r="A17" s="44" t="s">
        <v>90</v>
      </c>
      <c r="B17" s="45">
        <v>37632</v>
      </c>
      <c r="C17" s="44" t="s">
        <v>90</v>
      </c>
      <c r="D17" s="45">
        <v>50176</v>
      </c>
    </row>
    <row r="18" spans="1:4" x14ac:dyDescent="0.3">
      <c r="A18" s="44" t="s">
        <v>90</v>
      </c>
      <c r="B18" s="45">
        <v>18816</v>
      </c>
      <c r="C18" s="44" t="s">
        <v>98</v>
      </c>
      <c r="D18" s="45">
        <v>12544</v>
      </c>
    </row>
    <row r="19" spans="1:4" x14ac:dyDescent="0.3">
      <c r="A19" s="44" t="s">
        <v>98</v>
      </c>
      <c r="B19" s="45">
        <v>5877376</v>
      </c>
      <c r="C19" s="44" t="s">
        <v>90</v>
      </c>
      <c r="D19" s="45">
        <v>3136</v>
      </c>
    </row>
    <row r="20" spans="1:4" x14ac:dyDescent="0.3">
      <c r="A20" s="44" t="s">
        <v>90</v>
      </c>
      <c r="B20" s="45">
        <v>37632</v>
      </c>
      <c r="C20" s="44" t="s">
        <v>100</v>
      </c>
      <c r="D20" s="45">
        <v>12544</v>
      </c>
    </row>
    <row r="21" spans="1:4" x14ac:dyDescent="0.3">
      <c r="A21" s="44" t="s">
        <v>90</v>
      </c>
      <c r="B21" s="45">
        <v>25088</v>
      </c>
      <c r="C21" s="44" t="s">
        <v>90</v>
      </c>
      <c r="D21" s="45">
        <v>12544</v>
      </c>
    </row>
    <row r="22" spans="1:4" x14ac:dyDescent="0.3">
      <c r="A22" s="44" t="s">
        <v>98</v>
      </c>
      <c r="B22" s="45">
        <v>6321472</v>
      </c>
      <c r="C22" s="44" t="s">
        <v>98</v>
      </c>
      <c r="D22" s="45">
        <v>18816</v>
      </c>
    </row>
    <row r="23" spans="1:4" x14ac:dyDescent="0.3">
      <c r="A23" s="44" t="s">
        <v>90</v>
      </c>
      <c r="B23" s="45">
        <v>37632</v>
      </c>
      <c r="C23" s="44" t="s">
        <v>90</v>
      </c>
      <c r="D23" s="45">
        <v>3136</v>
      </c>
    </row>
    <row r="24" spans="1:4" x14ac:dyDescent="0.3">
      <c r="A24" s="44" t="s">
        <v>90</v>
      </c>
      <c r="B24" s="45">
        <v>31360</v>
      </c>
      <c r="C24" s="44" t="s">
        <v>99</v>
      </c>
      <c r="D24" s="45">
        <v>18816</v>
      </c>
    </row>
    <row r="25" spans="1:4" x14ac:dyDescent="0.3">
      <c r="A25" s="44" t="s">
        <v>98</v>
      </c>
      <c r="B25" s="45">
        <v>6822016</v>
      </c>
      <c r="C25" s="44" t="s">
        <v>90</v>
      </c>
      <c r="D25" s="45">
        <v>12544</v>
      </c>
    </row>
    <row r="26" spans="1:4" x14ac:dyDescent="0.3">
      <c r="A26" s="44" t="s">
        <v>90</v>
      </c>
      <c r="B26" s="45">
        <v>37632</v>
      </c>
      <c r="C26" s="44" t="s">
        <v>98</v>
      </c>
      <c r="D26" s="45">
        <v>25088</v>
      </c>
    </row>
    <row r="27" spans="1:4" x14ac:dyDescent="0.3">
      <c r="A27" s="44" t="s">
        <v>90</v>
      </c>
      <c r="B27" s="45">
        <v>37632</v>
      </c>
      <c r="C27" s="44" t="s">
        <v>90</v>
      </c>
      <c r="D27" s="45">
        <v>3136</v>
      </c>
    </row>
    <row r="28" spans="1:4" x14ac:dyDescent="0.3">
      <c r="A28" s="44" t="s">
        <v>98</v>
      </c>
      <c r="B28" s="45">
        <v>7379008</v>
      </c>
      <c r="C28" s="44" t="s">
        <v>99</v>
      </c>
      <c r="D28" s="45">
        <v>25088</v>
      </c>
    </row>
    <row r="29" spans="1:4" x14ac:dyDescent="0.3">
      <c r="A29" s="44" t="s">
        <v>90</v>
      </c>
      <c r="B29" s="45">
        <v>37632</v>
      </c>
      <c r="C29" s="44" t="s">
        <v>90</v>
      </c>
      <c r="D29" s="45">
        <v>12544</v>
      </c>
    </row>
    <row r="30" spans="1:4" x14ac:dyDescent="0.3">
      <c r="A30" s="44" t="s">
        <v>90</v>
      </c>
      <c r="B30" s="45">
        <v>43904</v>
      </c>
      <c r="C30" s="44" t="s">
        <v>98</v>
      </c>
      <c r="D30" s="45">
        <v>31360</v>
      </c>
    </row>
    <row r="31" spans="1:4" x14ac:dyDescent="0.3">
      <c r="A31" s="44" t="s">
        <v>98</v>
      </c>
      <c r="B31" s="45">
        <v>7992448</v>
      </c>
      <c r="C31" s="44" t="s">
        <v>90</v>
      </c>
      <c r="D31" s="45">
        <v>3136</v>
      </c>
    </row>
    <row r="32" spans="1:4" x14ac:dyDescent="0.3">
      <c r="A32" s="44" t="s">
        <v>90</v>
      </c>
      <c r="B32" s="45">
        <v>37632</v>
      </c>
      <c r="C32" s="44" t="s">
        <v>99</v>
      </c>
      <c r="D32" s="45">
        <v>31360</v>
      </c>
    </row>
    <row r="33" spans="1:4" x14ac:dyDescent="0.3">
      <c r="A33" s="44" t="s">
        <v>90</v>
      </c>
      <c r="B33" s="45">
        <v>50176</v>
      </c>
      <c r="C33" s="44" t="s">
        <v>90</v>
      </c>
      <c r="D33" s="45">
        <v>12544</v>
      </c>
    </row>
    <row r="34" spans="1:4" x14ac:dyDescent="0.3">
      <c r="A34" s="44" t="s">
        <v>98</v>
      </c>
      <c r="B34" s="45">
        <v>9016704</v>
      </c>
      <c r="C34" s="44" t="s">
        <v>98</v>
      </c>
      <c r="D34" s="45">
        <v>37632</v>
      </c>
    </row>
    <row r="35" spans="1:4" x14ac:dyDescent="0.3">
      <c r="A35" s="44" t="s">
        <v>90</v>
      </c>
      <c r="B35" s="45">
        <v>9408</v>
      </c>
      <c r="C35" s="44" t="s">
        <v>90</v>
      </c>
      <c r="D35" s="45">
        <v>3136</v>
      </c>
    </row>
    <row r="36" spans="1:4" x14ac:dyDescent="0.3">
      <c r="A36" s="44" t="s">
        <v>90</v>
      </c>
      <c r="B36" s="45">
        <v>7056</v>
      </c>
      <c r="C36" s="44" t="s">
        <v>99</v>
      </c>
      <c r="D36" s="45">
        <v>37632</v>
      </c>
    </row>
    <row r="37" spans="1:4" x14ac:dyDescent="0.3">
      <c r="A37" s="44" t="s">
        <v>98</v>
      </c>
      <c r="B37" s="45">
        <v>9132192</v>
      </c>
      <c r="C37" s="44" t="s">
        <v>90</v>
      </c>
      <c r="D37" s="45">
        <v>12544</v>
      </c>
    </row>
    <row r="38" spans="1:4" x14ac:dyDescent="0.3">
      <c r="A38" s="44" t="s">
        <v>90</v>
      </c>
      <c r="B38" s="45">
        <v>9408</v>
      </c>
      <c r="C38" s="44" t="s">
        <v>98</v>
      </c>
      <c r="D38" s="45">
        <v>43904</v>
      </c>
    </row>
    <row r="39" spans="1:4" x14ac:dyDescent="0.3">
      <c r="A39" s="44" t="s">
        <v>90</v>
      </c>
      <c r="B39" s="45">
        <v>8624</v>
      </c>
      <c r="C39" s="44" t="s">
        <v>90</v>
      </c>
      <c r="D39" s="45">
        <v>3136</v>
      </c>
    </row>
    <row r="40" spans="1:4" x14ac:dyDescent="0.3">
      <c r="A40" s="44" t="s">
        <v>98</v>
      </c>
      <c r="B40" s="45">
        <v>9261792</v>
      </c>
      <c r="C40" s="44" t="s">
        <v>99</v>
      </c>
      <c r="D40" s="45">
        <v>43904</v>
      </c>
    </row>
    <row r="41" spans="1:4" x14ac:dyDescent="0.3">
      <c r="A41" s="44" t="s">
        <v>90</v>
      </c>
      <c r="B41" s="45">
        <v>9408</v>
      </c>
      <c r="C41" s="44" t="s">
        <v>90</v>
      </c>
      <c r="D41" s="45">
        <v>12544</v>
      </c>
    </row>
    <row r="42" spans="1:4" x14ac:dyDescent="0.3">
      <c r="A42" s="44" t="s">
        <v>90</v>
      </c>
      <c r="B42" s="45">
        <v>10192</v>
      </c>
      <c r="C42" s="44" t="s">
        <v>98</v>
      </c>
      <c r="D42" s="45">
        <v>50176</v>
      </c>
    </row>
    <row r="43" spans="1:4" x14ac:dyDescent="0.3">
      <c r="A43" s="44" t="s">
        <v>98</v>
      </c>
      <c r="B43" s="45">
        <v>9405504</v>
      </c>
      <c r="C43" s="44" t="s">
        <v>100</v>
      </c>
      <c r="D43" s="45">
        <v>6272</v>
      </c>
    </row>
    <row r="44" spans="1:4" x14ac:dyDescent="0.3">
      <c r="A44" s="44" t="s">
        <v>90</v>
      </c>
      <c r="B44" s="45">
        <v>9408</v>
      </c>
      <c r="C44" s="44" t="s">
        <v>90</v>
      </c>
      <c r="D44" s="45">
        <v>3136</v>
      </c>
    </row>
    <row r="45" spans="1:4" x14ac:dyDescent="0.3">
      <c r="A45" s="44" t="s">
        <v>90</v>
      </c>
      <c r="B45" s="45">
        <v>11760</v>
      </c>
      <c r="C45" s="44" t="s">
        <v>98</v>
      </c>
      <c r="D45" s="45">
        <v>7056</v>
      </c>
    </row>
    <row r="46" spans="1:4" x14ac:dyDescent="0.3">
      <c r="A46" s="44" t="s">
        <v>98</v>
      </c>
      <c r="B46" s="45">
        <v>9563328</v>
      </c>
      <c r="C46" s="44" t="s">
        <v>90</v>
      </c>
      <c r="D46" s="45">
        <v>784</v>
      </c>
    </row>
    <row r="47" spans="1:4" x14ac:dyDescent="0.3">
      <c r="A47" s="44" t="s">
        <v>90</v>
      </c>
      <c r="B47" s="45">
        <v>9408</v>
      </c>
      <c r="C47" s="44" t="s">
        <v>99</v>
      </c>
      <c r="D47" s="45">
        <v>7056</v>
      </c>
    </row>
    <row r="48" spans="1:4" x14ac:dyDescent="0.3">
      <c r="A48" s="44" t="s">
        <v>90</v>
      </c>
      <c r="B48" s="45">
        <v>13328</v>
      </c>
      <c r="C48" s="44" t="s">
        <v>90</v>
      </c>
      <c r="D48" s="45">
        <v>3136</v>
      </c>
    </row>
    <row r="49" spans="1:4" x14ac:dyDescent="0.3">
      <c r="A49" s="44" t="s">
        <v>98</v>
      </c>
      <c r="B49" s="45">
        <v>9735264</v>
      </c>
      <c r="C49" s="44" t="s">
        <v>98</v>
      </c>
      <c r="D49" s="45">
        <v>8624</v>
      </c>
    </row>
    <row r="50" spans="1:4" x14ac:dyDescent="0.3">
      <c r="A50" s="44" t="s">
        <v>90</v>
      </c>
      <c r="B50" s="45">
        <v>9408</v>
      </c>
      <c r="C50" s="44" t="s">
        <v>90</v>
      </c>
      <c r="D50" s="45">
        <v>784</v>
      </c>
    </row>
    <row r="51" spans="1:4" x14ac:dyDescent="0.3">
      <c r="A51" s="44" t="s">
        <v>90</v>
      </c>
      <c r="B51" s="45">
        <v>14896</v>
      </c>
      <c r="C51" s="44" t="s">
        <v>99</v>
      </c>
      <c r="D51" s="45">
        <v>8624</v>
      </c>
    </row>
    <row r="52" spans="1:4" x14ac:dyDescent="0.3">
      <c r="A52" s="44" t="s">
        <v>98</v>
      </c>
      <c r="B52" s="45">
        <v>9921312</v>
      </c>
      <c r="C52" s="44" t="s">
        <v>90</v>
      </c>
      <c r="D52" s="45">
        <v>3136</v>
      </c>
    </row>
    <row r="53" spans="1:4" x14ac:dyDescent="0.3">
      <c r="A53" s="44" t="s">
        <v>90</v>
      </c>
      <c r="B53" s="45">
        <v>9408</v>
      </c>
      <c r="C53" s="44" t="s">
        <v>98</v>
      </c>
      <c r="D53" s="45">
        <v>10192</v>
      </c>
    </row>
    <row r="54" spans="1:4" x14ac:dyDescent="0.3">
      <c r="A54" s="44" t="s">
        <v>90</v>
      </c>
      <c r="B54" s="45">
        <v>16464</v>
      </c>
      <c r="C54" s="44" t="s">
        <v>90</v>
      </c>
      <c r="D54" s="45">
        <v>784</v>
      </c>
    </row>
    <row r="55" spans="1:4" x14ac:dyDescent="0.3">
      <c r="A55" s="44" t="s">
        <v>98</v>
      </c>
      <c r="B55" s="45">
        <v>10121472</v>
      </c>
      <c r="C55" s="44" t="s">
        <v>99</v>
      </c>
      <c r="D55" s="45">
        <v>10192</v>
      </c>
    </row>
    <row r="56" spans="1:4" x14ac:dyDescent="0.3">
      <c r="A56" s="44" t="s">
        <v>90</v>
      </c>
      <c r="B56" s="45">
        <v>9408</v>
      </c>
      <c r="C56" s="44" t="s">
        <v>90</v>
      </c>
      <c r="D56" s="45">
        <v>3136</v>
      </c>
    </row>
    <row r="57" spans="1:4" x14ac:dyDescent="0.3">
      <c r="A57" s="44" t="s">
        <v>90</v>
      </c>
      <c r="B57" s="45">
        <v>18032</v>
      </c>
      <c r="C57" s="44" t="s">
        <v>98</v>
      </c>
      <c r="D57" s="45">
        <v>11760</v>
      </c>
    </row>
    <row r="58" spans="1:4" x14ac:dyDescent="0.3">
      <c r="A58" s="44" t="s">
        <v>98</v>
      </c>
      <c r="B58" s="45">
        <v>10335744</v>
      </c>
      <c r="C58" s="44" t="s">
        <v>90</v>
      </c>
      <c r="D58" s="45">
        <v>784</v>
      </c>
    </row>
    <row r="59" spans="1:4" x14ac:dyDescent="0.3">
      <c r="A59" s="44" t="s">
        <v>90</v>
      </c>
      <c r="B59" s="45">
        <v>9408</v>
      </c>
      <c r="C59" s="44" t="s">
        <v>99</v>
      </c>
      <c r="D59" s="45">
        <v>11760</v>
      </c>
    </row>
    <row r="60" spans="1:4" x14ac:dyDescent="0.3">
      <c r="A60" s="44" t="s">
        <v>90</v>
      </c>
      <c r="B60" s="45">
        <v>19600</v>
      </c>
      <c r="C60" s="44" t="s">
        <v>90</v>
      </c>
      <c r="D60" s="45">
        <v>3136</v>
      </c>
    </row>
    <row r="61" spans="1:4" x14ac:dyDescent="0.3">
      <c r="A61" s="44" t="s">
        <v>98</v>
      </c>
      <c r="B61" s="45">
        <v>10564128</v>
      </c>
      <c r="C61" s="44" t="s">
        <v>98</v>
      </c>
      <c r="D61" s="45">
        <v>13328</v>
      </c>
    </row>
    <row r="62" spans="1:4" x14ac:dyDescent="0.3">
      <c r="A62" s="44" t="s">
        <v>90</v>
      </c>
      <c r="B62" s="45">
        <v>9408</v>
      </c>
      <c r="C62" s="44" t="s">
        <v>90</v>
      </c>
      <c r="D62" s="45">
        <v>784</v>
      </c>
    </row>
    <row r="63" spans="1:4" x14ac:dyDescent="0.3">
      <c r="A63" s="44" t="s">
        <v>90</v>
      </c>
      <c r="B63" s="45">
        <v>21168</v>
      </c>
      <c r="C63" s="44" t="s">
        <v>99</v>
      </c>
      <c r="D63" s="45">
        <v>13328</v>
      </c>
    </row>
    <row r="64" spans="1:4" x14ac:dyDescent="0.3">
      <c r="A64" s="44" t="s">
        <v>98</v>
      </c>
      <c r="B64" s="45">
        <v>10806624</v>
      </c>
      <c r="C64" s="44" t="s">
        <v>90</v>
      </c>
      <c r="D64" s="45">
        <v>3136</v>
      </c>
    </row>
    <row r="65" spans="1:4" x14ac:dyDescent="0.3">
      <c r="A65" s="44" t="s">
        <v>90</v>
      </c>
      <c r="B65" s="45">
        <v>9408</v>
      </c>
      <c r="C65" s="44" t="s">
        <v>98</v>
      </c>
      <c r="D65" s="45">
        <v>14896</v>
      </c>
    </row>
    <row r="66" spans="1:4" x14ac:dyDescent="0.3">
      <c r="A66" s="44" t="s">
        <v>90</v>
      </c>
      <c r="B66" s="45">
        <v>22736</v>
      </c>
      <c r="C66" s="44" t="s">
        <v>90</v>
      </c>
      <c r="D66" s="45">
        <v>784</v>
      </c>
    </row>
    <row r="67" spans="1:4" x14ac:dyDescent="0.3">
      <c r="A67" s="44" t="s">
        <v>98</v>
      </c>
      <c r="B67" s="45">
        <v>11063232</v>
      </c>
      <c r="C67" s="44" t="s">
        <v>99</v>
      </c>
      <c r="D67" s="45">
        <v>14896</v>
      </c>
    </row>
    <row r="68" spans="1:4" x14ac:dyDescent="0.3">
      <c r="A68" s="44" t="s">
        <v>90</v>
      </c>
      <c r="B68" s="45">
        <v>9408</v>
      </c>
      <c r="C68" s="44" t="s">
        <v>90</v>
      </c>
      <c r="D68" s="45">
        <v>3136</v>
      </c>
    </row>
    <row r="69" spans="1:4" x14ac:dyDescent="0.3">
      <c r="A69" s="44" t="s">
        <v>90</v>
      </c>
      <c r="B69" s="45">
        <v>24304</v>
      </c>
      <c r="C69" s="44" t="s">
        <v>98</v>
      </c>
      <c r="D69" s="45">
        <v>16464</v>
      </c>
    </row>
    <row r="70" spans="1:4" x14ac:dyDescent="0.3">
      <c r="A70" s="44" t="s">
        <v>98</v>
      </c>
      <c r="B70" s="45">
        <v>11333952</v>
      </c>
      <c r="C70" s="44" t="s">
        <v>90</v>
      </c>
      <c r="D70" s="45">
        <v>784</v>
      </c>
    </row>
    <row r="71" spans="1:4" x14ac:dyDescent="0.3">
      <c r="A71" s="44" t="s">
        <v>100</v>
      </c>
      <c r="B71" s="45">
        <v>11346496</v>
      </c>
      <c r="C71" s="44" t="s">
        <v>99</v>
      </c>
      <c r="D71" s="45">
        <v>16464</v>
      </c>
    </row>
    <row r="72" spans="1:4" x14ac:dyDescent="0.3">
      <c r="A72" s="44" t="s">
        <v>90</v>
      </c>
      <c r="B72" s="45">
        <v>3136</v>
      </c>
      <c r="C72" s="44" t="s">
        <v>90</v>
      </c>
      <c r="D72" s="45">
        <v>3136</v>
      </c>
    </row>
    <row r="73" spans="1:4" x14ac:dyDescent="0.3">
      <c r="A73" s="44" t="s">
        <v>98</v>
      </c>
      <c r="B73" s="45">
        <v>11374916</v>
      </c>
      <c r="C73" s="44" t="s">
        <v>98</v>
      </c>
      <c r="D73" s="45">
        <v>18032</v>
      </c>
    </row>
    <row r="74" spans="1:4" x14ac:dyDescent="0.3">
      <c r="A74" s="44" t="s">
        <v>90</v>
      </c>
      <c r="B74" s="45">
        <v>2352</v>
      </c>
      <c r="C74" s="44" t="s">
        <v>90</v>
      </c>
      <c r="D74" s="45">
        <v>784</v>
      </c>
    </row>
    <row r="75" spans="1:4" x14ac:dyDescent="0.3">
      <c r="A75" s="44" t="s">
        <v>90</v>
      </c>
      <c r="B75" s="45">
        <v>3528</v>
      </c>
      <c r="C75" s="44" t="s">
        <v>99</v>
      </c>
      <c r="D75" s="45">
        <v>18032</v>
      </c>
    </row>
    <row r="76" spans="1:4" x14ac:dyDescent="0.3">
      <c r="A76" s="44" t="s">
        <v>98</v>
      </c>
      <c r="B76" s="45">
        <v>11418416</v>
      </c>
      <c r="C76" s="44" t="s">
        <v>90</v>
      </c>
      <c r="D76" s="45">
        <v>3136</v>
      </c>
    </row>
    <row r="77" spans="1:4" x14ac:dyDescent="0.3">
      <c r="A77" s="44" t="s">
        <v>90</v>
      </c>
      <c r="B77" s="45">
        <v>2352</v>
      </c>
      <c r="C77" s="44" t="s">
        <v>98</v>
      </c>
      <c r="D77" s="45">
        <v>19600</v>
      </c>
    </row>
    <row r="78" spans="1:4" x14ac:dyDescent="0.3">
      <c r="A78" s="44" t="s">
        <v>90</v>
      </c>
      <c r="B78" s="45">
        <v>3920</v>
      </c>
      <c r="C78" s="44" t="s">
        <v>90</v>
      </c>
      <c r="D78" s="45">
        <v>784</v>
      </c>
    </row>
    <row r="79" spans="1:4" x14ac:dyDescent="0.3">
      <c r="A79" s="44" t="s">
        <v>98</v>
      </c>
      <c r="B79" s="45">
        <v>11465444</v>
      </c>
      <c r="C79" s="44" t="s">
        <v>99</v>
      </c>
      <c r="D79" s="45">
        <v>19600</v>
      </c>
    </row>
    <row r="80" spans="1:4" x14ac:dyDescent="0.3">
      <c r="A80" s="44" t="s">
        <v>90</v>
      </c>
      <c r="B80" s="45">
        <v>2352</v>
      </c>
      <c r="C80" s="44" t="s">
        <v>90</v>
      </c>
      <c r="D80" s="45">
        <v>3136</v>
      </c>
    </row>
    <row r="81" spans="1:4" x14ac:dyDescent="0.3">
      <c r="A81" s="44" t="s">
        <v>90</v>
      </c>
      <c r="B81" s="45">
        <v>4312</v>
      </c>
      <c r="C81" s="44" t="s">
        <v>98</v>
      </c>
      <c r="D81" s="45">
        <v>21168</v>
      </c>
    </row>
    <row r="82" spans="1:4" x14ac:dyDescent="0.3">
      <c r="A82" s="44" t="s">
        <v>98</v>
      </c>
      <c r="B82" s="45">
        <v>11516000</v>
      </c>
      <c r="C82" s="44" t="s">
        <v>90</v>
      </c>
      <c r="D82" s="45">
        <v>784</v>
      </c>
    </row>
    <row r="83" spans="1:4" x14ac:dyDescent="0.3">
      <c r="A83" s="44" t="s">
        <v>90</v>
      </c>
      <c r="B83" s="45">
        <v>2352</v>
      </c>
      <c r="C83" s="44" t="s">
        <v>99</v>
      </c>
      <c r="D83" s="45">
        <v>21168</v>
      </c>
    </row>
    <row r="84" spans="1:4" x14ac:dyDescent="0.3">
      <c r="A84" s="44" t="s">
        <v>90</v>
      </c>
      <c r="B84" s="45">
        <v>4704</v>
      </c>
      <c r="C84" s="44" t="s">
        <v>90</v>
      </c>
      <c r="D84" s="45">
        <v>3136</v>
      </c>
    </row>
    <row r="85" spans="1:4" x14ac:dyDescent="0.3">
      <c r="A85" s="44" t="s">
        <v>98</v>
      </c>
      <c r="B85" s="45">
        <v>11570084</v>
      </c>
      <c r="C85" s="44" t="s">
        <v>98</v>
      </c>
      <c r="D85" s="45">
        <v>22736</v>
      </c>
    </row>
    <row r="86" spans="1:4" x14ac:dyDescent="0.3">
      <c r="A86" s="44" t="s">
        <v>90</v>
      </c>
      <c r="B86" s="45">
        <v>2352</v>
      </c>
      <c r="C86" s="44" t="s">
        <v>90</v>
      </c>
      <c r="D86" s="45">
        <v>784</v>
      </c>
    </row>
    <row r="87" spans="1:4" x14ac:dyDescent="0.3">
      <c r="A87" s="44" t="s">
        <v>90</v>
      </c>
      <c r="B87" s="45">
        <v>5096</v>
      </c>
      <c r="C87" s="44" t="s">
        <v>99</v>
      </c>
      <c r="D87" s="45">
        <v>22736</v>
      </c>
    </row>
    <row r="88" spans="1:4" x14ac:dyDescent="0.3">
      <c r="A88" s="44" t="s">
        <v>98</v>
      </c>
      <c r="B88" s="45">
        <v>11627696</v>
      </c>
      <c r="C88" s="44" t="s">
        <v>90</v>
      </c>
      <c r="D88" s="45">
        <v>3136</v>
      </c>
    </row>
    <row r="89" spans="1:4" x14ac:dyDescent="0.3">
      <c r="A89" s="44" t="s">
        <v>90</v>
      </c>
      <c r="B89" s="45">
        <v>2352</v>
      </c>
      <c r="C89" s="44" t="s">
        <v>98</v>
      </c>
      <c r="D89" s="45">
        <v>24304</v>
      </c>
    </row>
    <row r="90" spans="1:4" x14ac:dyDescent="0.3">
      <c r="A90" s="44" t="s">
        <v>90</v>
      </c>
      <c r="B90" s="45">
        <v>5488</v>
      </c>
      <c r="C90" s="44" t="s">
        <v>90</v>
      </c>
      <c r="D90" s="45">
        <v>784</v>
      </c>
    </row>
    <row r="91" spans="1:4" x14ac:dyDescent="0.3">
      <c r="A91" s="44" t="s">
        <v>98</v>
      </c>
      <c r="B91" s="45">
        <v>11688836</v>
      </c>
      <c r="C91" s="44" t="s">
        <v>99</v>
      </c>
      <c r="D91" s="45">
        <v>24304</v>
      </c>
    </row>
    <row r="92" spans="1:4" x14ac:dyDescent="0.3">
      <c r="A92" s="44" t="s">
        <v>90</v>
      </c>
      <c r="B92" s="45">
        <v>2352</v>
      </c>
      <c r="C92" s="44" t="s">
        <v>90</v>
      </c>
      <c r="D92" s="45">
        <v>12544</v>
      </c>
    </row>
    <row r="93" spans="1:4" x14ac:dyDescent="0.3">
      <c r="A93" s="44" t="s">
        <v>90</v>
      </c>
      <c r="B93" s="45">
        <v>5880</v>
      </c>
      <c r="C93" s="44" t="s">
        <v>98</v>
      </c>
      <c r="D93" s="45">
        <v>3136</v>
      </c>
    </row>
    <row r="94" spans="1:4" x14ac:dyDescent="0.3">
      <c r="A94" s="44" t="s">
        <v>98</v>
      </c>
      <c r="B94" s="45">
        <v>11753504</v>
      </c>
      <c r="C94" s="44" t="s">
        <v>90</v>
      </c>
      <c r="D94" s="45">
        <v>196</v>
      </c>
    </row>
    <row r="95" spans="1:4" x14ac:dyDescent="0.3">
      <c r="A95" s="44" t="s">
        <v>90</v>
      </c>
      <c r="B95" s="45">
        <v>2352</v>
      </c>
      <c r="C95" s="44" t="s">
        <v>100</v>
      </c>
      <c r="D95" s="45">
        <v>3136</v>
      </c>
    </row>
    <row r="96" spans="1:4" x14ac:dyDescent="0.3">
      <c r="A96" s="44" t="s">
        <v>94</v>
      </c>
      <c r="B96" s="45">
        <v>11771328</v>
      </c>
      <c r="C96" s="44" t="s">
        <v>90</v>
      </c>
      <c r="D96" s="45">
        <v>784</v>
      </c>
    </row>
    <row r="97" spans="2:4" x14ac:dyDescent="0.3">
      <c r="C97" s="44" t="s">
        <v>98</v>
      </c>
      <c r="D97" s="45">
        <v>3528</v>
      </c>
    </row>
    <row r="98" spans="2:4" x14ac:dyDescent="0.3">
      <c r="B98" s="45">
        <f>+SUM(B3:B96)</f>
        <v>304649735.25</v>
      </c>
      <c r="C98" s="44" t="s">
        <v>90</v>
      </c>
      <c r="D98" s="45">
        <v>196</v>
      </c>
    </row>
    <row r="99" spans="2:4" x14ac:dyDescent="0.3">
      <c r="C99" s="44" t="s">
        <v>99</v>
      </c>
      <c r="D99" s="45">
        <v>3528</v>
      </c>
    </row>
    <row r="100" spans="2:4" x14ac:dyDescent="0.3">
      <c r="C100" s="44" t="s">
        <v>90</v>
      </c>
      <c r="D100" s="45">
        <v>784</v>
      </c>
    </row>
    <row r="101" spans="2:4" x14ac:dyDescent="0.3">
      <c r="C101" s="44" t="s">
        <v>98</v>
      </c>
      <c r="D101" s="45">
        <v>3920</v>
      </c>
    </row>
    <row r="102" spans="2:4" x14ac:dyDescent="0.3">
      <c r="C102" s="44" t="s">
        <v>90</v>
      </c>
      <c r="D102" s="45">
        <v>196</v>
      </c>
    </row>
    <row r="103" spans="2:4" x14ac:dyDescent="0.3">
      <c r="C103" s="44" t="s">
        <v>99</v>
      </c>
      <c r="D103" s="45">
        <v>3920</v>
      </c>
    </row>
    <row r="104" spans="2:4" x14ac:dyDescent="0.3">
      <c r="C104" s="44" t="s">
        <v>90</v>
      </c>
      <c r="D104" s="45">
        <v>784</v>
      </c>
    </row>
    <row r="105" spans="2:4" x14ac:dyDescent="0.3">
      <c r="C105" s="44" t="s">
        <v>98</v>
      </c>
      <c r="D105" s="45">
        <v>4312</v>
      </c>
    </row>
    <row r="106" spans="2:4" x14ac:dyDescent="0.3">
      <c r="C106" s="44" t="s">
        <v>90</v>
      </c>
      <c r="D106" s="45">
        <v>196</v>
      </c>
    </row>
    <row r="107" spans="2:4" x14ac:dyDescent="0.3">
      <c r="C107" s="44" t="s">
        <v>99</v>
      </c>
      <c r="D107" s="45">
        <v>4312</v>
      </c>
    </row>
    <row r="108" spans="2:4" x14ac:dyDescent="0.3">
      <c r="C108" s="44" t="s">
        <v>90</v>
      </c>
      <c r="D108" s="45">
        <v>784</v>
      </c>
    </row>
    <row r="109" spans="2:4" x14ac:dyDescent="0.3">
      <c r="C109" s="44" t="s">
        <v>98</v>
      </c>
      <c r="D109" s="45">
        <v>4704</v>
      </c>
    </row>
    <row r="110" spans="2:4" x14ac:dyDescent="0.3">
      <c r="C110" s="44" t="s">
        <v>90</v>
      </c>
      <c r="D110" s="45">
        <v>196</v>
      </c>
    </row>
    <row r="111" spans="2:4" x14ac:dyDescent="0.3">
      <c r="C111" s="44" t="s">
        <v>99</v>
      </c>
      <c r="D111" s="45">
        <v>4704</v>
      </c>
    </row>
    <row r="112" spans="2:4" x14ac:dyDescent="0.3">
      <c r="C112" s="44" t="s">
        <v>90</v>
      </c>
      <c r="D112" s="45">
        <v>784</v>
      </c>
    </row>
    <row r="113" spans="2:4" x14ac:dyDescent="0.3">
      <c r="C113" s="44" t="s">
        <v>98</v>
      </c>
      <c r="D113" s="45">
        <v>5096</v>
      </c>
    </row>
    <row r="114" spans="2:4" x14ac:dyDescent="0.3">
      <c r="C114" s="44" t="s">
        <v>90</v>
      </c>
      <c r="D114" s="45">
        <v>196</v>
      </c>
    </row>
    <row r="115" spans="2:4" x14ac:dyDescent="0.3">
      <c r="C115" s="44" t="s">
        <v>99</v>
      </c>
      <c r="D115" s="45">
        <v>5096</v>
      </c>
    </row>
    <row r="116" spans="2:4" x14ac:dyDescent="0.3">
      <c r="C116" s="44" t="s">
        <v>90</v>
      </c>
      <c r="D116" s="45">
        <v>784</v>
      </c>
    </row>
    <row r="117" spans="2:4" x14ac:dyDescent="0.3">
      <c r="C117" s="44" t="s">
        <v>98</v>
      </c>
      <c r="D117" s="45">
        <v>5488</v>
      </c>
    </row>
    <row r="118" spans="2:4" x14ac:dyDescent="0.3">
      <c r="C118" s="44" t="s">
        <v>90</v>
      </c>
      <c r="D118" s="45">
        <v>196</v>
      </c>
    </row>
    <row r="119" spans="2:4" x14ac:dyDescent="0.3">
      <c r="C119" s="44" t="s">
        <v>99</v>
      </c>
      <c r="D119" s="45">
        <v>5488</v>
      </c>
    </row>
    <row r="120" spans="2:4" x14ac:dyDescent="0.3">
      <c r="C120" s="44" t="s">
        <v>90</v>
      </c>
      <c r="D120" s="45">
        <v>784</v>
      </c>
    </row>
    <row r="121" spans="2:4" x14ac:dyDescent="0.3">
      <c r="C121" s="44" t="s">
        <v>98</v>
      </c>
      <c r="D121" s="45">
        <v>5880</v>
      </c>
    </row>
    <row r="122" spans="2:4" x14ac:dyDescent="0.3">
      <c r="C122" s="44" t="s">
        <v>90</v>
      </c>
      <c r="D122" s="45">
        <v>196</v>
      </c>
    </row>
    <row r="123" spans="2:4" x14ac:dyDescent="0.3">
      <c r="C123" s="44" t="s">
        <v>101</v>
      </c>
      <c r="D123" s="45">
        <v>196</v>
      </c>
    </row>
    <row r="124" spans="2:4" x14ac:dyDescent="0.3">
      <c r="C124" s="44" t="s">
        <v>90</v>
      </c>
      <c r="D124" s="45">
        <v>784</v>
      </c>
    </row>
    <row r="125" spans="2:4" x14ac:dyDescent="0.3">
      <c r="C125" s="44" t="s">
        <v>98</v>
      </c>
      <c r="D125" s="45">
        <v>6272</v>
      </c>
    </row>
    <row r="126" spans="2:4" x14ac:dyDescent="0.3">
      <c r="C126" s="44" t="s">
        <v>93</v>
      </c>
      <c r="D126" s="45">
        <v>1</v>
      </c>
    </row>
    <row r="128" spans="2:4" x14ac:dyDescent="0.3">
      <c r="B128" s="45">
        <v>304649735.25</v>
      </c>
      <c r="D128" s="45">
        <f>+SUM(D3:D126)</f>
        <v>1664237</v>
      </c>
    </row>
    <row r="129" spans="2:7" x14ac:dyDescent="0.3">
      <c r="G129" s="41">
        <f>+B128/(B128+D128)</f>
        <v>0.99456689165115286</v>
      </c>
    </row>
    <row r="134" spans="2:7" x14ac:dyDescent="0.3">
      <c r="B134" s="45">
        <f>+B128+D128</f>
        <v>306313972.25</v>
      </c>
    </row>
  </sheetData>
  <autoFilter ref="D3:E133"/>
  <mergeCells count="2">
    <mergeCell ref="A1:B1"/>
    <mergeCell ref="C1:D1"/>
  </mergeCells>
  <conditionalFormatting sqref="D3:E1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Energía_final</vt:lpstr>
      <vt:lpstr>Hoja 1 </vt:lpstr>
      <vt:lpstr>energia_esp</vt:lpstr>
      <vt:lpstr>Hoja2</vt:lpstr>
      <vt:lpstr>Hoja3</vt:lpstr>
      <vt:lpstr>VBW_Lect_Esc_PE_16</vt:lpstr>
      <vt:lpstr>AlexNet</vt:lpstr>
      <vt:lpstr>SqueezNet</vt:lpstr>
      <vt:lpstr>DenseNet</vt:lpstr>
      <vt:lpstr>MobileNet</vt:lpstr>
      <vt:lpstr>VGG16</vt:lpstr>
      <vt:lpstr>ZFNet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2023-03-09T13:43:39Z</dcterms:created>
  <dcterms:modified xsi:type="dcterms:W3CDTF">2023-07-10T16:32:49Z</dcterms:modified>
</cp:coreProperties>
</file>