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rubengran/Desktop/"/>
    </mc:Choice>
  </mc:AlternateContent>
  <xr:revisionPtr revIDLastSave="0" documentId="8_{85227882-5755-B944-8828-A0CB0D57E256}" xr6:coauthVersionLast="47" xr6:coauthVersionMax="47" xr10:uidLastSave="{00000000-0000-0000-0000-000000000000}"/>
  <bookViews>
    <workbookView xWindow="0" yWindow="0" windowWidth="38400" windowHeight="24000" activeTab="9" xr2:uid="{00000000-000D-0000-FFFF-FFFF00000000}"/>
  </bookViews>
  <sheets>
    <sheet name="Graficar" sheetId="9" r:id="rId1"/>
    <sheet name="escrituras" sheetId="11" r:id="rId2"/>
    <sheet name="Hoja 1" sheetId="1" r:id="rId3"/>
    <sheet name="PC_Alex" sheetId="20" r:id="rId4"/>
    <sheet name="PC_Mobile" sheetId="21" r:id="rId5"/>
    <sheet name="PC_Squeez" sheetId="22" r:id="rId6"/>
    <sheet name="PC_VGG16" sheetId="23" r:id="rId7"/>
    <sheet name="PC_ZF" sheetId="24" r:id="rId8"/>
    <sheet name="PC_VGG19" sheetId="25" r:id="rId9"/>
    <sheet name="PC_Dense" sheetId="26" r:id="rId10"/>
    <sheet name="PC_Res" sheetId="27" r:id="rId11"/>
    <sheet name="PC_Inception" sheetId="28" r:id="rId12"/>
    <sheet name="PC_Xception" sheetId="29" r:id="rId13"/>
    <sheet name="VBW_Lect_Esc_PE_16" sheetId="2" r:id="rId14"/>
    <sheet name="AlexNet" sheetId="3" state="hidden" r:id="rId15"/>
    <sheet name="SqueezNet" sheetId="4" state="hidden" r:id="rId16"/>
    <sheet name="DenseNet" sheetId="8" state="hidden" r:id="rId17"/>
    <sheet name="MobileNet" sheetId="5" state="hidden" r:id="rId18"/>
    <sheet name="VGG16" sheetId="6" state="hidden" r:id="rId19"/>
    <sheet name="ZFNet" sheetId="7" state="hidden" r:id="rId20"/>
  </sheets>
  <externalReferences>
    <externalReference r:id="rId21"/>
    <externalReference r:id="rId22"/>
  </externalReferences>
  <definedNames>
    <definedName name="_xlnm._FilterDatabase" localSheetId="16" hidden="1">DenseNet!$D$3:$E$133</definedName>
    <definedName name="_xlnm._FilterDatabase" localSheetId="3" hidden="1">PC_Alex!$F$1:$F$19</definedName>
    <definedName name="_xlnm._FilterDatabase" localSheetId="9" hidden="1">PC_Dense!$F$1:$F$198</definedName>
    <definedName name="_xlnm._FilterDatabase" localSheetId="11" hidden="1">PC_Inception!$E$1:$F$172</definedName>
    <definedName name="_xlnm._FilterDatabase" localSheetId="4" hidden="1">PC_Mobile!$A$1:$K$32</definedName>
    <definedName name="_xlnm._FilterDatabase" localSheetId="10" hidden="1">PC_Res!$F$1:$F$65</definedName>
    <definedName name="_xlnm._FilterDatabase" localSheetId="5" hidden="1">PC_Squeez!$F$1:$F$38</definedName>
    <definedName name="_xlnm._FilterDatabase" localSheetId="6" hidden="1">PC_VGG16!$A$1:$M$26</definedName>
    <definedName name="_xlnm._FilterDatabase" localSheetId="8" hidden="1">PC_VGG19!$F$1:$F$35</definedName>
    <definedName name="_xlnm._FilterDatabase" localSheetId="12" hidden="1">PC_Xception!$E$1:$E$55</definedName>
  </definedNames>
  <calcPr calcId="191029"/>
</workbook>
</file>

<file path=xl/calcChain.xml><?xml version="1.0" encoding="utf-8"?>
<calcChain xmlns="http://schemas.openxmlformats.org/spreadsheetml/2006/main">
  <c r="F204" i="26" l="1"/>
  <c r="F203" i="26"/>
  <c r="G374" i="26"/>
  <c r="G375" i="26"/>
  <c r="G376" i="26"/>
  <c r="G377" i="26"/>
  <c r="G378" i="26"/>
  <c r="G379" i="26"/>
  <c r="G380" i="26"/>
  <c r="G381" i="26"/>
  <c r="G382" i="26"/>
  <c r="G383" i="26"/>
  <c r="G384" i="26"/>
  <c r="G385" i="26"/>
  <c r="G386" i="26"/>
  <c r="G387" i="26"/>
  <c r="G388" i="26"/>
  <c r="G389" i="26"/>
  <c r="G390" i="26"/>
  <c r="G357" i="26"/>
  <c r="G358" i="26"/>
  <c r="G359" i="26"/>
  <c r="G360" i="26"/>
  <c r="G361" i="26"/>
  <c r="G362" i="26"/>
  <c r="G363" i="26"/>
  <c r="G364" i="26"/>
  <c r="G365" i="26"/>
  <c r="G366" i="26"/>
  <c r="G367" i="26"/>
  <c r="G368" i="26"/>
  <c r="G369" i="26"/>
  <c r="G370" i="26"/>
  <c r="G371" i="26"/>
  <c r="G372" i="26"/>
  <c r="G373" i="26"/>
  <c r="G342" i="26"/>
  <c r="G343" i="26"/>
  <c r="G344" i="26"/>
  <c r="G345" i="26"/>
  <c r="G346" i="26"/>
  <c r="G347" i="26"/>
  <c r="G348" i="26"/>
  <c r="G349" i="26"/>
  <c r="G350" i="26"/>
  <c r="G351" i="26"/>
  <c r="G352" i="26"/>
  <c r="G353" i="26"/>
  <c r="G354" i="26"/>
  <c r="G355" i="26"/>
  <c r="G356" i="26"/>
  <c r="G204" i="26"/>
  <c r="G205" i="26"/>
  <c r="G206" i="26"/>
  <c r="G207" i="26"/>
  <c r="G208" i="26"/>
  <c r="G209" i="26"/>
  <c r="G210" i="26"/>
  <c r="G211" i="26"/>
  <c r="G212" i="26"/>
  <c r="G213" i="26"/>
  <c r="G214" i="26"/>
  <c r="G215" i="26"/>
  <c r="G216" i="26"/>
  <c r="G217" i="26"/>
  <c r="G218" i="26"/>
  <c r="G219" i="26"/>
  <c r="G220" i="26"/>
  <c r="G221" i="26"/>
  <c r="G222" i="26"/>
  <c r="G223" i="26"/>
  <c r="G224" i="26"/>
  <c r="G225" i="26"/>
  <c r="G226" i="26"/>
  <c r="G227" i="26"/>
  <c r="G228" i="26"/>
  <c r="G229" i="26"/>
  <c r="G230" i="26"/>
  <c r="G231" i="26"/>
  <c r="G232" i="26"/>
  <c r="G233" i="26"/>
  <c r="G234" i="26"/>
  <c r="G235" i="26"/>
  <c r="G236" i="26"/>
  <c r="G237" i="26"/>
  <c r="G238" i="26"/>
  <c r="G239" i="26"/>
  <c r="G240" i="26"/>
  <c r="G241" i="26"/>
  <c r="G242" i="26"/>
  <c r="G243" i="26"/>
  <c r="G244" i="26"/>
  <c r="G245" i="26"/>
  <c r="G246" i="26"/>
  <c r="G247" i="26"/>
  <c r="G248" i="26"/>
  <c r="G249" i="26"/>
  <c r="G250" i="26"/>
  <c r="G251" i="26"/>
  <c r="G252" i="26"/>
  <c r="G253" i="26"/>
  <c r="G254" i="26"/>
  <c r="G255" i="26"/>
  <c r="G256" i="26"/>
  <c r="G257" i="26"/>
  <c r="G258" i="26"/>
  <c r="G259" i="26"/>
  <c r="G260" i="26"/>
  <c r="G261" i="26"/>
  <c r="G262" i="26"/>
  <c r="G263" i="26"/>
  <c r="G264" i="26"/>
  <c r="G265" i="26"/>
  <c r="G266" i="26"/>
  <c r="G267" i="26"/>
  <c r="G268" i="26"/>
  <c r="G269" i="26"/>
  <c r="G270" i="26"/>
  <c r="G271" i="26"/>
  <c r="G272" i="26"/>
  <c r="G273" i="26"/>
  <c r="G274" i="26"/>
  <c r="G275" i="26"/>
  <c r="G276" i="26"/>
  <c r="G277" i="26"/>
  <c r="G278" i="26"/>
  <c r="G279" i="26"/>
  <c r="G280" i="26"/>
  <c r="G281" i="26"/>
  <c r="G282" i="26"/>
  <c r="G283" i="26"/>
  <c r="G284" i="26"/>
  <c r="G285" i="26"/>
  <c r="G286" i="26"/>
  <c r="G287" i="26"/>
  <c r="G288" i="26"/>
  <c r="G289" i="26"/>
  <c r="G290" i="26"/>
  <c r="G291" i="26"/>
  <c r="G292" i="26"/>
  <c r="G293" i="26"/>
  <c r="G294" i="26"/>
  <c r="G295" i="26"/>
  <c r="G296" i="26"/>
  <c r="G297" i="26"/>
  <c r="G298" i="26"/>
  <c r="G299" i="26"/>
  <c r="G300" i="26"/>
  <c r="G301" i="26"/>
  <c r="G302" i="26"/>
  <c r="G303" i="26"/>
  <c r="G304" i="26"/>
  <c r="G305" i="26"/>
  <c r="G306" i="26"/>
  <c r="G307" i="26"/>
  <c r="G308" i="26"/>
  <c r="G309" i="26"/>
  <c r="G310" i="26"/>
  <c r="G311" i="26"/>
  <c r="G312" i="26"/>
  <c r="G313" i="26"/>
  <c r="G314" i="26"/>
  <c r="G315" i="26"/>
  <c r="G316" i="26"/>
  <c r="G317" i="26"/>
  <c r="G318" i="26"/>
  <c r="G319" i="26"/>
  <c r="G320" i="26"/>
  <c r="G321" i="26"/>
  <c r="G322" i="26"/>
  <c r="G323" i="26"/>
  <c r="G324" i="26"/>
  <c r="G325" i="26"/>
  <c r="G326" i="26"/>
  <c r="G327" i="26"/>
  <c r="G328" i="26"/>
  <c r="G329" i="26"/>
  <c r="G330" i="26"/>
  <c r="G331" i="26"/>
  <c r="G332" i="26"/>
  <c r="G333" i="26"/>
  <c r="G334" i="26"/>
  <c r="G335" i="26"/>
  <c r="G336" i="26"/>
  <c r="G337" i="26"/>
  <c r="G338" i="26"/>
  <c r="G339" i="26"/>
  <c r="G340" i="26"/>
  <c r="G341" i="26"/>
  <c r="G203" i="26"/>
  <c r="N42" i="1"/>
  <c r="E182" i="28"/>
  <c r="E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213" i="28"/>
  <c r="F214" i="28"/>
  <c r="F215" i="28"/>
  <c r="F216" i="28"/>
  <c r="F217" i="28"/>
  <c r="F218" i="28"/>
  <c r="F219" i="28"/>
  <c r="F220" i="28"/>
  <c r="F221" i="28"/>
  <c r="F222" i="28"/>
  <c r="F223" i="28"/>
  <c r="F224" i="28"/>
  <c r="F225" i="28"/>
  <c r="F226" i="28"/>
  <c r="F227" i="28"/>
  <c r="F228" i="28"/>
  <c r="F229" i="28"/>
  <c r="F230" i="28"/>
  <c r="F231" i="28"/>
  <c r="F232" i="28"/>
  <c r="F233" i="28"/>
  <c r="F234" i="28"/>
  <c r="F235" i="28"/>
  <c r="F236" i="28"/>
  <c r="F237" i="28"/>
  <c r="F238" i="28"/>
  <c r="F239" i="28"/>
  <c r="F240" i="28"/>
  <c r="F241" i="28"/>
  <c r="F242" i="28"/>
  <c r="F243" i="28"/>
  <c r="F244" i="28"/>
  <c r="F245" i="28"/>
  <c r="F246" i="28"/>
  <c r="F247" i="28"/>
  <c r="F248" i="28"/>
  <c r="F249" i="28"/>
  <c r="F250" i="28"/>
  <c r="F251" i="28"/>
  <c r="F252" i="28"/>
  <c r="F253" i="28"/>
  <c r="F254" i="28"/>
  <c r="F255" i="28"/>
  <c r="F256" i="28"/>
  <c r="F257" i="28"/>
  <c r="F258" i="28"/>
  <c r="F259" i="28"/>
  <c r="F260" i="28"/>
  <c r="F261" i="28"/>
  <c r="F262" i="28"/>
  <c r="F263" i="28"/>
  <c r="F264" i="28"/>
  <c r="F265" i="28"/>
  <c r="F266" i="28"/>
  <c r="F267" i="28"/>
  <c r="F268" i="28"/>
  <c r="F269" i="28"/>
  <c r="F270" i="28"/>
  <c r="F271" i="28"/>
  <c r="F272" i="28"/>
  <c r="F273" i="28"/>
  <c r="F274" i="28"/>
  <c r="F275" i="28"/>
  <c r="F276" i="28"/>
  <c r="F277" i="28"/>
  <c r="F278" i="28"/>
  <c r="F279" i="28"/>
  <c r="F280" i="28"/>
  <c r="F281" i="28"/>
  <c r="F282" i="28"/>
  <c r="F283" i="28"/>
  <c r="F284" i="28"/>
  <c r="F285" i="28"/>
  <c r="F286" i="28"/>
  <c r="F287" i="28"/>
  <c r="F288" i="28"/>
  <c r="F289" i="28"/>
  <c r="F290" i="28"/>
  <c r="F291" i="28"/>
  <c r="F292" i="28"/>
  <c r="F293" i="28"/>
  <c r="F294" i="28"/>
  <c r="F295" i="28"/>
  <c r="F296" i="28"/>
  <c r="F297" i="28"/>
  <c r="F298" i="28"/>
  <c r="F299" i="28"/>
  <c r="F300" i="28"/>
  <c r="F301" i="28"/>
  <c r="F302" i="28"/>
  <c r="F303" i="28"/>
  <c r="F304" i="28"/>
  <c r="F305" i="28"/>
  <c r="F306" i="28"/>
  <c r="F307" i="28"/>
  <c r="F308" i="28"/>
  <c r="F309" i="28"/>
  <c r="F310" i="28"/>
  <c r="F311" i="28"/>
  <c r="F312" i="28"/>
  <c r="F313" i="28"/>
  <c r="F314" i="28"/>
  <c r="F315" i="28"/>
  <c r="F316" i="28"/>
  <c r="F317" i="28"/>
  <c r="F318" i="28"/>
  <c r="F319" i="28"/>
  <c r="F320" i="28"/>
  <c r="F321" i="28"/>
  <c r="F322" i="28"/>
  <c r="F323" i="28"/>
  <c r="F324" i="28"/>
  <c r="F325" i="28"/>
  <c r="F326" i="28"/>
  <c r="F327" i="28"/>
  <c r="F328" i="28"/>
  <c r="F329" i="28"/>
  <c r="F330" i="28"/>
  <c r="F331" i="28"/>
  <c r="F332" i="28"/>
  <c r="F333" i="28"/>
  <c r="F334" i="28"/>
  <c r="F335" i="28"/>
  <c r="F336" i="28"/>
  <c r="F337" i="28"/>
  <c r="F338" i="28"/>
  <c r="F339" i="28"/>
  <c r="F340" i="28"/>
  <c r="F341" i="28"/>
  <c r="F342" i="28"/>
  <c r="F343" i="28"/>
  <c r="F344" i="28"/>
  <c r="F345" i="28"/>
  <c r="F346" i="28"/>
  <c r="F347" i="28"/>
  <c r="F348" i="28"/>
  <c r="F349" i="28"/>
  <c r="F350" i="28"/>
  <c r="F181" i="28"/>
  <c r="H182" i="28"/>
  <c r="C177" i="28"/>
  <c r="I53" i="29" l="1"/>
  <c r="L54" i="1"/>
  <c r="I35" i="29"/>
  <c r="I5" i="29"/>
  <c r="I7" i="29"/>
  <c r="I9" i="29"/>
  <c r="I11" i="29"/>
  <c r="I13" i="29"/>
  <c r="I15" i="29"/>
  <c r="I17" i="29"/>
  <c r="I19" i="29"/>
  <c r="I21" i="29"/>
  <c r="I23" i="29"/>
  <c r="I25" i="29"/>
  <c r="I27" i="29"/>
  <c r="I29" i="29"/>
  <c r="I31" i="29"/>
  <c r="I33" i="29"/>
  <c r="I37" i="29"/>
  <c r="I39" i="29"/>
  <c r="I41" i="29"/>
  <c r="I43" i="29"/>
  <c r="I45" i="29"/>
  <c r="I47" i="29"/>
  <c r="I3" i="29"/>
  <c r="F54" i="29"/>
  <c r="N54" i="1"/>
  <c r="N85" i="1" s="1"/>
  <c r="U6" i="29"/>
  <c r="L83" i="1"/>
  <c r="L80" i="1"/>
  <c r="K51" i="1"/>
  <c r="K52" i="1"/>
  <c r="K53" i="1"/>
  <c r="N80" i="1" s="1"/>
  <c r="K55" i="1"/>
  <c r="K46" i="1"/>
  <c r="F56" i="29"/>
  <c r="J2" i="29"/>
  <c r="J54" i="1"/>
  <c r="S54" i="1"/>
  <c r="L85" i="1"/>
  <c r="C55" i="29"/>
  <c r="C54" i="29"/>
  <c r="C53" i="29"/>
  <c r="C52" i="29"/>
  <c r="C66" i="27"/>
  <c r="C65" i="27"/>
  <c r="C64" i="27"/>
  <c r="C63" i="27"/>
  <c r="C200" i="26"/>
  <c r="C199" i="26"/>
  <c r="C198" i="26"/>
  <c r="C197" i="26"/>
  <c r="C35" i="25"/>
  <c r="C34" i="25"/>
  <c r="C33" i="25"/>
  <c r="C32" i="25"/>
  <c r="C21" i="24"/>
  <c r="C20" i="24"/>
  <c r="C19" i="24"/>
  <c r="C18" i="24"/>
  <c r="C2" i="24"/>
  <c r="C32" i="23"/>
  <c r="C31" i="23"/>
  <c r="C30" i="23"/>
  <c r="C29" i="23"/>
  <c r="C31" i="22"/>
  <c r="C30" i="22"/>
  <c r="C29" i="22"/>
  <c r="C28" i="22"/>
  <c r="C39" i="21"/>
  <c r="C37" i="21"/>
  <c r="C40" i="21"/>
  <c r="C38" i="21"/>
  <c r="C24" i="20"/>
  <c r="C23" i="20"/>
  <c r="C22" i="20"/>
  <c r="C21" i="20"/>
  <c r="C179" i="28"/>
  <c r="C178" i="28"/>
  <c r="C176" i="28"/>
  <c r="H2" i="28"/>
  <c r="W88" i="1"/>
  <c r="U88" i="1"/>
  <c r="Z87" i="1"/>
  <c r="X86" i="1"/>
  <c r="W86" i="1"/>
  <c r="V86" i="1"/>
  <c r="U86" i="1"/>
  <c r="X79" i="1"/>
  <c r="W79" i="1"/>
  <c r="W77" i="1"/>
  <c r="V77" i="1"/>
  <c r="U77" i="1"/>
  <c r="Q85" i="1"/>
  <c r="Q79" i="1"/>
  <c r="O79" i="1"/>
  <c r="I55" i="1"/>
  <c r="S51" i="1"/>
  <c r="S52" i="1"/>
  <c r="L79" i="1"/>
  <c r="P88" i="1"/>
  <c r="P85" i="1"/>
  <c r="P82" i="1"/>
  <c r="P79" i="1"/>
  <c r="N88" i="1"/>
  <c r="N79" i="1"/>
  <c r="L88" i="1"/>
  <c r="L82" i="1"/>
  <c r="P83" i="1"/>
  <c r="P86" i="1"/>
  <c r="P80" i="1"/>
  <c r="P77" i="1"/>
  <c r="N59" i="1"/>
  <c r="N86" i="1"/>
  <c r="N77" i="1"/>
  <c r="U79" i="1" s="1"/>
  <c r="L86" i="1"/>
  <c r="L77" i="1"/>
  <c r="L59" i="1"/>
  <c r="I161" i="28"/>
  <c r="I111" i="28"/>
  <c r="I113" i="28"/>
  <c r="I115" i="28"/>
  <c r="I5" i="28"/>
  <c r="I7" i="28"/>
  <c r="I9" i="28"/>
  <c r="I11" i="28"/>
  <c r="I13" i="28"/>
  <c r="I15" i="28"/>
  <c r="I17" i="28"/>
  <c r="I19" i="28"/>
  <c r="I21" i="28"/>
  <c r="I23" i="28"/>
  <c r="I25" i="28"/>
  <c r="I27" i="28"/>
  <c r="I29" i="28"/>
  <c r="I31" i="28"/>
  <c r="I33" i="28"/>
  <c r="I35" i="28"/>
  <c r="I37" i="28"/>
  <c r="I39" i="28"/>
  <c r="I41" i="28"/>
  <c r="I43" i="28"/>
  <c r="I45" i="28"/>
  <c r="I47" i="28"/>
  <c r="I49" i="28"/>
  <c r="I51" i="28"/>
  <c r="I53" i="28"/>
  <c r="I55" i="28"/>
  <c r="I57" i="28"/>
  <c r="I59" i="28"/>
  <c r="I61" i="28"/>
  <c r="I63" i="28"/>
  <c r="I65" i="28"/>
  <c r="I67" i="28"/>
  <c r="I69" i="28"/>
  <c r="I71" i="28"/>
  <c r="I73" i="28"/>
  <c r="I75" i="28"/>
  <c r="I77" i="28"/>
  <c r="I79" i="28"/>
  <c r="I81" i="28"/>
  <c r="I83" i="28"/>
  <c r="I85" i="28"/>
  <c r="I87" i="28"/>
  <c r="I89" i="28"/>
  <c r="I91" i="28"/>
  <c r="I93" i="28"/>
  <c r="I95" i="28"/>
  <c r="I97" i="28"/>
  <c r="I99" i="28"/>
  <c r="I101" i="28"/>
  <c r="I103" i="28"/>
  <c r="I105" i="28"/>
  <c r="I107" i="28"/>
  <c r="I109" i="28"/>
  <c r="I117" i="28"/>
  <c r="I119" i="28"/>
  <c r="I121" i="28"/>
  <c r="I123" i="28"/>
  <c r="I125" i="28"/>
  <c r="I127" i="28"/>
  <c r="I129" i="28"/>
  <c r="I131" i="28"/>
  <c r="I133" i="28"/>
  <c r="I135" i="28"/>
  <c r="I137" i="28"/>
  <c r="I139" i="28"/>
  <c r="I141" i="28"/>
  <c r="I143" i="28"/>
  <c r="I145" i="28"/>
  <c r="I147" i="28"/>
  <c r="I149" i="28"/>
  <c r="I151" i="28"/>
  <c r="I153" i="28"/>
  <c r="I155" i="28"/>
  <c r="I157" i="28"/>
  <c r="I159" i="28"/>
  <c r="I163" i="28"/>
  <c r="I165" i="28"/>
  <c r="I167" i="28"/>
  <c r="I169" i="28"/>
  <c r="I171" i="28"/>
  <c r="I3" i="28"/>
  <c r="J4" i="27"/>
  <c r="J59" i="27" s="1"/>
  <c r="N78" i="1" s="1"/>
  <c r="J6" i="27"/>
  <c r="J8" i="27"/>
  <c r="J10" i="27"/>
  <c r="J12" i="27"/>
  <c r="J14" i="27"/>
  <c r="J16" i="27"/>
  <c r="J18" i="27"/>
  <c r="J20" i="27"/>
  <c r="J22" i="27"/>
  <c r="J24" i="27"/>
  <c r="J26" i="27"/>
  <c r="J28" i="27"/>
  <c r="J30" i="27"/>
  <c r="J32" i="27"/>
  <c r="J34" i="27"/>
  <c r="J36" i="27"/>
  <c r="J38" i="27"/>
  <c r="J40" i="27"/>
  <c r="J42" i="27"/>
  <c r="J44" i="27"/>
  <c r="J46" i="27"/>
  <c r="J48" i="27"/>
  <c r="J50" i="27"/>
  <c r="J52" i="27"/>
  <c r="J54" i="27"/>
  <c r="J56" i="27"/>
  <c r="J58" i="27"/>
  <c r="L3" i="26"/>
  <c r="L190" i="26" s="1"/>
  <c r="N66" i="1" s="1"/>
  <c r="L177" i="26"/>
  <c r="L145" i="26"/>
  <c r="L5" i="26"/>
  <c r="L7" i="26"/>
  <c r="L9" i="26"/>
  <c r="L11" i="26"/>
  <c r="L13" i="26"/>
  <c r="L15" i="26"/>
  <c r="L17" i="26"/>
  <c r="L19" i="26"/>
  <c r="L21" i="26"/>
  <c r="L23" i="26"/>
  <c r="L25" i="26"/>
  <c r="L27" i="26"/>
  <c r="L29" i="26"/>
  <c r="L31" i="26"/>
  <c r="L33" i="26"/>
  <c r="L35" i="26"/>
  <c r="L37" i="26"/>
  <c r="L39" i="26"/>
  <c r="L41" i="26"/>
  <c r="L43" i="26"/>
  <c r="L45" i="26"/>
  <c r="L47" i="26"/>
  <c r="L49" i="26"/>
  <c r="L51" i="26"/>
  <c r="L53" i="26"/>
  <c r="L55" i="26"/>
  <c r="L57" i="26"/>
  <c r="L59" i="26"/>
  <c r="L61" i="26"/>
  <c r="L63" i="26"/>
  <c r="L65" i="26"/>
  <c r="L67" i="26"/>
  <c r="L69" i="26"/>
  <c r="L71" i="26"/>
  <c r="L73" i="26"/>
  <c r="L75" i="26"/>
  <c r="L77" i="26"/>
  <c r="L79" i="26"/>
  <c r="L81" i="26"/>
  <c r="L83" i="26"/>
  <c r="L85" i="26"/>
  <c r="L87" i="26"/>
  <c r="L89" i="26"/>
  <c r="L91" i="26"/>
  <c r="L93" i="26"/>
  <c r="L95" i="26"/>
  <c r="L97" i="26"/>
  <c r="L99" i="26"/>
  <c r="L101" i="26"/>
  <c r="L103" i="26"/>
  <c r="L105" i="26"/>
  <c r="L107" i="26"/>
  <c r="L109" i="26"/>
  <c r="L111" i="26"/>
  <c r="L113" i="26"/>
  <c r="L115" i="26"/>
  <c r="L117" i="26"/>
  <c r="L119" i="26"/>
  <c r="L121" i="26"/>
  <c r="L123" i="26"/>
  <c r="L125" i="26"/>
  <c r="L127" i="26"/>
  <c r="L129" i="26"/>
  <c r="L131" i="26"/>
  <c r="L133" i="26"/>
  <c r="L135" i="26"/>
  <c r="L137" i="26"/>
  <c r="L139" i="26"/>
  <c r="L141" i="26"/>
  <c r="L143" i="26"/>
  <c r="L147" i="26"/>
  <c r="L149" i="26"/>
  <c r="L151" i="26"/>
  <c r="L153" i="26"/>
  <c r="L155" i="26"/>
  <c r="L157" i="26"/>
  <c r="L159" i="26"/>
  <c r="L161" i="26"/>
  <c r="L163" i="26"/>
  <c r="L165" i="26"/>
  <c r="L167" i="26"/>
  <c r="L169" i="26"/>
  <c r="L171" i="26"/>
  <c r="L173" i="26"/>
  <c r="L175" i="26"/>
  <c r="L179" i="26"/>
  <c r="L181" i="26"/>
  <c r="L183" i="26"/>
  <c r="L185" i="26"/>
  <c r="L187" i="26"/>
  <c r="L189" i="26"/>
  <c r="J5" i="25"/>
  <c r="J7" i="25"/>
  <c r="J9" i="25"/>
  <c r="J11" i="25"/>
  <c r="J13" i="25"/>
  <c r="J15" i="25"/>
  <c r="J17" i="25"/>
  <c r="J19" i="25"/>
  <c r="J21" i="25"/>
  <c r="J23" i="25"/>
  <c r="J25" i="25"/>
  <c r="J3" i="25"/>
  <c r="J27" i="25" s="1"/>
  <c r="N87" i="1" s="1"/>
  <c r="J5" i="24"/>
  <c r="J14" i="24" s="1"/>
  <c r="N75" i="1" s="1"/>
  <c r="J7" i="24"/>
  <c r="J9" i="24"/>
  <c r="J11" i="24"/>
  <c r="J13" i="24"/>
  <c r="J3" i="24"/>
  <c r="J5" i="23"/>
  <c r="J7" i="23"/>
  <c r="J9" i="23"/>
  <c r="J11" i="23"/>
  <c r="J13" i="23"/>
  <c r="J15" i="23"/>
  <c r="J17" i="23"/>
  <c r="J19" i="23"/>
  <c r="J21" i="23"/>
  <c r="J23" i="23"/>
  <c r="J3" i="23"/>
  <c r="J24" i="23" s="1"/>
  <c r="N72" i="1" s="1"/>
  <c r="J5" i="22"/>
  <c r="J25" i="22" s="1"/>
  <c r="N63" i="1" s="1"/>
  <c r="J7" i="22"/>
  <c r="J9" i="22"/>
  <c r="J11" i="22"/>
  <c r="J13" i="22"/>
  <c r="J15" i="22"/>
  <c r="J17" i="22"/>
  <c r="J19" i="22"/>
  <c r="J21" i="22"/>
  <c r="J23" i="22"/>
  <c r="J3" i="22"/>
  <c r="J5" i="21"/>
  <c r="J7" i="21"/>
  <c r="J9" i="21"/>
  <c r="J11" i="21"/>
  <c r="J13" i="21"/>
  <c r="J15" i="21"/>
  <c r="J17" i="21"/>
  <c r="J19" i="21"/>
  <c r="J21" i="21"/>
  <c r="J23" i="21"/>
  <c r="J25" i="21"/>
  <c r="J27" i="21"/>
  <c r="J29" i="21"/>
  <c r="J31" i="21"/>
  <c r="J3" i="21"/>
  <c r="J11" i="20"/>
  <c r="M122" i="26"/>
  <c r="K2" i="27"/>
  <c r="K59" i="27" s="1"/>
  <c r="P78" i="1" s="1"/>
  <c r="J90" i="28"/>
  <c r="J22" i="28"/>
  <c r="J4" i="28"/>
  <c r="J6" i="28"/>
  <c r="J8" i="28"/>
  <c r="J10" i="28"/>
  <c r="J12" i="28"/>
  <c r="J14" i="28"/>
  <c r="J16" i="28"/>
  <c r="J18" i="28"/>
  <c r="J20" i="28"/>
  <c r="J24" i="28"/>
  <c r="J26" i="28"/>
  <c r="J28" i="28"/>
  <c r="J30" i="28"/>
  <c r="J32" i="28"/>
  <c r="J34" i="28"/>
  <c r="J36" i="28"/>
  <c r="J38" i="28"/>
  <c r="J40" i="28"/>
  <c r="J42" i="28"/>
  <c r="J44" i="28"/>
  <c r="J46" i="28"/>
  <c r="J48" i="28"/>
  <c r="J50" i="28"/>
  <c r="J52" i="28"/>
  <c r="J54" i="28"/>
  <c r="J56" i="28"/>
  <c r="J58" i="28"/>
  <c r="J60" i="28"/>
  <c r="J62" i="28"/>
  <c r="J64" i="28"/>
  <c r="J66" i="28"/>
  <c r="J68" i="28"/>
  <c r="J70" i="28"/>
  <c r="J72" i="28"/>
  <c r="J74" i="28"/>
  <c r="J76" i="28"/>
  <c r="J78" i="28"/>
  <c r="J80" i="28"/>
  <c r="J82" i="28"/>
  <c r="J84" i="28"/>
  <c r="J86" i="28"/>
  <c r="J88" i="28"/>
  <c r="J92" i="28"/>
  <c r="J94" i="28"/>
  <c r="J96" i="28"/>
  <c r="J98" i="28"/>
  <c r="J100" i="28"/>
  <c r="J102" i="28"/>
  <c r="J104" i="28"/>
  <c r="J106" i="28"/>
  <c r="J108" i="28"/>
  <c r="J110" i="28"/>
  <c r="J112" i="28"/>
  <c r="J114" i="28"/>
  <c r="J116" i="28"/>
  <c r="J118" i="28"/>
  <c r="J120" i="28"/>
  <c r="J122" i="28"/>
  <c r="J124" i="28"/>
  <c r="J126" i="28"/>
  <c r="J128" i="28"/>
  <c r="J130" i="28"/>
  <c r="J132" i="28"/>
  <c r="J134" i="28"/>
  <c r="J136" i="28"/>
  <c r="J138" i="28"/>
  <c r="J140" i="28"/>
  <c r="J142" i="28"/>
  <c r="J144" i="28"/>
  <c r="J146" i="28"/>
  <c r="J148" i="28"/>
  <c r="J150" i="28"/>
  <c r="J152" i="28"/>
  <c r="J154" i="28"/>
  <c r="J156" i="28"/>
  <c r="J158" i="28"/>
  <c r="J160" i="28"/>
  <c r="J162" i="28"/>
  <c r="J164" i="28"/>
  <c r="J166" i="28"/>
  <c r="J168" i="28"/>
  <c r="J170" i="28"/>
  <c r="J172" i="28"/>
  <c r="J2" i="28"/>
  <c r="J4" i="29"/>
  <c r="J6" i="29"/>
  <c r="J8" i="29"/>
  <c r="J10" i="29"/>
  <c r="J12" i="29"/>
  <c r="J14" i="29"/>
  <c r="J16" i="29"/>
  <c r="J18" i="29"/>
  <c r="J20" i="29"/>
  <c r="J22" i="29"/>
  <c r="J24" i="29"/>
  <c r="J26" i="29"/>
  <c r="J28" i="29"/>
  <c r="J30" i="29"/>
  <c r="J32" i="29"/>
  <c r="J34" i="29"/>
  <c r="J36" i="29"/>
  <c r="J38" i="29"/>
  <c r="J40" i="29"/>
  <c r="J42" i="29"/>
  <c r="J44" i="29"/>
  <c r="J46" i="29"/>
  <c r="J48" i="29"/>
  <c r="J5" i="20"/>
  <c r="J7" i="20"/>
  <c r="J9" i="20"/>
  <c r="J13" i="20"/>
  <c r="J3" i="20"/>
  <c r="J14" i="20" s="1"/>
  <c r="N60" i="1" s="1"/>
  <c r="K57" i="27"/>
  <c r="K55" i="27"/>
  <c r="K53" i="27"/>
  <c r="K51" i="27"/>
  <c r="K49" i="27"/>
  <c r="K47" i="27"/>
  <c r="K45" i="27"/>
  <c r="K43" i="27"/>
  <c r="K41" i="27"/>
  <c r="K39" i="27"/>
  <c r="K37" i="27"/>
  <c r="K35" i="27"/>
  <c r="K33" i="27"/>
  <c r="K31" i="27"/>
  <c r="K29" i="27"/>
  <c r="K27" i="27"/>
  <c r="K25" i="27"/>
  <c r="K23" i="27"/>
  <c r="K21" i="27"/>
  <c r="K19" i="27"/>
  <c r="K17" i="27"/>
  <c r="K15" i="27"/>
  <c r="K13" i="27"/>
  <c r="K11" i="27"/>
  <c r="K9" i="27"/>
  <c r="K7" i="27"/>
  <c r="K5" i="27"/>
  <c r="K3" i="27"/>
  <c r="M4" i="26"/>
  <c r="M6" i="26"/>
  <c r="M8" i="26"/>
  <c r="M10" i="26"/>
  <c r="M12" i="26"/>
  <c r="M14" i="26"/>
  <c r="M16" i="26"/>
  <c r="M18" i="26"/>
  <c r="M20" i="26"/>
  <c r="M22" i="26"/>
  <c r="M24" i="26"/>
  <c r="M26" i="26"/>
  <c r="M28" i="26"/>
  <c r="M30" i="26"/>
  <c r="M32" i="26"/>
  <c r="M34" i="26"/>
  <c r="M36" i="26"/>
  <c r="M38" i="26"/>
  <c r="M40" i="26"/>
  <c r="M42" i="26"/>
  <c r="M44" i="26"/>
  <c r="M46" i="26"/>
  <c r="M48" i="26"/>
  <c r="M50" i="26"/>
  <c r="M52" i="26"/>
  <c r="M54" i="26"/>
  <c r="M56" i="26"/>
  <c r="M58" i="26"/>
  <c r="M60" i="26"/>
  <c r="M62" i="26"/>
  <c r="M64" i="26"/>
  <c r="M66" i="26"/>
  <c r="M68" i="26"/>
  <c r="M70" i="26"/>
  <c r="M72" i="26"/>
  <c r="M74" i="26"/>
  <c r="M76" i="26"/>
  <c r="M78" i="26"/>
  <c r="M80" i="26"/>
  <c r="M82" i="26"/>
  <c r="M84" i="26"/>
  <c r="M86" i="26"/>
  <c r="M88" i="26"/>
  <c r="M90" i="26"/>
  <c r="M92" i="26"/>
  <c r="M94" i="26"/>
  <c r="M96" i="26"/>
  <c r="M98" i="26"/>
  <c r="M100" i="26"/>
  <c r="M102" i="26"/>
  <c r="M104" i="26"/>
  <c r="M106" i="26"/>
  <c r="M108" i="26"/>
  <c r="M110" i="26"/>
  <c r="M112" i="26"/>
  <c r="M114" i="26"/>
  <c r="M116" i="26"/>
  <c r="M118" i="26"/>
  <c r="M120" i="26"/>
  <c r="M124" i="26"/>
  <c r="M126" i="26"/>
  <c r="M128" i="26"/>
  <c r="M130" i="26"/>
  <c r="M132" i="26"/>
  <c r="M134" i="26"/>
  <c r="M136" i="26"/>
  <c r="M138" i="26"/>
  <c r="M140" i="26"/>
  <c r="M142" i="26"/>
  <c r="M144" i="26"/>
  <c r="M146" i="26"/>
  <c r="M148" i="26"/>
  <c r="M150" i="26"/>
  <c r="M152" i="26"/>
  <c r="M154" i="26"/>
  <c r="M156" i="26"/>
  <c r="M158" i="26"/>
  <c r="M160" i="26"/>
  <c r="M162" i="26"/>
  <c r="M164" i="26"/>
  <c r="M166" i="26"/>
  <c r="M168" i="26"/>
  <c r="M170" i="26"/>
  <c r="M172" i="26"/>
  <c r="M174" i="26"/>
  <c r="M176" i="26"/>
  <c r="M178" i="26"/>
  <c r="M180" i="26"/>
  <c r="M182" i="26"/>
  <c r="M184" i="26"/>
  <c r="M186" i="26"/>
  <c r="M188" i="26"/>
  <c r="M2" i="26"/>
  <c r="M190" i="26" s="1"/>
  <c r="P66" i="1" s="1"/>
  <c r="K4" i="25"/>
  <c r="K6" i="25"/>
  <c r="K8" i="25"/>
  <c r="K27" i="25" s="1"/>
  <c r="P87" i="1" s="1"/>
  <c r="K10" i="25"/>
  <c r="K12" i="25"/>
  <c r="K14" i="25"/>
  <c r="K16" i="25"/>
  <c r="K18" i="25"/>
  <c r="K20" i="25"/>
  <c r="K22" i="25"/>
  <c r="K24" i="25"/>
  <c r="K26" i="25"/>
  <c r="K2" i="25"/>
  <c r="K4" i="24"/>
  <c r="K6" i="24"/>
  <c r="K8" i="24"/>
  <c r="K10" i="24"/>
  <c r="K12" i="24"/>
  <c r="K2" i="24"/>
  <c r="K4" i="23"/>
  <c r="K6" i="23"/>
  <c r="K8" i="23"/>
  <c r="K10" i="23"/>
  <c r="K12" i="23"/>
  <c r="K24" i="23" s="1"/>
  <c r="P72" i="1" s="1"/>
  <c r="K14" i="23"/>
  <c r="K16" i="23"/>
  <c r="K18" i="23"/>
  <c r="K20" i="23"/>
  <c r="K22" i="23"/>
  <c r="K23" i="23"/>
  <c r="K2" i="23"/>
  <c r="K4" i="22"/>
  <c r="K6" i="22"/>
  <c r="K8" i="22"/>
  <c r="K10" i="22"/>
  <c r="K12" i="22"/>
  <c r="K14" i="22"/>
  <c r="K16" i="22"/>
  <c r="K18" i="22"/>
  <c r="K20" i="22"/>
  <c r="K22" i="22"/>
  <c r="K24" i="22"/>
  <c r="K2" i="22"/>
  <c r="K4" i="21"/>
  <c r="K6" i="21"/>
  <c r="K8" i="21"/>
  <c r="K10" i="21"/>
  <c r="K12" i="21"/>
  <c r="K14" i="21"/>
  <c r="K16" i="21"/>
  <c r="K18" i="21"/>
  <c r="K20" i="21"/>
  <c r="K22" i="21"/>
  <c r="K24" i="21"/>
  <c r="K26" i="21"/>
  <c r="K28" i="21"/>
  <c r="K30" i="21"/>
  <c r="K31" i="21"/>
  <c r="K2" i="21"/>
  <c r="K12" i="20"/>
  <c r="K4" i="20"/>
  <c r="K6" i="20"/>
  <c r="K8" i="20"/>
  <c r="K10" i="20"/>
  <c r="K2" i="20"/>
  <c r="K14" i="20" s="1"/>
  <c r="P60" i="1" s="1"/>
  <c r="I2" i="20"/>
  <c r="I14" i="20" s="1"/>
  <c r="L60" i="1" s="1"/>
  <c r="H4" i="29"/>
  <c r="H15" i="29"/>
  <c r="H27" i="29"/>
  <c r="H39" i="29"/>
  <c r="H43" i="29"/>
  <c r="H44" i="29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0" i="28"/>
  <c r="H71" i="28"/>
  <c r="H72" i="28"/>
  <c r="H73" i="28"/>
  <c r="H74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1" i="28"/>
  <c r="H92" i="28"/>
  <c r="H93" i="28"/>
  <c r="H94" i="28"/>
  <c r="H95" i="28"/>
  <c r="H96" i="28"/>
  <c r="H97" i="28"/>
  <c r="H98" i="28"/>
  <c r="H99" i="28"/>
  <c r="H100" i="28"/>
  <c r="H101" i="28"/>
  <c r="H102" i="28"/>
  <c r="H103" i="28"/>
  <c r="H104" i="28"/>
  <c r="H105" i="28"/>
  <c r="H106" i="28"/>
  <c r="H107" i="28"/>
  <c r="H108" i="28"/>
  <c r="H109" i="28"/>
  <c r="H110" i="28"/>
  <c r="H111" i="28"/>
  <c r="H112" i="28"/>
  <c r="H113" i="28"/>
  <c r="H114" i="28"/>
  <c r="H115" i="28"/>
  <c r="H116" i="28"/>
  <c r="H117" i="28"/>
  <c r="H118" i="28"/>
  <c r="H119" i="28"/>
  <c r="H120" i="28"/>
  <c r="H121" i="28"/>
  <c r="H122" i="28"/>
  <c r="H123" i="28"/>
  <c r="H124" i="28"/>
  <c r="H125" i="28"/>
  <c r="H126" i="28"/>
  <c r="H127" i="28"/>
  <c r="H128" i="28"/>
  <c r="H129" i="28"/>
  <c r="H130" i="28"/>
  <c r="H131" i="28"/>
  <c r="H132" i="28"/>
  <c r="H133" i="28"/>
  <c r="H134" i="28"/>
  <c r="H135" i="28"/>
  <c r="H136" i="28"/>
  <c r="H137" i="28"/>
  <c r="H138" i="28"/>
  <c r="H139" i="28"/>
  <c r="H140" i="28"/>
  <c r="H141" i="28"/>
  <c r="H142" i="28"/>
  <c r="H143" i="28"/>
  <c r="H144" i="28"/>
  <c r="H145" i="28"/>
  <c r="H146" i="28"/>
  <c r="H147" i="28"/>
  <c r="H148" i="28"/>
  <c r="H149" i="28"/>
  <c r="H150" i="28"/>
  <c r="H151" i="28"/>
  <c r="H152" i="28"/>
  <c r="H153" i="28"/>
  <c r="H154" i="28"/>
  <c r="H155" i="28"/>
  <c r="H156" i="28"/>
  <c r="H157" i="28"/>
  <c r="H158" i="28"/>
  <c r="H159" i="28"/>
  <c r="H160" i="28"/>
  <c r="H161" i="28"/>
  <c r="H162" i="28"/>
  <c r="H163" i="28"/>
  <c r="H164" i="28"/>
  <c r="H165" i="28"/>
  <c r="H166" i="28"/>
  <c r="H167" i="28"/>
  <c r="H168" i="28"/>
  <c r="H169" i="28"/>
  <c r="H170" i="28"/>
  <c r="H171" i="28"/>
  <c r="H172" i="28"/>
  <c r="G2" i="28"/>
  <c r="I2" i="27"/>
  <c r="I59" i="27" s="1"/>
  <c r="L78" i="1" s="1"/>
  <c r="I3" i="27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K3" i="26"/>
  <c r="K4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K35" i="26"/>
  <c r="K36" i="26"/>
  <c r="K37" i="26"/>
  <c r="K38" i="26"/>
  <c r="K39" i="26"/>
  <c r="K40" i="26"/>
  <c r="K41" i="26"/>
  <c r="K42" i="26"/>
  <c r="K43" i="26"/>
  <c r="K44" i="26"/>
  <c r="K45" i="26"/>
  <c r="K46" i="26"/>
  <c r="K47" i="26"/>
  <c r="K48" i="26"/>
  <c r="K49" i="26"/>
  <c r="K50" i="26"/>
  <c r="K51" i="26"/>
  <c r="K52" i="26"/>
  <c r="K53" i="26"/>
  <c r="K54" i="26"/>
  <c r="K55" i="26"/>
  <c r="K56" i="26"/>
  <c r="K57" i="26"/>
  <c r="K58" i="26"/>
  <c r="K59" i="26"/>
  <c r="K60" i="26"/>
  <c r="K61" i="26"/>
  <c r="K62" i="26"/>
  <c r="K63" i="26"/>
  <c r="K64" i="26"/>
  <c r="K65" i="26"/>
  <c r="K66" i="26"/>
  <c r="K67" i="26"/>
  <c r="K68" i="26"/>
  <c r="K69" i="26"/>
  <c r="K70" i="26"/>
  <c r="K71" i="26"/>
  <c r="K72" i="26"/>
  <c r="K73" i="26"/>
  <c r="K74" i="26"/>
  <c r="K75" i="26"/>
  <c r="K76" i="26"/>
  <c r="K77" i="26"/>
  <c r="K78" i="26"/>
  <c r="K79" i="26"/>
  <c r="K80" i="26"/>
  <c r="K81" i="26"/>
  <c r="K82" i="26"/>
  <c r="K83" i="26"/>
  <c r="K84" i="26"/>
  <c r="K85" i="26"/>
  <c r="K86" i="26"/>
  <c r="K87" i="26"/>
  <c r="K88" i="26"/>
  <c r="K89" i="26"/>
  <c r="K90" i="26"/>
  <c r="K91" i="26"/>
  <c r="K92" i="26"/>
  <c r="K93" i="26"/>
  <c r="K94" i="26"/>
  <c r="K95" i="26"/>
  <c r="K96" i="26"/>
  <c r="K97" i="26"/>
  <c r="K98" i="26"/>
  <c r="K99" i="26"/>
  <c r="K100" i="26"/>
  <c r="K101" i="26"/>
  <c r="K102" i="26"/>
  <c r="K103" i="26"/>
  <c r="K104" i="26"/>
  <c r="K105" i="26"/>
  <c r="K106" i="26"/>
  <c r="K107" i="26"/>
  <c r="K108" i="26"/>
  <c r="K109" i="26"/>
  <c r="K110" i="26"/>
  <c r="K111" i="26"/>
  <c r="K112" i="26"/>
  <c r="K113" i="26"/>
  <c r="K114" i="26"/>
  <c r="K115" i="26"/>
  <c r="K116" i="26"/>
  <c r="K117" i="26"/>
  <c r="K118" i="26"/>
  <c r="K119" i="26"/>
  <c r="K120" i="26"/>
  <c r="K121" i="26"/>
  <c r="K122" i="26"/>
  <c r="K123" i="26"/>
  <c r="K124" i="26"/>
  <c r="K125" i="26"/>
  <c r="K126" i="26"/>
  <c r="K127" i="26"/>
  <c r="K128" i="26"/>
  <c r="K129" i="26"/>
  <c r="K130" i="26"/>
  <c r="K131" i="26"/>
  <c r="K132" i="26"/>
  <c r="K133" i="26"/>
  <c r="K134" i="26"/>
  <c r="K135" i="26"/>
  <c r="K136" i="26"/>
  <c r="K137" i="26"/>
  <c r="K138" i="26"/>
  <c r="K139" i="26"/>
  <c r="K140" i="26"/>
  <c r="K141" i="26"/>
  <c r="K142" i="26"/>
  <c r="K143" i="26"/>
  <c r="K144" i="26"/>
  <c r="K145" i="26"/>
  <c r="K146" i="26"/>
  <c r="K147" i="26"/>
  <c r="K148" i="26"/>
  <c r="K149" i="26"/>
  <c r="K150" i="26"/>
  <c r="K151" i="26"/>
  <c r="K152" i="26"/>
  <c r="K153" i="26"/>
  <c r="K154" i="26"/>
  <c r="K155" i="26"/>
  <c r="K156" i="26"/>
  <c r="K157" i="26"/>
  <c r="K158" i="26"/>
  <c r="K159" i="26"/>
  <c r="K160" i="26"/>
  <c r="K161" i="26"/>
  <c r="K162" i="26"/>
  <c r="K163" i="26"/>
  <c r="K164" i="26"/>
  <c r="K165" i="26"/>
  <c r="K166" i="26"/>
  <c r="K167" i="26"/>
  <c r="K168" i="26"/>
  <c r="K169" i="26"/>
  <c r="K170" i="26"/>
  <c r="K171" i="26"/>
  <c r="K172" i="26"/>
  <c r="K173" i="26"/>
  <c r="K174" i="26"/>
  <c r="K175" i="26"/>
  <c r="K176" i="26"/>
  <c r="K177" i="26"/>
  <c r="K178" i="26"/>
  <c r="K179" i="26"/>
  <c r="K180" i="26"/>
  <c r="K181" i="26"/>
  <c r="K182" i="26"/>
  <c r="K183" i="26"/>
  <c r="K184" i="26"/>
  <c r="K185" i="26"/>
  <c r="K186" i="26"/>
  <c r="K187" i="26"/>
  <c r="K188" i="26"/>
  <c r="K189" i="26"/>
  <c r="K2" i="26"/>
  <c r="K190" i="26" s="1"/>
  <c r="L66" i="1" s="1"/>
  <c r="I3" i="25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" i="25"/>
  <c r="I27" i="25" s="1"/>
  <c r="L87" i="1" s="1"/>
  <c r="I3" i="24"/>
  <c r="I4" i="24"/>
  <c r="I5" i="24"/>
  <c r="I6" i="24"/>
  <c r="I7" i="24"/>
  <c r="I8" i="24"/>
  <c r="I9" i="24"/>
  <c r="I10" i="24"/>
  <c r="I11" i="24"/>
  <c r="I12" i="24"/>
  <c r="I13" i="24"/>
  <c r="I2" i="24"/>
  <c r="I3" i="23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" i="23"/>
  <c r="I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" i="22"/>
  <c r="I25" i="22" s="1"/>
  <c r="L63" i="1" s="1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2" i="21"/>
  <c r="I3" i="20"/>
  <c r="I4" i="20"/>
  <c r="I5" i="20"/>
  <c r="I6" i="20"/>
  <c r="I7" i="20"/>
  <c r="I8" i="20"/>
  <c r="I9" i="20"/>
  <c r="I10" i="20"/>
  <c r="I11" i="20"/>
  <c r="I12" i="20"/>
  <c r="I13" i="20"/>
  <c r="G3" i="29"/>
  <c r="H3" i="29" s="1"/>
  <c r="G4" i="29"/>
  <c r="G5" i="29"/>
  <c r="H5" i="29" s="1"/>
  <c r="G6" i="29"/>
  <c r="H6" i="29" s="1"/>
  <c r="G7" i="29"/>
  <c r="H7" i="29" s="1"/>
  <c r="G8" i="29"/>
  <c r="H8" i="29" s="1"/>
  <c r="G9" i="29"/>
  <c r="H9" i="29" s="1"/>
  <c r="G10" i="29"/>
  <c r="H10" i="29" s="1"/>
  <c r="G11" i="29"/>
  <c r="H11" i="29" s="1"/>
  <c r="G12" i="29"/>
  <c r="H12" i="29" s="1"/>
  <c r="G13" i="29"/>
  <c r="H13" i="29" s="1"/>
  <c r="G14" i="29"/>
  <c r="H14" i="29" s="1"/>
  <c r="G15" i="29"/>
  <c r="G16" i="29"/>
  <c r="H16" i="29" s="1"/>
  <c r="G17" i="29"/>
  <c r="H17" i="29" s="1"/>
  <c r="G18" i="29"/>
  <c r="H18" i="29" s="1"/>
  <c r="G19" i="29"/>
  <c r="H19" i="29" s="1"/>
  <c r="G20" i="29"/>
  <c r="H20" i="29" s="1"/>
  <c r="G21" i="29"/>
  <c r="H21" i="29" s="1"/>
  <c r="G22" i="29"/>
  <c r="H22" i="29" s="1"/>
  <c r="G23" i="29"/>
  <c r="H23" i="29" s="1"/>
  <c r="G24" i="29"/>
  <c r="H24" i="29" s="1"/>
  <c r="G25" i="29"/>
  <c r="H25" i="29" s="1"/>
  <c r="G26" i="29"/>
  <c r="H26" i="29" s="1"/>
  <c r="G27" i="29"/>
  <c r="G28" i="29"/>
  <c r="H28" i="29" s="1"/>
  <c r="G29" i="29"/>
  <c r="H29" i="29" s="1"/>
  <c r="G30" i="29"/>
  <c r="H30" i="29" s="1"/>
  <c r="G31" i="29"/>
  <c r="H31" i="29" s="1"/>
  <c r="G32" i="29"/>
  <c r="H32" i="29" s="1"/>
  <c r="G33" i="29"/>
  <c r="H33" i="29" s="1"/>
  <c r="G34" i="29"/>
  <c r="H34" i="29" s="1"/>
  <c r="G35" i="29"/>
  <c r="H35" i="29" s="1"/>
  <c r="G36" i="29"/>
  <c r="H36" i="29" s="1"/>
  <c r="G37" i="29"/>
  <c r="H37" i="29" s="1"/>
  <c r="G38" i="29"/>
  <c r="H38" i="29" s="1"/>
  <c r="G39" i="29"/>
  <c r="G40" i="29"/>
  <c r="H40" i="29" s="1"/>
  <c r="G41" i="29"/>
  <c r="H41" i="29" s="1"/>
  <c r="G42" i="29"/>
  <c r="H42" i="29" s="1"/>
  <c r="G43" i="29"/>
  <c r="G44" i="29"/>
  <c r="G45" i="29"/>
  <c r="H45" i="29" s="1"/>
  <c r="G46" i="29"/>
  <c r="H46" i="29" s="1"/>
  <c r="G47" i="29"/>
  <c r="H47" i="29" s="1"/>
  <c r="G48" i="29"/>
  <c r="H48" i="29" s="1"/>
  <c r="G2" i="29"/>
  <c r="H2" i="29" s="1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102" i="28"/>
  <c r="G103" i="28"/>
  <c r="G104" i="28"/>
  <c r="G105" i="28"/>
  <c r="G106" i="28"/>
  <c r="G107" i="28"/>
  <c r="G108" i="28"/>
  <c r="G109" i="28"/>
  <c r="G110" i="28"/>
  <c r="G111" i="28"/>
  <c r="G112" i="28"/>
  <c r="G113" i="28"/>
  <c r="G114" i="28"/>
  <c r="G115" i="28"/>
  <c r="G116" i="28"/>
  <c r="G117" i="28"/>
  <c r="G118" i="28"/>
  <c r="G119" i="28"/>
  <c r="G120" i="28"/>
  <c r="G121" i="28"/>
  <c r="G122" i="28"/>
  <c r="G123" i="28"/>
  <c r="G124" i="28"/>
  <c r="G125" i="28"/>
  <c r="G126" i="28"/>
  <c r="G127" i="28"/>
  <c r="G128" i="28"/>
  <c r="G129" i="28"/>
  <c r="G130" i="28"/>
  <c r="G131" i="28"/>
  <c r="G132" i="28"/>
  <c r="G133" i="28"/>
  <c r="G134" i="28"/>
  <c r="G135" i="28"/>
  <c r="G136" i="28"/>
  <c r="G137" i="28"/>
  <c r="G138" i="28"/>
  <c r="G139" i="28"/>
  <c r="G140" i="28"/>
  <c r="G141" i="28"/>
  <c r="G142" i="28"/>
  <c r="G143" i="28"/>
  <c r="G144" i="28"/>
  <c r="G145" i="28"/>
  <c r="G146" i="28"/>
  <c r="G147" i="28"/>
  <c r="G148" i="28"/>
  <c r="G149" i="28"/>
  <c r="G150" i="28"/>
  <c r="G151" i="28"/>
  <c r="G152" i="28"/>
  <c r="G153" i="28"/>
  <c r="G154" i="28"/>
  <c r="G155" i="28"/>
  <c r="G156" i="28"/>
  <c r="G157" i="28"/>
  <c r="G158" i="28"/>
  <c r="G159" i="28"/>
  <c r="G160" i="28"/>
  <c r="G161" i="28"/>
  <c r="G162" i="28"/>
  <c r="G163" i="28"/>
  <c r="G164" i="28"/>
  <c r="G165" i="28"/>
  <c r="G166" i="28"/>
  <c r="G167" i="28"/>
  <c r="G168" i="28"/>
  <c r="G169" i="28"/>
  <c r="G170" i="28"/>
  <c r="G171" i="28"/>
  <c r="G172" i="28"/>
  <c r="H2" i="27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J7" i="26"/>
  <c r="J8" i="26"/>
  <c r="J9" i="26"/>
  <c r="J10" i="26"/>
  <c r="J19" i="26"/>
  <c r="J20" i="26"/>
  <c r="J21" i="26"/>
  <c r="J22" i="26"/>
  <c r="J31" i="26"/>
  <c r="J32" i="26"/>
  <c r="J33" i="26"/>
  <c r="J34" i="26"/>
  <c r="J43" i="26"/>
  <c r="J44" i="26"/>
  <c r="J45" i="26"/>
  <c r="J46" i="26"/>
  <c r="J55" i="26"/>
  <c r="J56" i="26"/>
  <c r="J57" i="26"/>
  <c r="J58" i="26"/>
  <c r="J67" i="26"/>
  <c r="J68" i="26"/>
  <c r="J69" i="26"/>
  <c r="J70" i="26"/>
  <c r="J79" i="26"/>
  <c r="J80" i="26"/>
  <c r="J81" i="26"/>
  <c r="J82" i="26"/>
  <c r="J91" i="26"/>
  <c r="J92" i="26"/>
  <c r="J93" i="26"/>
  <c r="J94" i="26"/>
  <c r="J103" i="26"/>
  <c r="J104" i="26"/>
  <c r="J105" i="26"/>
  <c r="J106" i="26"/>
  <c r="J115" i="26"/>
  <c r="J116" i="26"/>
  <c r="J117" i="26"/>
  <c r="J118" i="26"/>
  <c r="J127" i="26"/>
  <c r="J128" i="26"/>
  <c r="J129" i="26"/>
  <c r="J130" i="26"/>
  <c r="J139" i="26"/>
  <c r="J140" i="26"/>
  <c r="J141" i="26"/>
  <c r="J142" i="26"/>
  <c r="J151" i="26"/>
  <c r="J152" i="26"/>
  <c r="J153" i="26"/>
  <c r="J154" i="26"/>
  <c r="J163" i="26"/>
  <c r="J164" i="26"/>
  <c r="J165" i="26"/>
  <c r="J166" i="26"/>
  <c r="J175" i="26"/>
  <c r="J176" i="26"/>
  <c r="J177" i="26"/>
  <c r="J178" i="26"/>
  <c r="J187" i="26"/>
  <c r="J188" i="26"/>
  <c r="J189" i="26"/>
  <c r="J2" i="26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" i="25"/>
  <c r="H13" i="24"/>
  <c r="H23" i="23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2" i="21"/>
  <c r="H3" i="20"/>
  <c r="H4" i="20"/>
  <c r="H5" i="20"/>
  <c r="H6" i="20"/>
  <c r="H7" i="20"/>
  <c r="H8" i="20"/>
  <c r="H9" i="20"/>
  <c r="H10" i="20"/>
  <c r="H11" i="20"/>
  <c r="H12" i="20"/>
  <c r="H13" i="20"/>
  <c r="H2" i="20"/>
  <c r="C3" i="29"/>
  <c r="C4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2" i="29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2" i="28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2" i="27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C104" i="26"/>
  <c r="C105" i="26"/>
  <c r="C106" i="26"/>
  <c r="C107" i="26"/>
  <c r="C108" i="26"/>
  <c r="C109" i="26"/>
  <c r="C110" i="26"/>
  <c r="C111" i="26"/>
  <c r="C112" i="26"/>
  <c r="C113" i="26"/>
  <c r="C114" i="26"/>
  <c r="C115" i="26"/>
  <c r="C116" i="26"/>
  <c r="C117" i="26"/>
  <c r="C118" i="26"/>
  <c r="C119" i="26"/>
  <c r="C120" i="26"/>
  <c r="C121" i="26"/>
  <c r="C122" i="26"/>
  <c r="C123" i="26"/>
  <c r="C124" i="26"/>
  <c r="C125" i="26"/>
  <c r="C126" i="26"/>
  <c r="C127" i="26"/>
  <c r="C128" i="26"/>
  <c r="C129" i="26"/>
  <c r="C130" i="26"/>
  <c r="C131" i="26"/>
  <c r="C132" i="26"/>
  <c r="C133" i="26"/>
  <c r="C134" i="26"/>
  <c r="C135" i="26"/>
  <c r="C136" i="26"/>
  <c r="C137" i="26"/>
  <c r="C138" i="26"/>
  <c r="C139" i="26"/>
  <c r="C140" i="26"/>
  <c r="C141" i="26"/>
  <c r="C142" i="26"/>
  <c r="C143" i="26"/>
  <c r="C144" i="26"/>
  <c r="C145" i="26"/>
  <c r="C146" i="26"/>
  <c r="C147" i="26"/>
  <c r="C148" i="26"/>
  <c r="C149" i="26"/>
  <c r="C150" i="26"/>
  <c r="C151" i="26"/>
  <c r="C152" i="26"/>
  <c r="C153" i="26"/>
  <c r="C154" i="26"/>
  <c r="C155" i="26"/>
  <c r="C156" i="26"/>
  <c r="C157" i="26"/>
  <c r="C158" i="26"/>
  <c r="C159" i="26"/>
  <c r="C160" i="26"/>
  <c r="C161" i="26"/>
  <c r="C162" i="26"/>
  <c r="C163" i="26"/>
  <c r="C164" i="26"/>
  <c r="C165" i="26"/>
  <c r="C166" i="26"/>
  <c r="C167" i="26"/>
  <c r="C168" i="26"/>
  <c r="C169" i="26"/>
  <c r="C170" i="26"/>
  <c r="C171" i="26"/>
  <c r="C172" i="26"/>
  <c r="C173" i="26"/>
  <c r="C174" i="26"/>
  <c r="C175" i="26"/>
  <c r="C176" i="26"/>
  <c r="C177" i="26"/>
  <c r="C178" i="26"/>
  <c r="C179" i="26"/>
  <c r="C180" i="26"/>
  <c r="C181" i="26"/>
  <c r="C182" i="26"/>
  <c r="C183" i="26"/>
  <c r="C184" i="26"/>
  <c r="C185" i="26"/>
  <c r="C186" i="26"/>
  <c r="C187" i="26"/>
  <c r="C188" i="26"/>
  <c r="C189" i="26"/>
  <c r="C190" i="26"/>
  <c r="C2" i="26"/>
  <c r="Q27" i="25"/>
  <c r="C27" i="25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" i="25"/>
  <c r="C3" i="24"/>
  <c r="C4" i="24"/>
  <c r="C5" i="24"/>
  <c r="C6" i="24"/>
  <c r="C7" i="24"/>
  <c r="C8" i="24"/>
  <c r="C9" i="24"/>
  <c r="C10" i="24"/>
  <c r="C11" i="24"/>
  <c r="C12" i="24"/>
  <c r="C13" i="24"/>
  <c r="Q24" i="23"/>
  <c r="C24" i="23"/>
  <c r="C3" i="23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" i="23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" i="22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2" i="21"/>
  <c r="C3" i="20"/>
  <c r="C4" i="20"/>
  <c r="C5" i="20"/>
  <c r="C6" i="20"/>
  <c r="C7" i="20"/>
  <c r="C8" i="20"/>
  <c r="C9" i="20"/>
  <c r="C10" i="20"/>
  <c r="C11" i="20"/>
  <c r="C12" i="20"/>
  <c r="C13" i="20"/>
  <c r="C2" i="20"/>
  <c r="U6" i="28"/>
  <c r="U6" i="27"/>
  <c r="U6" i="25"/>
  <c r="U6" i="20"/>
  <c r="M2" i="21"/>
  <c r="Q52" i="1"/>
  <c r="R52" i="1"/>
  <c r="N53" i="1"/>
  <c r="N82" i="1" s="1"/>
  <c r="Q53" i="1"/>
  <c r="R53" i="1"/>
  <c r="Q82" i="1" s="1"/>
  <c r="T53" i="1"/>
  <c r="U53" i="1"/>
  <c r="Q54" i="1"/>
  <c r="R54" i="1"/>
  <c r="N55" i="1"/>
  <c r="Q55" i="1"/>
  <c r="O88" i="1" s="1"/>
  <c r="X88" i="1" s="1"/>
  <c r="R55" i="1"/>
  <c r="Q88" i="1" s="1"/>
  <c r="T55" i="1"/>
  <c r="U55" i="1"/>
  <c r="B54" i="1"/>
  <c r="D49" i="29"/>
  <c r="D173" i="28"/>
  <c r="B53" i="1"/>
  <c r="B52" i="1"/>
  <c r="E59" i="27"/>
  <c r="B55" i="1"/>
  <c r="E27" i="25"/>
  <c r="D2" i="29"/>
  <c r="D7" i="29"/>
  <c r="D11" i="29"/>
  <c r="D15" i="29"/>
  <c r="D43" i="29"/>
  <c r="G51" i="29"/>
  <c r="G53" i="29"/>
  <c r="F176" i="28"/>
  <c r="G175" i="28" s="1"/>
  <c r="G177" i="28"/>
  <c r="E57" i="27"/>
  <c r="G62" i="27"/>
  <c r="H61" i="27" s="1"/>
  <c r="G64" i="27"/>
  <c r="H63" i="27" s="1"/>
  <c r="U6" i="26"/>
  <c r="J11" i="26" s="1"/>
  <c r="O7" i="26"/>
  <c r="O8" i="26"/>
  <c r="E191" i="26"/>
  <c r="O194" i="26"/>
  <c r="G195" i="26"/>
  <c r="G196" i="26"/>
  <c r="G197" i="26"/>
  <c r="G198" i="26"/>
  <c r="G32" i="25"/>
  <c r="G33" i="25"/>
  <c r="G34" i="25"/>
  <c r="H34" i="25" s="1"/>
  <c r="G35" i="25"/>
  <c r="H5" i="24"/>
  <c r="U6" i="24"/>
  <c r="H2" i="24" s="1"/>
  <c r="H8" i="24"/>
  <c r="H9" i="24"/>
  <c r="H12" i="24"/>
  <c r="E14" i="24"/>
  <c r="M18" i="24"/>
  <c r="G21" i="24"/>
  <c r="G22" i="24"/>
  <c r="H21" i="24" s="1"/>
  <c r="G23" i="24"/>
  <c r="H23" i="24"/>
  <c r="G24" i="24"/>
  <c r="H4" i="23"/>
  <c r="H5" i="23"/>
  <c r="U6" i="23"/>
  <c r="H2" i="23" s="1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E25" i="23"/>
  <c r="M28" i="23"/>
  <c r="G31" i="23"/>
  <c r="H31" i="23" s="1"/>
  <c r="G32" i="23"/>
  <c r="G33" i="23"/>
  <c r="G34" i="23"/>
  <c r="H33" i="23" s="1"/>
  <c r="G37" i="23"/>
  <c r="U6" i="22"/>
  <c r="H2" i="22" s="1"/>
  <c r="E25" i="22"/>
  <c r="G28" i="22"/>
  <c r="G29" i="22"/>
  <c r="H29" i="22" s="1"/>
  <c r="M29" i="22"/>
  <c r="G30" i="22"/>
  <c r="G31" i="22"/>
  <c r="H30" i="22" s="1"/>
  <c r="F55" i="1"/>
  <c r="O55" i="1" s="1"/>
  <c r="F54" i="1"/>
  <c r="F53" i="1"/>
  <c r="L53" i="1" s="1"/>
  <c r="F52" i="1"/>
  <c r="L52" i="1" s="1"/>
  <c r="D52" i="1"/>
  <c r="Y87" i="1" l="1"/>
  <c r="I173" i="28"/>
  <c r="N81" i="1" s="1"/>
  <c r="O82" i="1"/>
  <c r="Z80" i="1"/>
  <c r="X81" i="1"/>
  <c r="V81" i="1"/>
  <c r="W81" i="1"/>
  <c r="H173" i="28"/>
  <c r="L81" i="1" s="1"/>
  <c r="U81" i="1" s="1"/>
  <c r="J173" i="28"/>
  <c r="P81" i="1" s="1"/>
  <c r="Y81" i="1" s="1"/>
  <c r="K54" i="1"/>
  <c r="N83" i="1" s="1"/>
  <c r="W83" i="1" s="1"/>
  <c r="I49" i="29"/>
  <c r="N84" i="1" s="1"/>
  <c r="W84" i="1" s="1"/>
  <c r="J49" i="29"/>
  <c r="P84" i="1" s="1"/>
  <c r="Y84" i="1" s="1"/>
  <c r="H49" i="29"/>
  <c r="Z77" i="1"/>
  <c r="W78" i="1"/>
  <c r="U82" i="1"/>
  <c r="Y86" i="1"/>
  <c r="AA86" i="1" s="1"/>
  <c r="Y88" i="1"/>
  <c r="U78" i="1"/>
  <c r="U80" i="1"/>
  <c r="Z86" i="1"/>
  <c r="Z88" i="1"/>
  <c r="X77" i="1"/>
  <c r="AA77" i="1" s="1"/>
  <c r="V78" i="1"/>
  <c r="V80" i="1"/>
  <c r="W82" i="1"/>
  <c r="U87" i="1"/>
  <c r="Y79" i="1"/>
  <c r="Z81" i="1"/>
  <c r="X78" i="1"/>
  <c r="W80" i="1"/>
  <c r="X82" i="1"/>
  <c r="V87" i="1"/>
  <c r="Y77" i="1"/>
  <c r="Y78" i="1"/>
  <c r="X80" i="1"/>
  <c r="Y82" i="1"/>
  <c r="W87" i="1"/>
  <c r="Z79" i="1"/>
  <c r="Z78" i="1"/>
  <c r="Y80" i="1"/>
  <c r="Z82" i="1"/>
  <c r="X87" i="1"/>
  <c r="U83" i="1"/>
  <c r="L55" i="1"/>
  <c r="U52" i="1"/>
  <c r="U54" i="1"/>
  <c r="T52" i="1"/>
  <c r="T54" i="1"/>
  <c r="O85" i="1" s="1"/>
  <c r="X85" i="1" s="1"/>
  <c r="O52" i="1"/>
  <c r="O53" i="1"/>
  <c r="N52" i="1"/>
  <c r="O54" i="1"/>
  <c r="J186" i="26"/>
  <c r="J174" i="26"/>
  <c r="J162" i="26"/>
  <c r="J150" i="26"/>
  <c r="J138" i="26"/>
  <c r="J126" i="26"/>
  <c r="J114" i="26"/>
  <c r="J102" i="26"/>
  <c r="J90" i="26"/>
  <c r="J78" i="26"/>
  <c r="J66" i="26"/>
  <c r="J54" i="26"/>
  <c r="J42" i="26"/>
  <c r="J30" i="26"/>
  <c r="J18" i="26"/>
  <c r="J6" i="26"/>
  <c r="J185" i="26"/>
  <c r="J173" i="26"/>
  <c r="J161" i="26"/>
  <c r="J149" i="26"/>
  <c r="J137" i="26"/>
  <c r="J125" i="26"/>
  <c r="J113" i="26"/>
  <c r="J101" i="26"/>
  <c r="J89" i="26"/>
  <c r="J77" i="26"/>
  <c r="J65" i="26"/>
  <c r="J53" i="26"/>
  <c r="J41" i="26"/>
  <c r="J29" i="26"/>
  <c r="J17" i="26"/>
  <c r="J5" i="26"/>
  <c r="J184" i="26"/>
  <c r="J172" i="26"/>
  <c r="J160" i="26"/>
  <c r="J148" i="26"/>
  <c r="J136" i="26"/>
  <c r="J124" i="26"/>
  <c r="J112" i="26"/>
  <c r="J100" i="26"/>
  <c r="J88" i="26"/>
  <c r="J76" i="26"/>
  <c r="J64" i="26"/>
  <c r="J52" i="26"/>
  <c r="J40" i="26"/>
  <c r="J28" i="26"/>
  <c r="J16" i="26"/>
  <c r="J4" i="26"/>
  <c r="J183" i="26"/>
  <c r="J171" i="26"/>
  <c r="J159" i="26"/>
  <c r="J147" i="26"/>
  <c r="J135" i="26"/>
  <c r="J123" i="26"/>
  <c r="J111" i="26"/>
  <c r="J99" i="26"/>
  <c r="J87" i="26"/>
  <c r="J75" i="26"/>
  <c r="J63" i="26"/>
  <c r="J51" i="26"/>
  <c r="J39" i="26"/>
  <c r="J27" i="26"/>
  <c r="J15" i="26"/>
  <c r="J3" i="26"/>
  <c r="J182" i="26"/>
  <c r="J170" i="26"/>
  <c r="J158" i="26"/>
  <c r="J146" i="26"/>
  <c r="J134" i="26"/>
  <c r="J122" i="26"/>
  <c r="J110" i="26"/>
  <c r="J98" i="26"/>
  <c r="J86" i="26"/>
  <c r="J74" i="26"/>
  <c r="J62" i="26"/>
  <c r="J50" i="26"/>
  <c r="J38" i="26"/>
  <c r="J26" i="26"/>
  <c r="J14" i="26"/>
  <c r="J181" i="26"/>
  <c r="J169" i="26"/>
  <c r="J157" i="26"/>
  <c r="J145" i="26"/>
  <c r="J133" i="26"/>
  <c r="J121" i="26"/>
  <c r="J109" i="26"/>
  <c r="J97" i="26"/>
  <c r="J85" i="26"/>
  <c r="J73" i="26"/>
  <c r="J61" i="26"/>
  <c r="J49" i="26"/>
  <c r="J37" i="26"/>
  <c r="J25" i="26"/>
  <c r="J13" i="26"/>
  <c r="J180" i="26"/>
  <c r="J168" i="26"/>
  <c r="J156" i="26"/>
  <c r="J144" i="26"/>
  <c r="J132" i="26"/>
  <c r="J120" i="26"/>
  <c r="J108" i="26"/>
  <c r="J96" i="26"/>
  <c r="J84" i="26"/>
  <c r="J72" i="26"/>
  <c r="J60" i="26"/>
  <c r="J48" i="26"/>
  <c r="J36" i="26"/>
  <c r="J24" i="26"/>
  <c r="J12" i="26"/>
  <c r="J179" i="26"/>
  <c r="J167" i="26"/>
  <c r="J155" i="26"/>
  <c r="J143" i="26"/>
  <c r="J131" i="26"/>
  <c r="J119" i="26"/>
  <c r="J107" i="26"/>
  <c r="J95" i="26"/>
  <c r="J83" i="26"/>
  <c r="J71" i="26"/>
  <c r="J59" i="26"/>
  <c r="J47" i="26"/>
  <c r="J35" i="26"/>
  <c r="J23" i="26"/>
  <c r="I24" i="23"/>
  <c r="L72" i="1" s="1"/>
  <c r="H197" i="26"/>
  <c r="H4" i="24"/>
  <c r="H11" i="24"/>
  <c r="H7" i="24"/>
  <c r="H3" i="24"/>
  <c r="I14" i="24" s="1"/>
  <c r="L75" i="1" s="1"/>
  <c r="K14" i="24"/>
  <c r="P75" i="1" s="1"/>
  <c r="H10" i="24"/>
  <c r="H6" i="24"/>
  <c r="H3" i="23"/>
  <c r="H6" i="23"/>
  <c r="K25" i="22"/>
  <c r="P63" i="1" s="1"/>
  <c r="G40" i="21"/>
  <c r="G39" i="21"/>
  <c r="H39" i="21" s="1"/>
  <c r="G38" i="21"/>
  <c r="G37" i="21"/>
  <c r="H38" i="21" s="1"/>
  <c r="M36" i="21"/>
  <c r="M30" i="21"/>
  <c r="N30" i="21" s="1"/>
  <c r="M29" i="21"/>
  <c r="N29" i="21" s="1"/>
  <c r="M28" i="21"/>
  <c r="N28" i="21" s="1"/>
  <c r="M27" i="21"/>
  <c r="N27" i="21" s="1"/>
  <c r="M26" i="21"/>
  <c r="N26" i="21" s="1"/>
  <c r="M25" i="21"/>
  <c r="N25" i="21" s="1"/>
  <c r="M24" i="21"/>
  <c r="N24" i="21" s="1"/>
  <c r="M23" i="21"/>
  <c r="N23" i="21" s="1"/>
  <c r="M22" i="21"/>
  <c r="N22" i="21" s="1"/>
  <c r="N21" i="21"/>
  <c r="M21" i="21"/>
  <c r="M20" i="21"/>
  <c r="N20" i="21" s="1"/>
  <c r="N19" i="21"/>
  <c r="M19" i="21"/>
  <c r="M18" i="21"/>
  <c r="N18" i="21" s="1"/>
  <c r="M17" i="21"/>
  <c r="N17" i="21" s="1"/>
  <c r="M16" i="21"/>
  <c r="N16" i="21" s="1"/>
  <c r="M15" i="21"/>
  <c r="N15" i="21" s="1"/>
  <c r="M14" i="21"/>
  <c r="N14" i="21" s="1"/>
  <c r="M13" i="21"/>
  <c r="N13" i="21" s="1"/>
  <c r="M12" i="21"/>
  <c r="N12" i="21" s="1"/>
  <c r="M11" i="21"/>
  <c r="N11" i="21" s="1"/>
  <c r="M10" i="21"/>
  <c r="N10" i="21" s="1"/>
  <c r="N9" i="21"/>
  <c r="M9" i="21"/>
  <c r="M8" i="21"/>
  <c r="N8" i="21" s="1"/>
  <c r="M7" i="21"/>
  <c r="N7" i="21" s="1"/>
  <c r="U6" i="21"/>
  <c r="M6" i="21"/>
  <c r="N6" i="21" s="1"/>
  <c r="M5" i="21"/>
  <c r="N5" i="21" s="1"/>
  <c r="M4" i="21"/>
  <c r="N4" i="21" s="1"/>
  <c r="M3" i="21"/>
  <c r="N3" i="21" s="1"/>
  <c r="N2" i="21"/>
  <c r="G19" i="20"/>
  <c r="G18" i="20"/>
  <c r="G17" i="20"/>
  <c r="G16" i="20"/>
  <c r="E14" i="20"/>
  <c r="AN33" i="1"/>
  <c r="AN29" i="1"/>
  <c r="AM32" i="1"/>
  <c r="AM34" i="1"/>
  <c r="AM36" i="1"/>
  <c r="AM38" i="1"/>
  <c r="AM40" i="1"/>
  <c r="AM30" i="1"/>
  <c r="AN31" i="1"/>
  <c r="AN35" i="1"/>
  <c r="AN37" i="1"/>
  <c r="AN39" i="1"/>
  <c r="M27" i="22" l="1"/>
  <c r="AA78" i="1"/>
  <c r="AA80" i="1"/>
  <c r="AA81" i="1"/>
  <c r="U85" i="1"/>
  <c r="Z84" i="1"/>
  <c r="X84" i="1"/>
  <c r="V84" i="1"/>
  <c r="Y85" i="1"/>
  <c r="Z83" i="1"/>
  <c r="X83" i="1"/>
  <c r="Y83" i="1"/>
  <c r="V83" i="1"/>
  <c r="AA83" i="1" s="1"/>
  <c r="Z85" i="1"/>
  <c r="W85" i="1"/>
  <c r="L84" i="1"/>
  <c r="U84" i="1" s="1"/>
  <c r="AA87" i="1"/>
  <c r="M26" i="23"/>
  <c r="O192" i="26"/>
  <c r="M16" i="24"/>
  <c r="I32" i="21"/>
  <c r="L69" i="1" s="1"/>
  <c r="AN41" i="1"/>
  <c r="L46" i="1"/>
  <c r="AK43" i="1"/>
  <c r="AK42" i="1"/>
  <c r="AH41" i="1"/>
  <c r="AA84" i="1" l="1"/>
  <c r="K32" i="21"/>
  <c r="P69" i="1" s="1"/>
  <c r="J32" i="21"/>
  <c r="N69" i="1" s="1"/>
  <c r="AM41" i="1"/>
  <c r="B8" i="11"/>
  <c r="F4" i="3"/>
  <c r="F5" i="3"/>
  <c r="F6" i="3"/>
  <c r="F7" i="3"/>
  <c r="F8" i="3"/>
  <c r="F3" i="3"/>
  <c r="M34" i="21" l="1"/>
  <c r="K50" i="1" l="1"/>
  <c r="K49" i="1"/>
  <c r="K48" i="1"/>
  <c r="K47" i="1"/>
  <c r="U48" i="1" l="1"/>
  <c r="U47" i="1"/>
  <c r="U49" i="1"/>
  <c r="U50" i="1"/>
  <c r="U51" i="1"/>
  <c r="U46" i="1"/>
  <c r="T47" i="1"/>
  <c r="T48" i="1"/>
  <c r="T49" i="1"/>
  <c r="T50" i="1"/>
  <c r="T51" i="1"/>
  <c r="T46" i="1"/>
  <c r="N46" i="1"/>
  <c r="N61" i="1" s="1"/>
  <c r="T95" i="1"/>
  <c r="U94" i="1"/>
  <c r="U95" i="1" l="1"/>
  <c r="U96" i="1"/>
  <c r="U97" i="1"/>
  <c r="U98" i="1"/>
  <c r="U99" i="1"/>
  <c r="T96" i="1"/>
  <c r="T97" i="1"/>
  <c r="T98" i="1"/>
  <c r="T99" i="1"/>
  <c r="T94" i="1"/>
  <c r="Q47" i="1"/>
  <c r="R47" i="1"/>
  <c r="Q48" i="1"/>
  <c r="R48" i="1"/>
  <c r="Q49" i="1"/>
  <c r="R49" i="1"/>
  <c r="Q50" i="1"/>
  <c r="R50" i="1"/>
  <c r="Q51" i="1"/>
  <c r="R51" i="1"/>
  <c r="R46" i="1"/>
  <c r="Q46" i="1"/>
  <c r="O61" i="1" s="1"/>
  <c r="N47" i="1"/>
  <c r="N64" i="1" s="1"/>
  <c r="O47" i="1"/>
  <c r="P64" i="1" s="1"/>
  <c r="N48" i="1"/>
  <c r="N67" i="1" s="1"/>
  <c r="O48" i="1"/>
  <c r="P67" i="1" s="1"/>
  <c r="N49" i="1"/>
  <c r="N70" i="1" s="1"/>
  <c r="O49" i="1"/>
  <c r="P70" i="1" s="1"/>
  <c r="N50" i="1"/>
  <c r="N73" i="1" s="1"/>
  <c r="O50" i="1"/>
  <c r="P73" i="1" s="1"/>
  <c r="N51" i="1"/>
  <c r="N76" i="1" s="1"/>
  <c r="O51" i="1"/>
  <c r="P76" i="1" s="1"/>
  <c r="O46" i="1"/>
  <c r="P61" i="1" s="1"/>
  <c r="N62" i="1"/>
  <c r="L47" i="1"/>
  <c r="P62" i="1" s="1"/>
  <c r="N65" i="1"/>
  <c r="L48" i="1"/>
  <c r="P65" i="1" s="1"/>
  <c r="N68" i="1"/>
  <c r="L49" i="1"/>
  <c r="P68" i="1" s="1"/>
  <c r="N71" i="1"/>
  <c r="L50" i="1"/>
  <c r="P71" i="1" s="1"/>
  <c r="N74" i="1"/>
  <c r="L51" i="1"/>
  <c r="P74" i="1" s="1"/>
  <c r="P59" i="1"/>
  <c r="Q64" i="1" l="1"/>
  <c r="O64" i="1"/>
  <c r="Q61" i="1"/>
  <c r="Q76" i="1"/>
  <c r="O76" i="1"/>
  <c r="Q73" i="1"/>
  <c r="O73" i="1"/>
  <c r="Q70" i="1"/>
  <c r="O70" i="1"/>
  <c r="Q67" i="1"/>
  <c r="O67" i="1"/>
  <c r="D128" i="8" l="1"/>
  <c r="B134" i="8" s="1"/>
  <c r="B98" i="8"/>
  <c r="G129" i="8" l="1"/>
  <c r="D10" i="7"/>
  <c r="B10" i="7"/>
  <c r="B13" i="7" l="1"/>
  <c r="D15" i="6"/>
  <c r="C15" i="6"/>
  <c r="B15" i="6"/>
  <c r="F15" i="6" s="1"/>
  <c r="B18" i="6" l="1"/>
  <c r="D19" i="5"/>
  <c r="C19" i="5"/>
  <c r="B19" i="5"/>
  <c r="F19" i="5" l="1"/>
  <c r="B22" i="5"/>
  <c r="D19" i="4" l="1"/>
  <c r="B19" i="4"/>
  <c r="B22" i="4" s="1"/>
  <c r="F19" i="4" l="1"/>
  <c r="D10" i="3" l="1"/>
  <c r="B10" i="3"/>
  <c r="B12" i="3" s="1"/>
  <c r="F10" i="3" l="1"/>
  <c r="C8" i="2" l="1"/>
  <c r="C7" i="2"/>
  <c r="C6" i="2"/>
  <c r="C5" i="2"/>
  <c r="C4" i="2"/>
  <c r="C3" i="2"/>
  <c r="C42" i="1" l="1"/>
  <c r="D7" i="1"/>
  <c r="E7" i="1" s="1"/>
  <c r="G27" i="1" s="1"/>
  <c r="D27" i="1"/>
  <c r="D4" i="1"/>
  <c r="E4" i="1" s="1"/>
  <c r="F4" i="1"/>
  <c r="G4" i="1" s="1"/>
  <c r="D28" i="1"/>
  <c r="D29" i="1"/>
  <c r="D30" i="1"/>
  <c r="D31" i="1"/>
  <c r="D32" i="1"/>
  <c r="I51" i="1" l="1"/>
  <c r="J51" i="1" s="1"/>
  <c r="I52" i="1"/>
  <c r="I53" i="1"/>
  <c r="I54" i="1"/>
  <c r="AK29" i="1"/>
  <c r="AL29" i="1" s="1"/>
  <c r="I46" i="1"/>
  <c r="AK30" i="1"/>
  <c r="AL30" i="1" s="1"/>
  <c r="AK34" i="1"/>
  <c r="AL34" i="1" s="1"/>
  <c r="AK38" i="1"/>
  <c r="AL38" i="1" s="1"/>
  <c r="AK31" i="1"/>
  <c r="AL31" i="1" s="1"/>
  <c r="AK35" i="1"/>
  <c r="AL35" i="1" s="1"/>
  <c r="AK39" i="1"/>
  <c r="AL39" i="1" s="1"/>
  <c r="AK32" i="1"/>
  <c r="AL32" i="1" s="1"/>
  <c r="AK36" i="1"/>
  <c r="AL36" i="1" s="1"/>
  <c r="AK40" i="1"/>
  <c r="AL40" i="1" s="1"/>
  <c r="AK33" i="1"/>
  <c r="AL33" i="1" s="1"/>
  <c r="AK37" i="1"/>
  <c r="AL37" i="1" s="1"/>
  <c r="I49" i="1"/>
  <c r="S49" i="1" s="1"/>
  <c r="E42" i="1"/>
  <c r="F42" i="1" s="1"/>
  <c r="I47" i="1"/>
  <c r="S47" i="1" s="1"/>
  <c r="I48" i="1"/>
  <c r="S48" i="1" s="1"/>
  <c r="I50" i="1"/>
  <c r="S50" i="1" s="1"/>
  <c r="D15" i="1"/>
  <c r="S53" i="1" l="1"/>
  <c r="M53" i="1"/>
  <c r="P53" i="1"/>
  <c r="M82" i="1" s="1"/>
  <c r="V82" i="1" s="1"/>
  <c r="AA82" i="1" s="1"/>
  <c r="J53" i="1"/>
  <c r="P52" i="1"/>
  <c r="M79" i="1" s="1"/>
  <c r="V79" i="1" s="1"/>
  <c r="AA79" i="1" s="1"/>
  <c r="M52" i="1"/>
  <c r="J52" i="1"/>
  <c r="M54" i="1"/>
  <c r="P54" i="1"/>
  <c r="M85" i="1" s="1"/>
  <c r="V85" i="1" s="1"/>
  <c r="AA85" i="1" s="1"/>
  <c r="M55" i="1"/>
  <c r="J55" i="1"/>
  <c r="P55" i="1"/>
  <c r="M88" i="1" s="1"/>
  <c r="V88" i="1" s="1"/>
  <c r="AA88" i="1" s="1"/>
  <c r="S55" i="1"/>
  <c r="J46" i="1"/>
  <c r="V60" i="1" s="1"/>
  <c r="M46" i="1"/>
  <c r="L61" i="1" s="1"/>
  <c r="AL41" i="1"/>
  <c r="J49" i="1"/>
  <c r="L68" i="1" s="1"/>
  <c r="M49" i="1"/>
  <c r="D62" i="1" s="1"/>
  <c r="P49" i="1"/>
  <c r="C62" i="1" s="1"/>
  <c r="P47" i="1"/>
  <c r="S46" i="1"/>
  <c r="L74" i="1"/>
  <c r="P48" i="1"/>
  <c r="M48" i="1"/>
  <c r="P51" i="1"/>
  <c r="M76" i="1" s="1"/>
  <c r="M51" i="1"/>
  <c r="P50" i="1"/>
  <c r="M50" i="1"/>
  <c r="P46" i="1"/>
  <c r="M47" i="1"/>
  <c r="B62" i="1"/>
  <c r="J47" i="1"/>
  <c r="J50" i="1"/>
  <c r="J48" i="1"/>
  <c r="G10" i="1"/>
  <c r="E10" i="1"/>
  <c r="G9" i="1"/>
  <c r="E9" i="1"/>
  <c r="F7" i="1"/>
  <c r="G7" i="1" s="1"/>
  <c r="F6" i="1"/>
  <c r="G6" i="1" s="1"/>
  <c r="D6" i="1"/>
  <c r="E6" i="1" s="1"/>
  <c r="F5" i="1"/>
  <c r="G5" i="1" s="1"/>
  <c r="D5" i="1"/>
  <c r="E5" i="1" s="1"/>
  <c r="M61" i="1" l="1"/>
  <c r="U59" i="1"/>
  <c r="Y60" i="1"/>
  <c r="V69" i="1"/>
  <c r="X69" i="1"/>
  <c r="Z69" i="1"/>
  <c r="W69" i="1"/>
  <c r="Z74" i="1"/>
  <c r="V75" i="1"/>
  <c r="X75" i="1"/>
  <c r="Z75" i="1"/>
  <c r="W75" i="1"/>
  <c r="U75" i="1"/>
  <c r="Y75" i="1"/>
  <c r="Z70" i="1"/>
  <c r="Z68" i="1"/>
  <c r="X60" i="1"/>
  <c r="Z60" i="1"/>
  <c r="W60" i="1"/>
  <c r="Z61" i="1"/>
  <c r="W68" i="1"/>
  <c r="Y70" i="1"/>
  <c r="U60" i="1"/>
  <c r="V68" i="1"/>
  <c r="AO43" i="1"/>
  <c r="X68" i="1"/>
  <c r="W70" i="1"/>
  <c r="U68" i="1"/>
  <c r="X70" i="1"/>
  <c r="Y68" i="1"/>
  <c r="E62" i="1"/>
  <c r="L70" i="1"/>
  <c r="W74" i="1"/>
  <c r="W76" i="1"/>
  <c r="B64" i="1"/>
  <c r="Y76" i="1"/>
  <c r="Y74" i="1"/>
  <c r="U74" i="1"/>
  <c r="V74" i="1"/>
  <c r="Z76" i="1"/>
  <c r="X74" i="1"/>
  <c r="X76" i="1"/>
  <c r="C60" i="1"/>
  <c r="E60" i="1"/>
  <c r="B61" i="1"/>
  <c r="L65" i="1"/>
  <c r="B60" i="1"/>
  <c r="L62" i="1"/>
  <c r="D59" i="1"/>
  <c r="D63" i="1"/>
  <c r="L73" i="1"/>
  <c r="H62" i="1"/>
  <c r="E63" i="1"/>
  <c r="C63" i="1"/>
  <c r="C64" i="1"/>
  <c r="E64" i="1"/>
  <c r="B59" i="1"/>
  <c r="D60" i="1"/>
  <c r="L64" i="1"/>
  <c r="B63" i="1"/>
  <c r="L71" i="1"/>
  <c r="D61" i="1"/>
  <c r="L67" i="1"/>
  <c r="C59" i="1"/>
  <c r="E59" i="1"/>
  <c r="D64" i="1"/>
  <c r="L76" i="1"/>
  <c r="C61" i="1"/>
  <c r="E61" i="1"/>
  <c r="C21" i="1"/>
  <c r="L28" i="1"/>
  <c r="L32" i="1"/>
  <c r="L27" i="1"/>
  <c r="L30" i="1"/>
  <c r="L31" i="1"/>
  <c r="L29" i="1"/>
  <c r="K30" i="1"/>
  <c r="K31" i="1"/>
  <c r="K29" i="1"/>
  <c r="K27" i="1"/>
  <c r="K28" i="1"/>
  <c r="K32" i="1"/>
  <c r="C20" i="1"/>
  <c r="G31" i="1"/>
  <c r="H31" i="1" s="1"/>
  <c r="H27" i="1"/>
  <c r="G28" i="1"/>
  <c r="H28" i="1" s="1"/>
  <c r="G32" i="1"/>
  <c r="H32" i="1" s="1"/>
  <c r="G29" i="1"/>
  <c r="H29" i="1" s="1"/>
  <c r="G30" i="1"/>
  <c r="H30" i="1" s="1"/>
  <c r="D20" i="1"/>
  <c r="E20" i="1" s="1"/>
  <c r="I27" i="1"/>
  <c r="I28" i="1"/>
  <c r="I32" i="1"/>
  <c r="I29" i="1"/>
  <c r="I30" i="1"/>
  <c r="I31" i="1"/>
  <c r="B17" i="1"/>
  <c r="F31" i="1"/>
  <c r="F28" i="1"/>
  <c r="F32" i="1"/>
  <c r="F27" i="1"/>
  <c r="F29" i="1"/>
  <c r="F30" i="1"/>
  <c r="G15" i="1"/>
  <c r="H23" i="1"/>
  <c r="J29" i="1"/>
  <c r="J30" i="1"/>
  <c r="J31" i="1"/>
  <c r="J27" i="1"/>
  <c r="J28" i="1"/>
  <c r="J32" i="1"/>
  <c r="B18" i="1"/>
  <c r="U64" i="1" l="1"/>
  <c r="AA75" i="1"/>
  <c r="V72" i="1"/>
  <c r="X72" i="1"/>
  <c r="Z72" i="1"/>
  <c r="W72" i="1"/>
  <c r="Y72" i="1"/>
  <c r="U72" i="1"/>
  <c r="AA60" i="1"/>
  <c r="V66" i="1"/>
  <c r="V90" i="1" s="1"/>
  <c r="X66" i="1"/>
  <c r="X90" i="1" s="1"/>
  <c r="Z66" i="1"/>
  <c r="Z90" i="1" s="1"/>
  <c r="U66" i="1"/>
  <c r="W66" i="1"/>
  <c r="Y66" i="1"/>
  <c r="V63" i="1"/>
  <c r="Z63" i="1"/>
  <c r="X63" i="1"/>
  <c r="AA74" i="1"/>
  <c r="AA68" i="1"/>
  <c r="U76" i="1"/>
  <c r="M73" i="1"/>
  <c r="U70" i="1"/>
  <c r="M67" i="1"/>
  <c r="U61" i="1"/>
  <c r="M70" i="1"/>
  <c r="H64" i="1"/>
  <c r="H63" i="1"/>
  <c r="H61" i="1"/>
  <c r="C23" i="1"/>
  <c r="Z59" i="1"/>
  <c r="X59" i="1"/>
  <c r="V59" i="1"/>
  <c r="W59" i="1"/>
  <c r="Y61" i="1"/>
  <c r="W61" i="1"/>
  <c r="Y59" i="1"/>
  <c r="X61" i="1"/>
  <c r="Z62" i="1"/>
  <c r="X62" i="1"/>
  <c r="V62" i="1"/>
  <c r="U62" i="1"/>
  <c r="Y62" i="1"/>
  <c r="W62" i="1"/>
  <c r="W64" i="1"/>
  <c r="Y64" i="1"/>
  <c r="Z64" i="1"/>
  <c r="X64" i="1"/>
  <c r="H59" i="1"/>
  <c r="AO44" i="1"/>
  <c r="Z65" i="1"/>
  <c r="Z89" i="1" s="1"/>
  <c r="X65" i="1"/>
  <c r="X89" i="1" s="1"/>
  <c r="V65" i="1"/>
  <c r="V89" i="1" s="1"/>
  <c r="U65" i="1"/>
  <c r="U89" i="1" s="1"/>
  <c r="W65" i="1"/>
  <c r="W89" i="1" s="1"/>
  <c r="Y65" i="1"/>
  <c r="Y89" i="1" s="1"/>
  <c r="Y67" i="1"/>
  <c r="Y91" i="1" s="1"/>
  <c r="W67" i="1"/>
  <c r="W91" i="1" s="1"/>
  <c r="X67" i="1"/>
  <c r="Z67" i="1"/>
  <c r="U67" i="1"/>
  <c r="Z71" i="1"/>
  <c r="X71" i="1"/>
  <c r="V71" i="1"/>
  <c r="U71" i="1"/>
  <c r="Y71" i="1"/>
  <c r="Y73" i="1"/>
  <c r="W71" i="1"/>
  <c r="W73" i="1"/>
  <c r="X73" i="1"/>
  <c r="Z73" i="1"/>
  <c r="H60" i="1"/>
  <c r="U73" i="1"/>
  <c r="M64" i="1"/>
  <c r="N27" i="1"/>
  <c r="M27" i="1"/>
  <c r="O27" i="1" s="1"/>
  <c r="N29" i="1"/>
  <c r="M29" i="1"/>
  <c r="O29" i="1" s="1"/>
  <c r="M32" i="1"/>
  <c r="O32" i="1" s="1"/>
  <c r="N32" i="1"/>
  <c r="N31" i="1"/>
  <c r="M31" i="1"/>
  <c r="O31" i="1" s="1"/>
  <c r="M28" i="1"/>
  <c r="O28" i="1" s="1"/>
  <c r="N28" i="1"/>
  <c r="N30" i="1"/>
  <c r="M30" i="1"/>
  <c r="O30" i="1" s="1"/>
  <c r="C22" i="1"/>
  <c r="D22" i="1" s="1"/>
  <c r="Z91" i="1" l="1"/>
  <c r="X91" i="1"/>
  <c r="AA89" i="1"/>
  <c r="U91" i="1"/>
  <c r="AA72" i="1"/>
  <c r="V67" i="1"/>
  <c r="AA67" i="1" s="1"/>
  <c r="AA66" i="1"/>
  <c r="AA65" i="1"/>
  <c r="AA71" i="1"/>
  <c r="AA62" i="1"/>
  <c r="V73" i="1"/>
  <c r="AA73" i="1" s="1"/>
  <c r="V70" i="1"/>
  <c r="AA70" i="1" s="1"/>
  <c r="V64" i="1"/>
  <c r="AA64" i="1" s="1"/>
  <c r="V61" i="1"/>
  <c r="AA61" i="1" s="1"/>
  <c r="V76" i="1"/>
  <c r="P27" i="1"/>
  <c r="F23" i="1"/>
  <c r="AA59" i="1"/>
  <c r="G23" i="1"/>
  <c r="Q27" i="1"/>
  <c r="Q30" i="1"/>
  <c r="P30" i="1"/>
  <c r="Q29" i="1"/>
  <c r="P29" i="1"/>
  <c r="Q32" i="1"/>
  <c r="P32" i="1"/>
  <c r="P31" i="1"/>
  <c r="Q31" i="1"/>
  <c r="P28" i="1"/>
  <c r="Q28" i="1"/>
  <c r="AA76" i="1" l="1"/>
  <c r="V91" i="1"/>
  <c r="AA91" i="1" s="1"/>
  <c r="U69" i="1" l="1"/>
  <c r="Y69" i="1"/>
  <c r="AA69" i="1" l="1"/>
  <c r="Y63" i="1" l="1"/>
  <c r="Y90" i="1" s="1"/>
  <c r="U63" i="1" l="1"/>
  <c r="U90" i="1" s="1"/>
  <c r="W63" i="1"/>
  <c r="W90" i="1" s="1"/>
  <c r="AA90" i="1" l="1"/>
  <c r="AA63" i="1"/>
  <c r="T1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J29" authorId="0" shapeId="0" xr:uid="{0B2F1AFE-A02F-054B-AD87-B2BF9AA54C92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Mal debe ser 437728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I1" authorId="0" shapeId="0" xr:uid="{DC5EFB9B-F555-8044-87CD-C3B4345CF3F1}">
      <text>
        <r>
          <rPr>
            <b/>
            <sz val="9"/>
            <color indexed="81"/>
            <rFont val="Tahoma"/>
            <family val="2"/>
          </rPr>
          <t xml:space="preserve">usuario: Estos datos  resultan al comparar con el acc ideal </t>
        </r>
        <r>
          <rPr>
            <sz val="9"/>
            <color indexed="81"/>
            <rFont val="Tahoma"/>
            <family val="2"/>
          </rPr>
          <t xml:space="preserve">
0.913333356380462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E1" authorId="0" shapeId="0" xr:uid="{0F501DD2-E9B9-AF40-BA42-EA868BCD8162}">
      <text>
        <r>
          <rPr>
            <b/>
            <sz val="10"/>
            <color indexed="81"/>
            <rFont val="Tahoma"/>
            <family val="2"/>
          </rPr>
          <t>usuario:</t>
        </r>
        <r>
          <rPr>
            <sz val="10"/>
            <color indexed="81"/>
            <rFont val="Tahoma"/>
            <family val="2"/>
          </rPr>
          <t xml:space="preserve">
Debo recalcularlo porque salen capas qu en no correponden</t>
        </r>
      </text>
    </comment>
    <comment ref="B3" authorId="0" shapeId="0" xr:uid="{C8EFBC5A-7BD1-E540-AEF3-29A8E93E6183}">
      <text>
        <r>
          <rPr>
            <b/>
            <sz val="10"/>
            <color rgb="FF000000"/>
            <rFont val="Tahoma"/>
            <family val="2"/>
          </rPr>
          <t>usuario: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debido a la arqu es aquí donde se comienza a inyectar errores</t>
        </r>
      </text>
    </comment>
  </commentList>
</comments>
</file>

<file path=xl/sharedStrings.xml><?xml version="1.0" encoding="utf-8"?>
<sst xmlns="http://schemas.openxmlformats.org/spreadsheetml/2006/main" count="2069" uniqueCount="200">
  <si>
    <t>32 nm</t>
  </si>
  <si>
    <t>Escalado</t>
  </si>
  <si>
    <t>2048 B, 4096 B, 8192 B, 16384 B</t>
  </si>
  <si>
    <t>Dyn</t>
  </si>
  <si>
    <t>Patch cache</t>
  </si>
  <si>
    <t>Static (mW)</t>
  </si>
  <si>
    <t>Static (W)</t>
  </si>
  <si>
    <t>Read (nJ)</t>
  </si>
  <si>
    <t>Read (J)</t>
  </si>
  <si>
    <t>0.6V</t>
  </si>
  <si>
    <t>original</t>
  </si>
  <si>
    <t>64B-4way</t>
  </si>
  <si>
    <t>x2</t>
  </si>
  <si>
    <t>128B-4way</t>
  </si>
  <si>
    <t>x3</t>
  </si>
  <si>
    <t>256B-4way</t>
  </si>
  <si>
    <t>x4</t>
  </si>
  <si>
    <t>512B-4way</t>
  </si>
  <si>
    <t>2 MB scratch</t>
  </si>
  <si>
    <t>0.54V</t>
  </si>
  <si>
    <t>Multiplicar por número de accesos (lecturas y escrituras)</t>
  </si>
  <si>
    <t>Multiplicar por ciclos y por tiempo de ciclo (1e-9 s, asumiendo F=1GHz), resultado son J</t>
  </si>
  <si>
    <t>ciclos</t>
  </si>
  <si>
    <t>0.54v</t>
  </si>
  <si>
    <t>0.6v</t>
  </si>
  <si>
    <t>AlexNet</t>
  </si>
  <si>
    <t>SqueezeNet</t>
  </si>
  <si>
    <t>DenseNet</t>
  </si>
  <si>
    <t>MobileNet</t>
  </si>
  <si>
    <t>VGG16</t>
  </si>
  <si>
    <t>ZFNet</t>
  </si>
  <si>
    <t>VBW_x4</t>
  </si>
  <si>
    <t>R+WxB</t>
  </si>
  <si>
    <t>xPE=16</t>
  </si>
  <si>
    <t>ExG7</t>
  </si>
  <si>
    <t>Gx1e-9</t>
  </si>
  <si>
    <t>(B+E)*E7</t>
  </si>
  <si>
    <t>CxG9</t>
  </si>
  <si>
    <t>M+F+H</t>
  </si>
  <si>
    <t>ciclo</t>
  </si>
  <si>
    <t>CxG10</t>
  </si>
  <si>
    <t>E9xB</t>
  </si>
  <si>
    <t>E10xB</t>
  </si>
  <si>
    <t>N/O</t>
  </si>
  <si>
    <t>N/M</t>
  </si>
  <si>
    <t>Memoria 2MiB</t>
  </si>
  <si>
    <t>P. Static</t>
  </si>
  <si>
    <t>Watts</t>
  </si>
  <si>
    <t>Read Block 32B</t>
  </si>
  <si>
    <t>Write Block 32B</t>
  </si>
  <si>
    <t>Read act. 16b</t>
  </si>
  <si>
    <t>Write act. 16b</t>
  </si>
  <si>
    <t>ciclos ejecución</t>
  </si>
  <si>
    <t>Lect. activaciones</t>
  </si>
  <si>
    <t>Lect. Bloques 32B</t>
  </si>
  <si>
    <t>Escr. Activaciones</t>
  </si>
  <si>
    <t>E. Bloques 32B</t>
  </si>
  <si>
    <t>Reloj</t>
  </si>
  <si>
    <t>GHz</t>
  </si>
  <si>
    <t>ns</t>
  </si>
  <si>
    <t>Tiempo Eje (s)</t>
  </si>
  <si>
    <t>Cache Patch</t>
  </si>
  <si>
    <t>E. Estatica</t>
  </si>
  <si>
    <t>E. Lectura</t>
  </si>
  <si>
    <t>E. Escrituras</t>
  </si>
  <si>
    <t xml:space="preserve">Energia Estática </t>
  </si>
  <si>
    <t>Memoria 2MiB 0.6V</t>
  </si>
  <si>
    <t>Energia Estática</t>
  </si>
  <si>
    <t>Memoria 2MiB 0.54V</t>
  </si>
  <si>
    <t>E.Lecturas</t>
  </si>
  <si>
    <t>E.Escritura</t>
  </si>
  <si>
    <t>E. Lecturas</t>
  </si>
  <si>
    <t>Lecturas VBW</t>
  </si>
  <si>
    <t>Escrituras VBW</t>
  </si>
  <si>
    <t>Solo activaciones</t>
  </si>
  <si>
    <t>Convecional 0.6V</t>
  </si>
  <si>
    <t>F+P 0.54V</t>
  </si>
  <si>
    <t>Arquit</t>
  </si>
  <si>
    <t>ciclos_1img</t>
  </si>
  <si>
    <t>ciclos_150img</t>
  </si>
  <si>
    <t># acces_VBW_1im</t>
  </si>
  <si>
    <t># acces_VBW_150</t>
  </si>
  <si>
    <t>Lecturas</t>
  </si>
  <si>
    <t>Escrituras</t>
  </si>
  <si>
    <t>mask_2</t>
  </si>
  <si>
    <t>Mask_3</t>
  </si>
  <si>
    <t>mask_4</t>
  </si>
  <si>
    <t>Capa</t>
  </si>
  <si>
    <t>Read_block</t>
  </si>
  <si>
    <t>Write_block</t>
  </si>
  <si>
    <t>Conv2D</t>
  </si>
  <si>
    <t>InputLayer</t>
  </si>
  <si>
    <t>MaxPooling2D</t>
  </si>
  <si>
    <t>Dense</t>
  </si>
  <si>
    <t>GlobalAveragePooling2D</t>
  </si>
  <si>
    <t>DepthwiseConv2D</t>
  </si>
  <si>
    <t>Lectura</t>
  </si>
  <si>
    <t>Escritura</t>
  </si>
  <si>
    <t>BatchNormalization</t>
  </si>
  <si>
    <t>Concatenate</t>
  </si>
  <si>
    <t>AveragePooling2D</t>
  </si>
  <si>
    <t>Lambda</t>
  </si>
  <si>
    <t xml:space="preserve">Access time </t>
  </si>
  <si>
    <t>low-op</t>
  </si>
  <si>
    <t xml:space="preserve">Access time 	</t>
  </si>
  <si>
    <t>Memoria cache 1280B-5way</t>
  </si>
  <si>
    <t>Memoria 2MiB con overhead de f y p bits (256 KB)</t>
  </si>
  <si>
    <t>nJulios</t>
  </si>
  <si>
    <t>JULIOS</t>
  </si>
  <si>
    <t>con overhead de p y f bits</t>
  </si>
  <si>
    <t>F+P (sin f ypbits)</t>
  </si>
  <si>
    <t>Act buffer</t>
  </si>
  <si>
    <t>Overhead</t>
  </si>
  <si>
    <t>Mejora en consumo energético</t>
  </si>
  <si>
    <t>F+P</t>
  </si>
  <si>
    <t>Leakage</t>
  </si>
  <si>
    <t>Leakage_Ovh</t>
  </si>
  <si>
    <t>Read</t>
  </si>
  <si>
    <t>Read_Ovh</t>
  </si>
  <si>
    <t>Write</t>
  </si>
  <si>
    <t>Write_Ovh</t>
  </si>
  <si>
    <t>Perf. Slowdown</t>
  </si>
  <si>
    <t>Perf. Speedup</t>
  </si>
  <si>
    <t>Avg</t>
  </si>
  <si>
    <t>Memoria 2MiB con overhead de f y p bits (128 KB)</t>
  </si>
  <si>
    <t>2,9054</t>
  </si>
  <si>
    <t>Memoria 2MiB con VDD nominal = 0.9 V</t>
  </si>
  <si>
    <t>Redes</t>
  </si>
  <si>
    <t>Vol</t>
  </si>
  <si>
    <t>Leakage Sbc</t>
  </si>
  <si>
    <t>Lect Sbc</t>
  </si>
  <si>
    <t>Esc Sbc</t>
  </si>
  <si>
    <t>DVS</t>
  </si>
  <si>
    <t>V+R</t>
  </si>
  <si>
    <t>capa</t>
  </si>
  <si>
    <t>Accu</t>
  </si>
  <si>
    <t>vol</t>
  </si>
  <si>
    <t>cycles</t>
  </si>
  <si>
    <t>que valoramos para que no se contara la cantidad de veces que pasara un filtro por la misma posición del buffer</t>
  </si>
  <si>
    <t>Para las lecturas me saldrán estas capas(analizando serían las que faltan arriba) pero estos datos los calculé antes de hacer el análisis</t>
  </si>
  <si>
    <t>Ahora tengo duda en esto porque para las escrituras solamente guardo las capas que pasan y divido entre 16  y para las lecturas guardo las capas qu epasan por la función de lectura</t>
  </si>
  <si>
    <t xml:space="preserve">Para el calculo de los valores de lectura habiamos definidos tomar direcciones de 16 en 16 y seleccionar el valor mayor. </t>
  </si>
  <si>
    <t>Ahora para calcular las lecturas por capas necesito analizar cómo hacerlo.</t>
  </si>
  <si>
    <t>Este dato coindice con el total de escrituras (ver Hoja 1  E. Bloques 32B para Alexnet)pero me llama la atención es que fantan capas(ver ACC_Vol_capas_AlexNet)</t>
  </si>
  <si>
    <t>Suma</t>
  </si>
  <si>
    <t>Read_write_block</t>
  </si>
  <si>
    <t>rojo</t>
  </si>
  <si>
    <t>azul</t>
  </si>
  <si>
    <t>Las lecturas no me dan exactamente igual  he analizado el código y ya no lo veo o estoy muy bloqueada</t>
  </si>
  <si>
    <t>ThunderVolt</t>
  </si>
  <si>
    <t>Alexnet</t>
  </si>
  <si>
    <t>T.Ejecución</t>
  </si>
  <si>
    <t>E.Estatica</t>
  </si>
  <si>
    <t>s</t>
  </si>
  <si>
    <t>Totales</t>
  </si>
  <si>
    <t>E.Total</t>
  </si>
  <si>
    <t>F+P Total</t>
  </si>
  <si>
    <t>InputLayer_write</t>
  </si>
  <si>
    <t>Conv2D_read</t>
  </si>
  <si>
    <t>MaxPooling2D_write</t>
  </si>
  <si>
    <t>BatchNormalization_read</t>
  </si>
  <si>
    <t>Conv2D_write</t>
  </si>
  <si>
    <t>BatchNormalization_write</t>
  </si>
  <si>
    <t>AveragePooling2D_read</t>
  </si>
  <si>
    <t>AveragePooling2D_write</t>
  </si>
  <si>
    <t>ok</t>
  </si>
  <si>
    <t>GlobalAveragePooling2D_read</t>
  </si>
  <si>
    <t>Dense_write</t>
  </si>
  <si>
    <t>ndarray</t>
  </si>
  <si>
    <t>MaxPooling2D_read</t>
  </si>
  <si>
    <t>GlobalAveragePooling2D_write</t>
  </si>
  <si>
    <t>offset</t>
  </si>
  <si>
    <t>Total</t>
  </si>
  <si>
    <t>totales</t>
  </si>
  <si>
    <t>F+P Energia</t>
  </si>
  <si>
    <t>Thunder</t>
  </si>
  <si>
    <t>Gold accuracy</t>
  </si>
  <si>
    <t>voltajes originales</t>
  </si>
  <si>
    <t>GOLD accuracy</t>
  </si>
  <si>
    <t>ResNet</t>
  </si>
  <si>
    <t>Incept</t>
  </si>
  <si>
    <t>Xcept</t>
  </si>
  <si>
    <t>VGG19</t>
  </si>
  <si>
    <t>Dense_read</t>
  </si>
  <si>
    <t>Ecrituras</t>
  </si>
  <si>
    <t>Hoja1</t>
  </si>
  <si>
    <t>DepthwiseConv2D_write</t>
  </si>
  <si>
    <t>write_read_block</t>
  </si>
  <si>
    <t>capa_red</t>
  </si>
  <si>
    <t>Write_read_block</t>
  </si>
  <si>
    <t>capa_red_write</t>
  </si>
  <si>
    <t>SeparableConv2D_write</t>
  </si>
  <si>
    <t>SeparableConv2D_read</t>
  </si>
  <si>
    <t>Cycles</t>
  </si>
  <si>
    <t>Totale</t>
  </si>
  <si>
    <t>Inception</t>
  </si>
  <si>
    <t>Xception</t>
  </si>
  <si>
    <t>suma voltaje capas</t>
  </si>
  <si>
    <t>SUMA voltaje capas</t>
  </si>
  <si>
    <t>Suma capas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</si>
</sst>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0.0000"/>
    <numFmt numFmtId="165" formatCode="#,##0.000000"/>
    <numFmt numFmtId="166" formatCode="0.000000"/>
    <numFmt numFmtId="167" formatCode="#,##0.00000"/>
    <numFmt numFmtId="168" formatCode="#,##0.00000000"/>
    <numFmt numFmtId="169" formatCode="0.0000E+00"/>
    <numFmt numFmtId="170" formatCode="0.00000E+00"/>
    <numFmt numFmtId="171" formatCode="0.000E+00"/>
    <numFmt numFmtId="172" formatCode="0.000"/>
    <numFmt numFmtId="173" formatCode="#.00"/>
    <numFmt numFmtId="174" formatCode="0.00000"/>
    <numFmt numFmtId="175" formatCode="0.0000000000"/>
    <numFmt numFmtId="176" formatCode="0.00000000"/>
    <numFmt numFmtId="177" formatCode="0.000000000000"/>
    <numFmt numFmtId="178" formatCode="0.0"/>
  </numFmts>
  <fonts count="36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1"/>
      <color rgb="FF000000"/>
      <name val="Calibri"/>
      <family val="2"/>
    </font>
    <font>
      <sz val="10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sz val="10"/>
      <name val="Arial"/>
      <family val="2"/>
      <scheme val="minor"/>
    </font>
    <font>
      <sz val="11"/>
      <color rgb="FFFF0000"/>
      <name val="Arial"/>
      <family val="2"/>
      <scheme val="minor"/>
    </font>
    <font>
      <sz val="11"/>
      <color theme="9"/>
      <name val="Arial"/>
      <family val="2"/>
      <scheme val="minor"/>
    </font>
    <font>
      <sz val="11"/>
      <color theme="4" tint="-0.249977111117893"/>
      <name val="Arial"/>
      <family val="2"/>
      <scheme val="minor"/>
    </font>
    <font>
      <sz val="11"/>
      <color rgb="FF0070C0"/>
      <name val="Arial"/>
      <family val="2"/>
      <scheme val="minor"/>
    </font>
    <font>
      <sz val="11"/>
      <name val="Arial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000000"/>
      <name val="Arial"/>
      <family val="2"/>
      <scheme val="minor"/>
    </font>
    <font>
      <sz val="10"/>
      <color theme="4"/>
      <name val="Arial"/>
      <family val="2"/>
      <scheme val="minor"/>
    </font>
    <font>
      <sz val="10"/>
      <color rgb="FF0070C0"/>
      <name val="Arial"/>
      <family val="2"/>
      <scheme val="minor"/>
    </font>
    <font>
      <sz val="10"/>
      <color rgb="FFC00000"/>
      <name val="Arial"/>
      <family val="2"/>
      <scheme val="minor"/>
    </font>
    <font>
      <sz val="10"/>
      <color theme="1"/>
      <name val="Arial Unicode MS"/>
      <family val="2"/>
    </font>
    <font>
      <sz val="10"/>
      <color rgb="FF000000"/>
      <name val="Arial Unicode MS"/>
      <family val="2"/>
    </font>
    <font>
      <b/>
      <sz val="11"/>
      <name val="Calibri"/>
      <family val="2"/>
    </font>
    <font>
      <b/>
      <sz val="11"/>
      <color rgb="FFFF0000"/>
      <name val="Arial"/>
      <family val="2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1"/>
      <color rgb="FF000000"/>
      <name val="Arial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6" fillId="0" borderId="0"/>
    <xf numFmtId="0" fontId="5" fillId="0" borderId="0"/>
    <xf numFmtId="0" fontId="4" fillId="0" borderId="0"/>
    <xf numFmtId="0" fontId="10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23">
    <xf numFmtId="0" fontId="0" fillId="0" borderId="0" xfId="0"/>
    <xf numFmtId="0" fontId="7" fillId="0" borderId="0" xfId="0" applyFont="1" applyAlignment="1">
      <alignment horizontal="right"/>
    </xf>
    <xf numFmtId="0" fontId="7" fillId="0" borderId="0" xfId="0" applyFont="1"/>
    <xf numFmtId="164" fontId="8" fillId="0" borderId="0" xfId="0" applyNumberFormat="1" applyFont="1"/>
    <xf numFmtId="165" fontId="8" fillId="0" borderId="0" xfId="0" applyNumberFormat="1" applyFont="1"/>
    <xf numFmtId="166" fontId="8" fillId="0" borderId="0" xfId="0" applyNumberFormat="1" applyFont="1"/>
    <xf numFmtId="11" fontId="8" fillId="0" borderId="0" xfId="0" applyNumberFormat="1" applyFont="1"/>
    <xf numFmtId="167" fontId="7" fillId="0" borderId="0" xfId="0" applyNumberFormat="1" applyFont="1" applyAlignment="1">
      <alignment horizontal="right"/>
    </xf>
    <xf numFmtId="168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/>
    <xf numFmtId="11" fontId="0" fillId="0" borderId="0" xfId="0" applyNumberFormat="1"/>
    <xf numFmtId="169" fontId="0" fillId="0" borderId="0" xfId="0" applyNumberFormat="1"/>
    <xf numFmtId="0" fontId="10" fillId="0" borderId="0" xfId="0" applyFont="1"/>
    <xf numFmtId="170" fontId="0" fillId="0" borderId="0" xfId="0" applyNumberFormat="1"/>
    <xf numFmtId="0" fontId="11" fillId="0" borderId="0" xfId="0" applyFont="1"/>
    <xf numFmtId="0" fontId="0" fillId="0" borderId="1" xfId="0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1" fontId="0" fillId="0" borderId="4" xfId="0" applyNumberFormat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11" fontId="12" fillId="0" borderId="0" xfId="0" applyNumberFormat="1" applyFont="1"/>
    <xf numFmtId="0" fontId="0" fillId="0" borderId="4" xfId="0" applyBorder="1"/>
    <xf numFmtId="11" fontId="0" fillId="0" borderId="4" xfId="0" applyNumberFormat="1" applyBorder="1"/>
    <xf numFmtId="172" fontId="0" fillId="0" borderId="4" xfId="0" applyNumberFormat="1" applyBorder="1"/>
    <xf numFmtId="171" fontId="0" fillId="0" borderId="4" xfId="0" applyNumberFormat="1" applyBorder="1"/>
    <xf numFmtId="0" fontId="0" fillId="0" borderId="6" xfId="0" applyBorder="1"/>
    <xf numFmtId="11" fontId="0" fillId="0" borderId="6" xfId="0" applyNumberFormat="1" applyBorder="1"/>
    <xf numFmtId="172" fontId="0" fillId="0" borderId="6" xfId="0" applyNumberFormat="1" applyBorder="1"/>
    <xf numFmtId="171" fontId="0" fillId="0" borderId="6" xfId="0" applyNumberFormat="1" applyBorder="1"/>
    <xf numFmtId="0" fontId="0" fillId="0" borderId="2" xfId="0" applyBorder="1"/>
    <xf numFmtId="11" fontId="0" fillId="0" borderId="2" xfId="0" applyNumberFormat="1" applyBorder="1"/>
    <xf numFmtId="172" fontId="0" fillId="0" borderId="2" xfId="0" applyNumberFormat="1" applyBorder="1"/>
    <xf numFmtId="171" fontId="0" fillId="0" borderId="2" xfId="0" applyNumberFormat="1" applyBorder="1"/>
    <xf numFmtId="0" fontId="0" fillId="0" borderId="10" xfId="0" applyBorder="1"/>
    <xf numFmtId="0" fontId="0" fillId="0" borderId="11" xfId="0" applyBorder="1"/>
    <xf numFmtId="0" fontId="10" fillId="0" borderId="11" xfId="0" applyFont="1" applyBorder="1"/>
    <xf numFmtId="0" fontId="10" fillId="0" borderId="12" xfId="0" applyFont="1" applyBorder="1"/>
    <xf numFmtId="169" fontId="0" fillId="0" borderId="2" xfId="0" applyNumberFormat="1" applyBorder="1"/>
    <xf numFmtId="169" fontId="0" fillId="0" borderId="4" xfId="0" applyNumberFormat="1" applyBorder="1"/>
    <xf numFmtId="169" fontId="0" fillId="0" borderId="6" xfId="0" applyNumberFormat="1" applyBorder="1"/>
    <xf numFmtId="169" fontId="0" fillId="0" borderId="9" xfId="0" applyNumberFormat="1" applyBorder="1"/>
    <xf numFmtId="169" fontId="0" fillId="0" borderId="7" xfId="0" applyNumberFormat="1" applyBorder="1"/>
    <xf numFmtId="169" fontId="0" fillId="0" borderId="8" xfId="0" applyNumberFormat="1" applyBorder="1"/>
    <xf numFmtId="0" fontId="6" fillId="0" borderId="13" xfId="1" applyBorder="1"/>
    <xf numFmtId="0" fontId="6" fillId="3" borderId="14" xfId="1" applyFill="1" applyBorder="1"/>
    <xf numFmtId="0" fontId="6" fillId="4" borderId="15" xfId="1" applyFill="1" applyBorder="1"/>
    <xf numFmtId="0" fontId="6" fillId="0" borderId="0" xfId="1"/>
    <xf numFmtId="0" fontId="6" fillId="0" borderId="16" xfId="1" applyBorder="1"/>
    <xf numFmtId="0" fontId="6" fillId="0" borderId="17" xfId="1" applyBorder="1"/>
    <xf numFmtId="0" fontId="6" fillId="5" borderId="0" xfId="1" applyFill="1"/>
    <xf numFmtId="0" fontId="6" fillId="6" borderId="0" xfId="1" applyFill="1"/>
    <xf numFmtId="0" fontId="6" fillId="0" borderId="1" xfId="1" applyBorder="1" applyAlignment="1">
      <alignment horizontal="left"/>
    </xf>
    <xf numFmtId="1" fontId="6" fillId="0" borderId="2" xfId="1" applyNumberFormat="1" applyBorder="1" applyAlignment="1">
      <alignment horizontal="left"/>
    </xf>
    <xf numFmtId="1" fontId="6" fillId="0" borderId="9" xfId="1" applyNumberFormat="1" applyBorder="1"/>
    <xf numFmtId="0" fontId="6" fillId="0" borderId="3" xfId="1" applyBorder="1" applyAlignment="1">
      <alignment horizontal="left"/>
    </xf>
    <xf numFmtId="1" fontId="6" fillId="0" borderId="4" xfId="1" applyNumberFormat="1" applyBorder="1" applyAlignment="1">
      <alignment horizontal="left"/>
    </xf>
    <xf numFmtId="1" fontId="6" fillId="0" borderId="7" xfId="1" applyNumberFormat="1" applyBorder="1"/>
    <xf numFmtId="0" fontId="6" fillId="2" borderId="3" xfId="1" applyFill="1" applyBorder="1" applyAlignment="1">
      <alignment horizontal="left"/>
    </xf>
    <xf numFmtId="0" fontId="6" fillId="0" borderId="5" xfId="1" applyBorder="1" applyAlignment="1">
      <alignment horizontal="left"/>
    </xf>
    <xf numFmtId="0" fontId="6" fillId="0" borderId="6" xfId="1" applyBorder="1" applyAlignment="1">
      <alignment horizontal="left"/>
    </xf>
    <xf numFmtId="1" fontId="6" fillId="0" borderId="8" xfId="1" applyNumberFormat="1" applyBorder="1"/>
    <xf numFmtId="1" fontId="6" fillId="0" borderId="0" xfId="1" applyNumberFormat="1"/>
    <xf numFmtId="0" fontId="6" fillId="0" borderId="0" xfId="1" applyAlignment="1">
      <alignment horizontal="left"/>
    </xf>
    <xf numFmtId="0" fontId="5" fillId="0" borderId="0" xfId="2"/>
    <xf numFmtId="0" fontId="13" fillId="0" borderId="10" xfId="2" applyFont="1" applyBorder="1" applyAlignment="1">
      <alignment horizontal="center" vertical="top"/>
    </xf>
    <xf numFmtId="0" fontId="13" fillId="0" borderId="12" xfId="2" applyFont="1" applyBorder="1" applyAlignment="1">
      <alignment horizontal="center" vertical="top"/>
    </xf>
    <xf numFmtId="0" fontId="5" fillId="0" borderId="16" xfId="2" applyBorder="1"/>
    <xf numFmtId="0" fontId="5" fillId="0" borderId="17" xfId="2" applyBorder="1"/>
    <xf numFmtId="0" fontId="5" fillId="0" borderId="20" xfId="2" applyBorder="1"/>
    <xf numFmtId="0" fontId="5" fillId="0" borderId="21" xfId="2" applyBorder="1"/>
    <xf numFmtId="0" fontId="13" fillId="0" borderId="3" xfId="2" applyFont="1" applyBorder="1" applyAlignment="1">
      <alignment horizontal="center" vertical="top"/>
    </xf>
    <xf numFmtId="0" fontId="13" fillId="0" borderId="7" xfId="2" applyFont="1" applyBorder="1" applyAlignment="1">
      <alignment horizontal="center" vertical="top"/>
    </xf>
    <xf numFmtId="0" fontId="5" fillId="0" borderId="4" xfId="2" applyBorder="1"/>
    <xf numFmtId="0" fontId="5" fillId="7" borderId="4" xfId="2" applyFill="1" applyBorder="1"/>
    <xf numFmtId="0" fontId="5" fillId="8" borderId="4" xfId="2" applyFill="1" applyBorder="1"/>
    <xf numFmtId="0" fontId="5" fillId="9" borderId="4" xfId="2" applyFill="1" applyBorder="1"/>
    <xf numFmtId="0" fontId="5" fillId="10" borderId="4" xfId="2" applyFill="1" applyBorder="1"/>
    <xf numFmtId="0" fontId="5" fillId="11" borderId="4" xfId="2" applyFill="1" applyBorder="1"/>
    <xf numFmtId="0" fontId="5" fillId="0" borderId="24" xfId="2" applyBorder="1"/>
    <xf numFmtId="0" fontId="13" fillId="0" borderId="4" xfId="2" applyFont="1" applyBorder="1" applyAlignment="1">
      <alignment horizontal="center" vertical="top"/>
    </xf>
    <xf numFmtId="0" fontId="5" fillId="7" borderId="0" xfId="2" applyFill="1"/>
    <xf numFmtId="0" fontId="5" fillId="7" borderId="16" xfId="2" applyFill="1" applyBorder="1"/>
    <xf numFmtId="0" fontId="5" fillId="7" borderId="17" xfId="2" applyFill="1" applyBorder="1"/>
    <xf numFmtId="0" fontId="0" fillId="7" borderId="0" xfId="0" applyFill="1"/>
    <xf numFmtId="0" fontId="4" fillId="0" borderId="0" xfId="3"/>
    <xf numFmtId="0" fontId="13" fillId="0" borderId="3" xfId="3" applyFont="1" applyBorder="1" applyAlignment="1">
      <alignment horizontal="center" vertical="top"/>
    </xf>
    <xf numFmtId="0" fontId="13" fillId="0" borderId="7" xfId="3" applyFont="1" applyBorder="1" applyAlignment="1">
      <alignment horizontal="center" vertical="top"/>
    </xf>
    <xf numFmtId="0" fontId="4" fillId="0" borderId="16" xfId="3" applyBorder="1"/>
    <xf numFmtId="0" fontId="4" fillId="0" borderId="17" xfId="3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5" borderId="0" xfId="0" applyFill="1"/>
    <xf numFmtId="172" fontId="0" fillId="0" borderId="0" xfId="0" applyNumberFormat="1"/>
    <xf numFmtId="0" fontId="10" fillId="13" borderId="0" xfId="0" applyFont="1" applyFill="1"/>
    <xf numFmtId="172" fontId="0" fillId="13" borderId="0" xfId="0" applyNumberFormat="1" applyFill="1"/>
    <xf numFmtId="0" fontId="0" fillId="4" borderId="0" xfId="0" applyFill="1"/>
    <xf numFmtId="0" fontId="0" fillId="14" borderId="0" xfId="0" applyFill="1"/>
    <xf numFmtId="3" fontId="0" fillId="14" borderId="0" xfId="0" applyNumberFormat="1" applyFill="1"/>
    <xf numFmtId="173" fontId="0" fillId="4" borderId="0" xfId="0" applyNumberFormat="1" applyFill="1"/>
    <xf numFmtId="0" fontId="0" fillId="15" borderId="0" xfId="0" applyFill="1"/>
    <xf numFmtId="0" fontId="6" fillId="7" borderId="0" xfId="1" applyFill="1"/>
    <xf numFmtId="0" fontId="6" fillId="2" borderId="0" xfId="1" applyFill="1"/>
    <xf numFmtId="0" fontId="16" fillId="0" borderId="0" xfId="1" applyFont="1"/>
    <xf numFmtId="0" fontId="10" fillId="0" borderId="0" xfId="4"/>
    <xf numFmtId="1" fontId="0" fillId="0" borderId="0" xfId="0" applyNumberFormat="1"/>
    <xf numFmtId="1" fontId="15" fillId="0" borderId="0" xfId="0" applyNumberFormat="1" applyFont="1"/>
    <xf numFmtId="0" fontId="13" fillId="0" borderId="10" xfId="5" applyFont="1" applyBorder="1" applyAlignment="1">
      <alignment horizontal="center" vertical="top"/>
    </xf>
    <xf numFmtId="0" fontId="13" fillId="0" borderId="11" xfId="5" applyFont="1" applyBorder="1" applyAlignment="1">
      <alignment horizontal="center" vertical="top"/>
    </xf>
    <xf numFmtId="0" fontId="3" fillId="0" borderId="14" xfId="5" applyBorder="1"/>
    <xf numFmtId="0" fontId="3" fillId="0" borderId="15" xfId="5" applyBorder="1"/>
    <xf numFmtId="0" fontId="3" fillId="0" borderId="0" xfId="5"/>
    <xf numFmtId="0" fontId="13" fillId="0" borderId="4" xfId="5" applyFont="1" applyBorder="1" applyAlignment="1">
      <alignment horizontal="center" vertical="top"/>
    </xf>
    <xf numFmtId="0" fontId="3" fillId="0" borderId="2" xfId="5" applyBorder="1"/>
    <xf numFmtId="0" fontId="3" fillId="0" borderId="2" xfId="5" applyBorder="1" applyAlignment="1">
      <alignment horizontal="left"/>
    </xf>
    <xf numFmtId="0" fontId="3" fillId="0" borderId="4" xfId="5" applyBorder="1"/>
    <xf numFmtId="172" fontId="3" fillId="0" borderId="4" xfId="5" applyNumberFormat="1" applyBorder="1" applyAlignment="1">
      <alignment horizontal="left"/>
    </xf>
    <xf numFmtId="0" fontId="3" fillId="0" borderId="4" xfId="5" applyBorder="1" applyAlignment="1">
      <alignment horizontal="left"/>
    </xf>
    <xf numFmtId="0" fontId="2" fillId="0" borderId="0" xfId="6"/>
    <xf numFmtId="0" fontId="13" fillId="0" borderId="4" xfId="6" applyFont="1" applyBorder="1" applyAlignment="1">
      <alignment horizontal="center" vertical="top"/>
    </xf>
    <xf numFmtId="0" fontId="16" fillId="0" borderId="17" xfId="2" applyFont="1" applyBorder="1"/>
    <xf numFmtId="0" fontId="16" fillId="0" borderId="21" xfId="2" applyFont="1" applyBorder="1"/>
    <xf numFmtId="164" fontId="17" fillId="0" borderId="0" xfId="6" applyNumberFormat="1" applyFont="1"/>
    <xf numFmtId="0" fontId="0" fillId="16" borderId="0" xfId="0" applyFill="1"/>
    <xf numFmtId="0" fontId="16" fillId="0" borderId="0" xfId="5" applyFont="1"/>
    <xf numFmtId="0" fontId="18" fillId="0" borderId="0" xfId="5" applyFont="1"/>
    <xf numFmtId="0" fontId="2" fillId="0" borderId="0" xfId="5" applyFont="1"/>
    <xf numFmtId="0" fontId="19" fillId="0" borderId="0" xfId="5" applyFont="1"/>
    <xf numFmtId="164" fontId="3" fillId="0" borderId="0" xfId="5" applyNumberFormat="1"/>
    <xf numFmtId="174" fontId="3" fillId="0" borderId="0" xfId="5" applyNumberFormat="1"/>
    <xf numFmtId="0" fontId="13" fillId="0" borderId="4" xfId="4" applyFont="1" applyBorder="1" applyAlignment="1">
      <alignment horizontal="center" vertical="top"/>
    </xf>
    <xf numFmtId="0" fontId="10" fillId="5" borderId="0" xfId="4" applyFill="1"/>
    <xf numFmtId="174" fontId="10" fillId="0" borderId="0" xfId="4" applyNumberFormat="1"/>
    <xf numFmtId="0" fontId="10" fillId="0" borderId="0" xfId="4" applyAlignment="1">
      <alignment horizontal="center"/>
    </xf>
    <xf numFmtId="0" fontId="10" fillId="7" borderId="0" xfId="4" applyFill="1"/>
    <xf numFmtId="0" fontId="13" fillId="0" borderId="4" xfId="7" applyFont="1" applyBorder="1" applyAlignment="1">
      <alignment horizontal="center" vertical="top"/>
    </xf>
    <xf numFmtId="0" fontId="1" fillId="0" borderId="0" xfId="7"/>
    <xf numFmtId="1" fontId="16" fillId="0" borderId="0" xfId="7" applyNumberFormat="1" applyFont="1"/>
    <xf numFmtId="164" fontId="10" fillId="0" borderId="0" xfId="4" applyNumberFormat="1"/>
    <xf numFmtId="1" fontId="1" fillId="0" borderId="0" xfId="7" applyNumberFormat="1"/>
    <xf numFmtId="0" fontId="1" fillId="0" borderId="0" xfId="8"/>
    <xf numFmtId="0" fontId="19" fillId="0" borderId="0" xfId="8" applyFont="1"/>
    <xf numFmtId="0" fontId="16" fillId="0" borderId="0" xfId="8" applyFont="1"/>
    <xf numFmtId="0" fontId="18" fillId="0" borderId="0" xfId="8" applyFont="1"/>
    <xf numFmtId="1" fontId="1" fillId="0" borderId="0" xfId="8" applyNumberFormat="1"/>
    <xf numFmtId="174" fontId="1" fillId="0" borderId="0" xfId="8" applyNumberFormat="1"/>
    <xf numFmtId="0" fontId="23" fillId="0" borderId="0" xfId="4" applyFont="1"/>
    <xf numFmtId="0" fontId="13" fillId="0" borderId="4" xfId="9" applyFont="1" applyBorder="1" applyAlignment="1">
      <alignment horizontal="center" vertical="top"/>
    </xf>
    <xf numFmtId="0" fontId="12" fillId="0" borderId="0" xfId="4" applyFont="1"/>
    <xf numFmtId="0" fontId="24" fillId="0" borderId="0" xfId="4" applyFont="1"/>
    <xf numFmtId="0" fontId="1" fillId="0" borderId="0" xfId="9"/>
    <xf numFmtId="0" fontId="13" fillId="0" borderId="10" xfId="8" applyFont="1" applyBorder="1" applyAlignment="1">
      <alignment horizontal="center" vertical="top"/>
    </xf>
    <xf numFmtId="0" fontId="13" fillId="0" borderId="11" xfId="8" applyFont="1" applyBorder="1" applyAlignment="1">
      <alignment horizontal="center" vertical="top"/>
    </xf>
    <xf numFmtId="2" fontId="12" fillId="0" borderId="0" xfId="4" applyNumberFormat="1" applyFont="1"/>
    <xf numFmtId="164" fontId="1" fillId="0" borderId="0" xfId="9" applyNumberFormat="1"/>
    <xf numFmtId="2" fontId="25" fillId="0" borderId="0" xfId="4" applyNumberFormat="1" applyFont="1"/>
    <xf numFmtId="0" fontId="26" fillId="0" borderId="0" xfId="4" applyFont="1"/>
    <xf numFmtId="172" fontId="10" fillId="0" borderId="0" xfId="4" applyNumberFormat="1"/>
    <xf numFmtId="0" fontId="10" fillId="0" borderId="0" xfId="4" applyAlignment="1">
      <alignment horizontal="right"/>
    </xf>
    <xf numFmtId="0" fontId="20" fillId="0" borderId="0" xfId="8" applyFont="1"/>
    <xf numFmtId="0" fontId="10" fillId="13" borderId="0" xfId="4" applyFill="1"/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2" borderId="0" xfId="0" applyFont="1" applyFill="1" applyAlignment="1">
      <alignment horizontal="center"/>
    </xf>
    <xf numFmtId="174" fontId="0" fillId="0" borderId="0" xfId="0" applyNumberFormat="1"/>
    <xf numFmtId="2" fontId="0" fillId="0" borderId="0" xfId="0" applyNumberFormat="1"/>
    <xf numFmtId="2" fontId="0" fillId="13" borderId="0" xfId="0" applyNumberFormat="1" applyFill="1"/>
    <xf numFmtId="0" fontId="7" fillId="0" borderId="0" xfId="0" applyFont="1"/>
    <xf numFmtId="0" fontId="0" fillId="0" borderId="0" xfId="0"/>
    <xf numFmtId="0" fontId="5" fillId="0" borderId="18" xfId="2" applyBorder="1" applyAlignment="1">
      <alignment horizontal="center"/>
    </xf>
    <xf numFmtId="0" fontId="5" fillId="0" borderId="19" xfId="2" applyBorder="1" applyAlignment="1">
      <alignment horizontal="center"/>
    </xf>
    <xf numFmtId="0" fontId="6" fillId="3" borderId="16" xfId="1" applyFill="1" applyBorder="1" applyAlignment="1">
      <alignment horizontal="center"/>
    </xf>
    <xf numFmtId="0" fontId="6" fillId="3" borderId="0" xfId="1" applyFill="1" applyAlignment="1">
      <alignment horizontal="center"/>
    </xf>
    <xf numFmtId="0" fontId="6" fillId="4" borderId="0" xfId="1" applyFill="1" applyAlignment="1">
      <alignment horizontal="center"/>
    </xf>
    <xf numFmtId="0" fontId="5" fillId="0" borderId="22" xfId="2" applyBorder="1" applyAlignment="1">
      <alignment horizontal="center"/>
    </xf>
    <xf numFmtId="0" fontId="5" fillId="0" borderId="23" xfId="2" applyBorder="1" applyAlignment="1">
      <alignment horizontal="center"/>
    </xf>
    <xf numFmtId="0" fontId="13" fillId="0" borderId="22" xfId="3" applyFont="1" applyBorder="1" applyAlignment="1">
      <alignment horizontal="center"/>
    </xf>
    <xf numFmtId="0" fontId="13" fillId="0" borderId="23" xfId="3" applyFont="1" applyBorder="1" applyAlignment="1">
      <alignment horizontal="center"/>
    </xf>
    <xf numFmtId="0" fontId="14" fillId="0" borderId="25" xfId="2" applyFont="1" applyBorder="1" applyAlignment="1">
      <alignment horizontal="center"/>
    </xf>
    <xf numFmtId="0" fontId="13" fillId="0" borderId="22" xfId="2" applyFont="1" applyBorder="1" applyAlignment="1">
      <alignment horizontal="center"/>
    </xf>
    <xf numFmtId="0" fontId="13" fillId="0" borderId="23" xfId="2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1" fillId="0" borderId="14" xfId="8" applyBorder="1"/>
    <xf numFmtId="0" fontId="1" fillId="0" borderId="15" xfId="8" applyBorder="1"/>
    <xf numFmtId="0" fontId="13" fillId="0" borderId="4" xfId="8" applyFont="1" applyBorder="1" applyAlignment="1">
      <alignment horizontal="center" vertical="top"/>
    </xf>
    <xf numFmtId="0" fontId="1" fillId="0" borderId="2" xfId="8" applyBorder="1"/>
    <xf numFmtId="0" fontId="1" fillId="0" borderId="2" xfId="8" applyBorder="1" applyAlignment="1">
      <alignment horizontal="left"/>
    </xf>
    <xf numFmtId="0" fontId="1" fillId="0" borderId="4" xfId="8" applyBorder="1"/>
    <xf numFmtId="172" fontId="1" fillId="0" borderId="4" xfId="8" applyNumberFormat="1" applyBorder="1" applyAlignment="1">
      <alignment horizontal="left"/>
    </xf>
    <xf numFmtId="0" fontId="1" fillId="0" borderId="4" xfId="8" applyBorder="1" applyAlignment="1">
      <alignment horizontal="left"/>
    </xf>
    <xf numFmtId="2" fontId="1" fillId="0" borderId="0" xfId="8" applyNumberFormat="1"/>
    <xf numFmtId="177" fontId="10" fillId="0" borderId="0" xfId="4" applyNumberFormat="1"/>
    <xf numFmtId="0" fontId="10" fillId="16" borderId="0" xfId="4" applyFill="1"/>
    <xf numFmtId="176" fontId="10" fillId="16" borderId="0" xfId="4" applyNumberFormat="1" applyFill="1"/>
    <xf numFmtId="175" fontId="10" fillId="11" borderId="0" xfId="4" applyNumberFormat="1" applyFill="1"/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0" fillId="0" borderId="0" xfId="1" applyFont="1"/>
    <xf numFmtId="1" fontId="1" fillId="5" borderId="0" xfId="8" applyNumberFormat="1" applyFill="1"/>
    <xf numFmtId="0" fontId="28" fillId="0" borderId="0" xfId="4" applyFont="1" applyAlignment="1">
      <alignment vertical="center"/>
    </xf>
    <xf numFmtId="1" fontId="10" fillId="0" borderId="0" xfId="4" applyNumberFormat="1"/>
    <xf numFmtId="2" fontId="10" fillId="0" borderId="0" xfId="4" applyNumberFormat="1"/>
    <xf numFmtId="0" fontId="29" fillId="0" borderId="4" xfId="4" applyFont="1" applyBorder="1" applyAlignment="1">
      <alignment horizontal="center" vertical="top"/>
    </xf>
    <xf numFmtId="178" fontId="10" fillId="7" borderId="0" xfId="4" applyNumberFormat="1" applyFill="1"/>
    <xf numFmtId="178" fontId="10" fillId="0" borderId="0" xfId="4" applyNumberFormat="1"/>
    <xf numFmtId="0" fontId="30" fillId="0" borderId="4" xfId="4" applyFont="1" applyBorder="1" applyAlignment="1">
      <alignment horizontal="right" vertical="top"/>
    </xf>
    <xf numFmtId="0" fontId="29" fillId="0" borderId="26" xfId="4" applyFont="1" applyBorder="1" applyAlignment="1">
      <alignment horizontal="center" vertical="top"/>
    </xf>
    <xf numFmtId="0" fontId="29" fillId="0" borderId="27" xfId="4" applyFont="1" applyBorder="1" applyAlignment="1">
      <alignment horizontal="center" vertical="top"/>
    </xf>
    <xf numFmtId="164" fontId="10" fillId="0" borderId="0" xfId="4" applyNumberFormat="1" applyAlignment="1">
      <alignment horizontal="left"/>
    </xf>
    <xf numFmtId="1" fontId="10" fillId="2" borderId="0" xfId="4" applyNumberFormat="1" applyFill="1"/>
    <xf numFmtId="0" fontId="28" fillId="7" borderId="0" xfId="4" applyFont="1" applyFill="1" applyAlignment="1">
      <alignment vertical="center"/>
    </xf>
    <xf numFmtId="0" fontId="29" fillId="0" borderId="28" xfId="4" applyFont="1" applyBorder="1" applyAlignment="1">
      <alignment horizontal="center" vertical="top"/>
    </xf>
    <xf numFmtId="0" fontId="1" fillId="0" borderId="0" xfId="10"/>
    <xf numFmtId="0" fontId="1" fillId="0" borderId="0" xfId="10" applyAlignment="1">
      <alignment horizontal="left"/>
    </xf>
    <xf numFmtId="1" fontId="1" fillId="0" borderId="0" xfId="10" applyNumberFormat="1"/>
    <xf numFmtId="0" fontId="29" fillId="2" borderId="0" xfId="4" applyFont="1" applyFill="1" applyBorder="1" applyAlignment="1">
      <alignment horizontal="center" vertical="top"/>
    </xf>
    <xf numFmtId="0" fontId="10" fillId="2" borderId="0" xfId="4" applyFill="1" applyBorder="1"/>
    <xf numFmtId="0" fontId="35" fillId="0" borderId="0" xfId="0" applyFont="1"/>
  </cellXfs>
  <cellStyles count="11">
    <cellStyle name="Normal" xfId="0" builtinId="0"/>
    <cellStyle name="Normal 2" xfId="1" xr:uid="{00000000-0005-0000-0000-000001000000}"/>
    <cellStyle name="Normal 2 2" xfId="10" xr:uid="{659A2F23-EA83-0145-958B-E29912605EE6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  <cellStyle name="Normal 6 2" xfId="8" xr:uid="{00000000-0005-0000-0000-000006000000}"/>
    <cellStyle name="Normal 7" xfId="6" xr:uid="{00000000-0005-0000-0000-000007000000}"/>
    <cellStyle name="Normal 8" xfId="9" xr:uid="{00000000-0005-0000-0000-000008000000}"/>
    <cellStyle name="Normal 9" xfId="7" xr:uid="{00000000-0005-0000-0000-000009000000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Energy Consumption</a:t>
            </a:r>
            <a:r>
              <a:rPr lang="es-ES_tradnl" baseline="0"/>
              <a:t> Breakdown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'Hoja 1'!$U$58</c:f>
              <c:strCache>
                <c:ptCount val="1"/>
                <c:pt idx="0">
                  <c:v>Leakage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'Hoja 1'!$S$59:$T$91</c:f>
              <c:multiLvlStrCache>
                <c:ptCount val="33"/>
                <c:lvl>
                  <c:pt idx="0">
                    <c:v>0.6V</c:v>
                  </c:pt>
                  <c:pt idx="1">
                    <c:v>Thunder</c:v>
                  </c:pt>
                  <c:pt idx="2">
                    <c:v>F+P</c:v>
                  </c:pt>
                  <c:pt idx="3">
                    <c:v>0.6V</c:v>
                  </c:pt>
                  <c:pt idx="4">
                    <c:v>Thunder</c:v>
                  </c:pt>
                  <c:pt idx="5">
                    <c:v>F+P</c:v>
                  </c:pt>
                  <c:pt idx="6">
                    <c:v>0.6V</c:v>
                  </c:pt>
                  <c:pt idx="7">
                    <c:v>Thunder</c:v>
                  </c:pt>
                  <c:pt idx="8">
                    <c:v>F+P</c:v>
                  </c:pt>
                  <c:pt idx="9">
                    <c:v>0.6V</c:v>
                  </c:pt>
                  <c:pt idx="10">
                    <c:v>Thunder</c:v>
                  </c:pt>
                  <c:pt idx="11">
                    <c:v>F+P</c:v>
                  </c:pt>
                  <c:pt idx="12">
                    <c:v>0.6V</c:v>
                  </c:pt>
                  <c:pt idx="13">
                    <c:v>Thunder</c:v>
                  </c:pt>
                  <c:pt idx="14">
                    <c:v>F+P</c:v>
                  </c:pt>
                  <c:pt idx="15">
                    <c:v>0.6V</c:v>
                  </c:pt>
                  <c:pt idx="16">
                    <c:v>Thunder</c:v>
                  </c:pt>
                  <c:pt idx="17">
                    <c:v>F+P</c:v>
                  </c:pt>
                  <c:pt idx="18">
                    <c:v>0.6V</c:v>
                  </c:pt>
                  <c:pt idx="19">
                    <c:v>Thunder</c:v>
                  </c:pt>
                  <c:pt idx="20">
                    <c:v>F+P</c:v>
                  </c:pt>
                  <c:pt idx="21">
                    <c:v>0.6V</c:v>
                  </c:pt>
                  <c:pt idx="22">
                    <c:v>Thunder</c:v>
                  </c:pt>
                  <c:pt idx="23">
                    <c:v>F+P</c:v>
                  </c:pt>
                  <c:pt idx="24">
                    <c:v>0.6V</c:v>
                  </c:pt>
                  <c:pt idx="25">
                    <c:v>Thunder</c:v>
                  </c:pt>
                  <c:pt idx="26">
                    <c:v>F+P</c:v>
                  </c:pt>
                  <c:pt idx="27">
                    <c:v>0.6V</c:v>
                  </c:pt>
                  <c:pt idx="28">
                    <c:v>Thunder</c:v>
                  </c:pt>
                  <c:pt idx="29">
                    <c:v>F+P</c:v>
                  </c:pt>
                  <c:pt idx="30">
                    <c:v>0.6V</c:v>
                  </c:pt>
                  <c:pt idx="31">
                    <c:v>Thunder</c:v>
                  </c:pt>
                  <c:pt idx="32">
                    <c:v>F+P</c:v>
                  </c:pt>
                </c:lvl>
                <c:lvl>
                  <c:pt idx="0">
                    <c:v>AlexNet</c:v>
                  </c:pt>
                  <c:pt idx="3">
                    <c:v>SqueezeNet</c:v>
                  </c:pt>
                  <c:pt idx="6">
                    <c:v>DenseNet</c:v>
                  </c:pt>
                  <c:pt idx="9">
                    <c:v>MobileNet</c:v>
                  </c:pt>
                  <c:pt idx="12">
                    <c:v>VGG16</c:v>
                  </c:pt>
                  <c:pt idx="15">
                    <c:v>ZFNet</c:v>
                  </c:pt>
                  <c:pt idx="18">
                    <c:v>ResNet</c:v>
                  </c:pt>
                  <c:pt idx="21">
                    <c:v>Inception</c:v>
                  </c:pt>
                  <c:pt idx="24">
                    <c:v>Xception</c:v>
                  </c:pt>
                  <c:pt idx="27">
                    <c:v>VGG19</c:v>
                  </c:pt>
                  <c:pt idx="30">
                    <c:v>Avg</c:v>
                  </c:pt>
                </c:lvl>
              </c:multiLvlStrCache>
            </c:multiLvlStrRef>
          </c:cat>
          <c:val>
            <c:numRef>
              <c:f>'Hoja 1'!$U$59:$U$91</c:f>
              <c:numCache>
                <c:formatCode>General</c:formatCode>
                <c:ptCount val="33"/>
                <c:pt idx="0">
                  <c:v>5.7819163652044238E-2</c:v>
                </c:pt>
                <c:pt idx="1">
                  <c:v>5.3266554916729679E-2</c:v>
                </c:pt>
                <c:pt idx="2">
                  <c:v>4.9529529387962991E-2</c:v>
                </c:pt>
                <c:pt idx="3">
                  <c:v>0.93618008389667973</c:v>
                </c:pt>
                <c:pt idx="4">
                  <c:v>0.90353888801052207</c:v>
                </c:pt>
                <c:pt idx="5">
                  <c:v>0.80201154560117094</c:v>
                </c:pt>
                <c:pt idx="6">
                  <c:v>0.80711305648860476</c:v>
                </c:pt>
                <c:pt idx="7">
                  <c:v>0.74377258912377486</c:v>
                </c:pt>
                <c:pt idx="8">
                  <c:v>0.69149811446494514</c:v>
                </c:pt>
                <c:pt idx="9">
                  <c:v>0.76147142021355085</c:v>
                </c:pt>
                <c:pt idx="10">
                  <c:v>0.74405565215716851</c:v>
                </c:pt>
                <c:pt idx="11">
                  <c:v>0.65236746039766691</c:v>
                </c:pt>
                <c:pt idx="12">
                  <c:v>0.13906712347591385</c:v>
                </c:pt>
                <c:pt idx="13">
                  <c:v>0.1367232722592707</c:v>
                </c:pt>
                <c:pt idx="14">
                  <c:v>0.1191313369521419</c:v>
                </c:pt>
                <c:pt idx="15">
                  <c:v>8.3811762225488209E-2</c:v>
                </c:pt>
                <c:pt idx="16">
                  <c:v>7.7589547233744449E-2</c:v>
                </c:pt>
                <c:pt idx="17">
                  <c:v>7.1795767175776501E-2</c:v>
                </c:pt>
                <c:pt idx="18">
                  <c:v>6.6507372782872595E-2</c:v>
                </c:pt>
                <c:pt idx="19">
                  <c:v>5.9328912291651957E-2</c:v>
                </c:pt>
                <c:pt idx="20">
                  <c:v>5.697298866994862E-2</c:v>
                </c:pt>
                <c:pt idx="21">
                  <c:v>0.82269262047512415</c:v>
                </c:pt>
                <c:pt idx="22">
                  <c:v>0.76532807671267278</c:v>
                </c:pt>
                <c:pt idx="23">
                  <c:v>0.7047398798700355</c:v>
                </c:pt>
                <c:pt idx="24">
                  <c:v>0.5485223702549118</c:v>
                </c:pt>
                <c:pt idx="25">
                  <c:v>0.51309643654627612</c:v>
                </c:pt>
                <c:pt idx="26">
                  <c:v>0.46999564607992711</c:v>
                </c:pt>
                <c:pt idx="27">
                  <c:v>0.77103120298928063</c:v>
                </c:pt>
                <c:pt idx="28">
                  <c:v>0.70236245746598636</c:v>
                </c:pt>
                <c:pt idx="29">
                  <c:v>0.66049929938473062</c:v>
                </c:pt>
                <c:pt idx="30" formatCode="0.000">
                  <c:v>0.49942161764544712</c:v>
                </c:pt>
                <c:pt idx="31" formatCode="0.000">
                  <c:v>0.46990623867177972</c:v>
                </c:pt>
                <c:pt idx="32" formatCode="0.000">
                  <c:v>0.42785415679843064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9-464F-A711-85DF82D5234C}"/>
            </c:ext>
          </c:extLst>
        </c:ser>
        <c:ser>
          <c:idx val="1"/>
          <c:order val="1"/>
          <c:tx>
            <c:strRef>
              <c:f>'Hoja 1'!$V$58</c:f>
              <c:strCache>
                <c:ptCount val="1"/>
                <c:pt idx="0">
                  <c:v>Leakage_Ovh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'Hoja 1'!$S$59:$T$91</c:f>
              <c:multiLvlStrCache>
                <c:ptCount val="33"/>
                <c:lvl>
                  <c:pt idx="0">
                    <c:v>0.6V</c:v>
                  </c:pt>
                  <c:pt idx="1">
                    <c:v>Thunder</c:v>
                  </c:pt>
                  <c:pt idx="2">
                    <c:v>F+P</c:v>
                  </c:pt>
                  <c:pt idx="3">
                    <c:v>0.6V</c:v>
                  </c:pt>
                  <c:pt idx="4">
                    <c:v>Thunder</c:v>
                  </c:pt>
                  <c:pt idx="5">
                    <c:v>F+P</c:v>
                  </c:pt>
                  <c:pt idx="6">
                    <c:v>0.6V</c:v>
                  </c:pt>
                  <c:pt idx="7">
                    <c:v>Thunder</c:v>
                  </c:pt>
                  <c:pt idx="8">
                    <c:v>F+P</c:v>
                  </c:pt>
                  <c:pt idx="9">
                    <c:v>0.6V</c:v>
                  </c:pt>
                  <c:pt idx="10">
                    <c:v>Thunder</c:v>
                  </c:pt>
                  <c:pt idx="11">
                    <c:v>F+P</c:v>
                  </c:pt>
                  <c:pt idx="12">
                    <c:v>0.6V</c:v>
                  </c:pt>
                  <c:pt idx="13">
                    <c:v>Thunder</c:v>
                  </c:pt>
                  <c:pt idx="14">
                    <c:v>F+P</c:v>
                  </c:pt>
                  <c:pt idx="15">
                    <c:v>0.6V</c:v>
                  </c:pt>
                  <c:pt idx="16">
                    <c:v>Thunder</c:v>
                  </c:pt>
                  <c:pt idx="17">
                    <c:v>F+P</c:v>
                  </c:pt>
                  <c:pt idx="18">
                    <c:v>0.6V</c:v>
                  </c:pt>
                  <c:pt idx="19">
                    <c:v>Thunder</c:v>
                  </c:pt>
                  <c:pt idx="20">
                    <c:v>F+P</c:v>
                  </c:pt>
                  <c:pt idx="21">
                    <c:v>0.6V</c:v>
                  </c:pt>
                  <c:pt idx="22">
                    <c:v>Thunder</c:v>
                  </c:pt>
                  <c:pt idx="23">
                    <c:v>F+P</c:v>
                  </c:pt>
                  <c:pt idx="24">
                    <c:v>0.6V</c:v>
                  </c:pt>
                  <c:pt idx="25">
                    <c:v>Thunder</c:v>
                  </c:pt>
                  <c:pt idx="26">
                    <c:v>F+P</c:v>
                  </c:pt>
                  <c:pt idx="27">
                    <c:v>0.6V</c:v>
                  </c:pt>
                  <c:pt idx="28">
                    <c:v>Thunder</c:v>
                  </c:pt>
                  <c:pt idx="29">
                    <c:v>F+P</c:v>
                  </c:pt>
                  <c:pt idx="30">
                    <c:v>0.6V</c:v>
                  </c:pt>
                  <c:pt idx="31">
                    <c:v>Thunder</c:v>
                  </c:pt>
                  <c:pt idx="32">
                    <c:v>F+P</c:v>
                  </c:pt>
                </c:lvl>
                <c:lvl>
                  <c:pt idx="0">
                    <c:v>AlexNet</c:v>
                  </c:pt>
                  <c:pt idx="3">
                    <c:v>SqueezeNet</c:v>
                  </c:pt>
                  <c:pt idx="6">
                    <c:v>DenseNet</c:v>
                  </c:pt>
                  <c:pt idx="9">
                    <c:v>MobileNet</c:v>
                  </c:pt>
                  <c:pt idx="12">
                    <c:v>VGG16</c:v>
                  </c:pt>
                  <c:pt idx="15">
                    <c:v>ZFNet</c:v>
                  </c:pt>
                  <c:pt idx="18">
                    <c:v>ResNet</c:v>
                  </c:pt>
                  <c:pt idx="21">
                    <c:v>Inception</c:v>
                  </c:pt>
                  <c:pt idx="24">
                    <c:v>Xception</c:v>
                  </c:pt>
                  <c:pt idx="27">
                    <c:v>VGG19</c:v>
                  </c:pt>
                  <c:pt idx="30">
                    <c:v>Avg</c:v>
                  </c:pt>
                </c:lvl>
              </c:multiLvlStrCache>
            </c:multiLvlStrRef>
          </c:cat>
          <c:val>
            <c:numRef>
              <c:f>'Hoja 1'!$V$59:$V$91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4.8624394249152034E-3</c:v>
                </c:pt>
                <c:pt idx="3">
                  <c:v>0</c:v>
                </c:pt>
                <c:pt idx="4">
                  <c:v>0</c:v>
                </c:pt>
                <c:pt idx="5">
                  <c:v>7.8735506005353742E-2</c:v>
                </c:pt>
                <c:pt idx="6">
                  <c:v>0</c:v>
                </c:pt>
                <c:pt idx="7">
                  <c:v>0</c:v>
                </c:pt>
                <c:pt idx="8">
                  <c:v>6.7886122391585271E-2</c:v>
                </c:pt>
                <c:pt idx="9">
                  <c:v>0</c:v>
                </c:pt>
                <c:pt idx="10">
                  <c:v>0</c:v>
                </c:pt>
                <c:pt idx="11">
                  <c:v>6.4044566911236001E-2</c:v>
                </c:pt>
                <c:pt idx="12">
                  <c:v>0</c:v>
                </c:pt>
                <c:pt idx="13">
                  <c:v>0</c:v>
                </c:pt>
                <c:pt idx="14">
                  <c:v>1.1695425268460758E-2</c:v>
                </c:pt>
                <c:pt idx="15">
                  <c:v>0</c:v>
                </c:pt>
                <c:pt idx="16">
                  <c:v>0</c:v>
                </c:pt>
                <c:pt idx="17">
                  <c:v>7.0483724188659348E-3</c:v>
                </c:pt>
                <c:pt idx="18">
                  <c:v>0</c:v>
                </c:pt>
                <c:pt idx="19">
                  <c:v>0</c:v>
                </c:pt>
                <c:pt idx="20">
                  <c:v>5.5931826869191088E-3</c:v>
                </c:pt>
                <c:pt idx="21">
                  <c:v>0</c:v>
                </c:pt>
                <c:pt idx="22">
                  <c:v>0</c:v>
                </c:pt>
                <c:pt idx="23">
                  <c:v>6.9186100060600567E-2</c:v>
                </c:pt>
                <c:pt idx="24">
                  <c:v>0</c:v>
                </c:pt>
                <c:pt idx="25">
                  <c:v>0</c:v>
                </c:pt>
                <c:pt idx="26">
                  <c:v>4.6140663706627651E-2</c:v>
                </c:pt>
                <c:pt idx="27">
                  <c:v>0</c:v>
                </c:pt>
                <c:pt idx="28">
                  <c:v>0</c:v>
                </c:pt>
                <c:pt idx="29">
                  <c:v>6.4842890153478897E-2</c:v>
                </c:pt>
                <c:pt idx="30" formatCode="0.000">
                  <c:v>0</c:v>
                </c:pt>
                <c:pt idx="31" formatCode="0.000">
                  <c:v>0</c:v>
                </c:pt>
                <c:pt idx="32" formatCode="0.000">
                  <c:v>4.200352690280431E-2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09-464F-A711-85DF82D5234C}"/>
            </c:ext>
          </c:extLst>
        </c:ser>
        <c:ser>
          <c:idx val="2"/>
          <c:order val="2"/>
          <c:tx>
            <c:strRef>
              <c:f>'Hoja 1'!$W$58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'Hoja 1'!$S$59:$T$91</c:f>
              <c:multiLvlStrCache>
                <c:ptCount val="33"/>
                <c:lvl>
                  <c:pt idx="0">
                    <c:v>0.6V</c:v>
                  </c:pt>
                  <c:pt idx="1">
                    <c:v>Thunder</c:v>
                  </c:pt>
                  <c:pt idx="2">
                    <c:v>F+P</c:v>
                  </c:pt>
                  <c:pt idx="3">
                    <c:v>0.6V</c:v>
                  </c:pt>
                  <c:pt idx="4">
                    <c:v>Thunder</c:v>
                  </c:pt>
                  <c:pt idx="5">
                    <c:v>F+P</c:v>
                  </c:pt>
                  <c:pt idx="6">
                    <c:v>0.6V</c:v>
                  </c:pt>
                  <c:pt idx="7">
                    <c:v>Thunder</c:v>
                  </c:pt>
                  <c:pt idx="8">
                    <c:v>F+P</c:v>
                  </c:pt>
                  <c:pt idx="9">
                    <c:v>0.6V</c:v>
                  </c:pt>
                  <c:pt idx="10">
                    <c:v>Thunder</c:v>
                  </c:pt>
                  <c:pt idx="11">
                    <c:v>F+P</c:v>
                  </c:pt>
                  <c:pt idx="12">
                    <c:v>0.6V</c:v>
                  </c:pt>
                  <c:pt idx="13">
                    <c:v>Thunder</c:v>
                  </c:pt>
                  <c:pt idx="14">
                    <c:v>F+P</c:v>
                  </c:pt>
                  <c:pt idx="15">
                    <c:v>0.6V</c:v>
                  </c:pt>
                  <c:pt idx="16">
                    <c:v>Thunder</c:v>
                  </c:pt>
                  <c:pt idx="17">
                    <c:v>F+P</c:v>
                  </c:pt>
                  <c:pt idx="18">
                    <c:v>0.6V</c:v>
                  </c:pt>
                  <c:pt idx="19">
                    <c:v>Thunder</c:v>
                  </c:pt>
                  <c:pt idx="20">
                    <c:v>F+P</c:v>
                  </c:pt>
                  <c:pt idx="21">
                    <c:v>0.6V</c:v>
                  </c:pt>
                  <c:pt idx="22">
                    <c:v>Thunder</c:v>
                  </c:pt>
                  <c:pt idx="23">
                    <c:v>F+P</c:v>
                  </c:pt>
                  <c:pt idx="24">
                    <c:v>0.6V</c:v>
                  </c:pt>
                  <c:pt idx="25">
                    <c:v>Thunder</c:v>
                  </c:pt>
                  <c:pt idx="26">
                    <c:v>F+P</c:v>
                  </c:pt>
                  <c:pt idx="27">
                    <c:v>0.6V</c:v>
                  </c:pt>
                  <c:pt idx="28">
                    <c:v>Thunder</c:v>
                  </c:pt>
                  <c:pt idx="29">
                    <c:v>F+P</c:v>
                  </c:pt>
                  <c:pt idx="30">
                    <c:v>0.6V</c:v>
                  </c:pt>
                  <c:pt idx="31">
                    <c:v>Thunder</c:v>
                  </c:pt>
                  <c:pt idx="32">
                    <c:v>F+P</c:v>
                  </c:pt>
                </c:lvl>
                <c:lvl>
                  <c:pt idx="0">
                    <c:v>AlexNet</c:v>
                  </c:pt>
                  <c:pt idx="3">
                    <c:v>SqueezeNet</c:v>
                  </c:pt>
                  <c:pt idx="6">
                    <c:v>DenseNet</c:v>
                  </c:pt>
                  <c:pt idx="9">
                    <c:v>MobileNet</c:v>
                  </c:pt>
                  <c:pt idx="12">
                    <c:v>VGG16</c:v>
                  </c:pt>
                  <c:pt idx="15">
                    <c:v>ZFNet</c:v>
                  </c:pt>
                  <c:pt idx="18">
                    <c:v>ResNet</c:v>
                  </c:pt>
                  <c:pt idx="21">
                    <c:v>Inception</c:v>
                  </c:pt>
                  <c:pt idx="24">
                    <c:v>Xception</c:v>
                  </c:pt>
                  <c:pt idx="27">
                    <c:v>VGG19</c:v>
                  </c:pt>
                  <c:pt idx="30">
                    <c:v>Avg</c:v>
                  </c:pt>
                </c:lvl>
              </c:multiLvlStrCache>
            </c:multiLvlStrRef>
          </c:cat>
          <c:val>
            <c:numRef>
              <c:f>'Hoja 1'!$W$59:$W$91</c:f>
              <c:numCache>
                <c:formatCode>General</c:formatCode>
                <c:ptCount val="33"/>
                <c:pt idx="0">
                  <c:v>0.94199340869530057</c:v>
                </c:pt>
                <c:pt idx="1">
                  <c:v>0.83332827961426881</c:v>
                </c:pt>
                <c:pt idx="2">
                  <c:v>0.72534326595408105</c:v>
                </c:pt>
                <c:pt idx="3">
                  <c:v>4.3372829179554227E-2</c:v>
                </c:pt>
                <c:pt idx="4">
                  <c:v>5.5870944906801896E-2</c:v>
                </c:pt>
                <c:pt idx="5">
                  <c:v>3.3397462530380104E-2</c:v>
                </c:pt>
                <c:pt idx="6">
                  <c:v>0.1724716754884357</c:v>
                </c:pt>
                <c:pt idx="7">
                  <c:v>0.14976206564399952</c:v>
                </c:pt>
                <c:pt idx="8">
                  <c:v>0.1328047173457664</c:v>
                </c:pt>
                <c:pt idx="9">
                  <c:v>0.22596598179080013</c:v>
                </c:pt>
                <c:pt idx="10">
                  <c:v>0.21390981303939743</c:v>
                </c:pt>
                <c:pt idx="11">
                  <c:v>0.17399580688539174</c:v>
                </c:pt>
                <c:pt idx="12">
                  <c:v>0.86064378755122473</c:v>
                </c:pt>
                <c:pt idx="13">
                  <c:v>0.83024414238032807</c:v>
                </c:pt>
                <c:pt idx="14">
                  <c:v>0.66270333733027331</c:v>
                </c:pt>
                <c:pt idx="15">
                  <c:v>0.91589791138315646</c:v>
                </c:pt>
                <c:pt idx="16">
                  <c:v>0.81120443304777146</c:v>
                </c:pt>
                <c:pt idx="17">
                  <c:v>0.70524950195067593</c:v>
                </c:pt>
                <c:pt idx="18">
                  <c:v>0.93275902224554375</c:v>
                </c:pt>
                <c:pt idx="19">
                  <c:v>0.71952622414498646</c:v>
                </c:pt>
                <c:pt idx="20">
                  <c:v>0.7182327066181875</c:v>
                </c:pt>
                <c:pt idx="21">
                  <c:v>0.17356589113211346</c:v>
                </c:pt>
                <c:pt idx="22">
                  <c:v>0.15410875345498756</c:v>
                </c:pt>
                <c:pt idx="23">
                  <c:v>0.13364727308056984</c:v>
                </c:pt>
                <c:pt idx="24">
                  <c:v>0.39695143075472139</c:v>
                </c:pt>
                <c:pt idx="25">
                  <c:v>0.35734479184331419</c:v>
                </c:pt>
                <c:pt idx="26">
                  <c:v>0.30565611664689274</c:v>
                </c:pt>
                <c:pt idx="27">
                  <c:v>0.22661684126142875</c:v>
                </c:pt>
                <c:pt idx="28">
                  <c:v>0.25076084057374959</c:v>
                </c:pt>
                <c:pt idx="29">
                  <c:v>0.17449697444107218</c:v>
                </c:pt>
                <c:pt idx="30" formatCode="0.000">
                  <c:v>0.48902387794822799</c:v>
                </c:pt>
                <c:pt idx="31" formatCode="0.000">
                  <c:v>0.43760602886496053</c:v>
                </c:pt>
                <c:pt idx="32" formatCode="0.000">
                  <c:v>0.37655271627832904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09-464F-A711-85DF82D5234C}"/>
            </c:ext>
          </c:extLst>
        </c:ser>
        <c:ser>
          <c:idx val="3"/>
          <c:order val="3"/>
          <c:tx>
            <c:strRef>
              <c:f>'Hoja 1'!$X$58</c:f>
              <c:strCache>
                <c:ptCount val="1"/>
                <c:pt idx="0">
                  <c:v>Read_Ovh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'Hoja 1'!$S$59:$T$91</c:f>
              <c:multiLvlStrCache>
                <c:ptCount val="33"/>
                <c:lvl>
                  <c:pt idx="0">
                    <c:v>0.6V</c:v>
                  </c:pt>
                  <c:pt idx="1">
                    <c:v>Thunder</c:v>
                  </c:pt>
                  <c:pt idx="2">
                    <c:v>F+P</c:v>
                  </c:pt>
                  <c:pt idx="3">
                    <c:v>0.6V</c:v>
                  </c:pt>
                  <c:pt idx="4">
                    <c:v>Thunder</c:v>
                  </c:pt>
                  <c:pt idx="5">
                    <c:v>F+P</c:v>
                  </c:pt>
                  <c:pt idx="6">
                    <c:v>0.6V</c:v>
                  </c:pt>
                  <c:pt idx="7">
                    <c:v>Thunder</c:v>
                  </c:pt>
                  <c:pt idx="8">
                    <c:v>F+P</c:v>
                  </c:pt>
                  <c:pt idx="9">
                    <c:v>0.6V</c:v>
                  </c:pt>
                  <c:pt idx="10">
                    <c:v>Thunder</c:v>
                  </c:pt>
                  <c:pt idx="11">
                    <c:v>F+P</c:v>
                  </c:pt>
                  <c:pt idx="12">
                    <c:v>0.6V</c:v>
                  </c:pt>
                  <c:pt idx="13">
                    <c:v>Thunder</c:v>
                  </c:pt>
                  <c:pt idx="14">
                    <c:v>F+P</c:v>
                  </c:pt>
                  <c:pt idx="15">
                    <c:v>0.6V</c:v>
                  </c:pt>
                  <c:pt idx="16">
                    <c:v>Thunder</c:v>
                  </c:pt>
                  <c:pt idx="17">
                    <c:v>F+P</c:v>
                  </c:pt>
                  <c:pt idx="18">
                    <c:v>0.6V</c:v>
                  </c:pt>
                  <c:pt idx="19">
                    <c:v>Thunder</c:v>
                  </c:pt>
                  <c:pt idx="20">
                    <c:v>F+P</c:v>
                  </c:pt>
                  <c:pt idx="21">
                    <c:v>0.6V</c:v>
                  </c:pt>
                  <c:pt idx="22">
                    <c:v>Thunder</c:v>
                  </c:pt>
                  <c:pt idx="23">
                    <c:v>F+P</c:v>
                  </c:pt>
                  <c:pt idx="24">
                    <c:v>0.6V</c:v>
                  </c:pt>
                  <c:pt idx="25">
                    <c:v>Thunder</c:v>
                  </c:pt>
                  <c:pt idx="26">
                    <c:v>F+P</c:v>
                  </c:pt>
                  <c:pt idx="27">
                    <c:v>0.6V</c:v>
                  </c:pt>
                  <c:pt idx="28">
                    <c:v>Thunder</c:v>
                  </c:pt>
                  <c:pt idx="29">
                    <c:v>F+P</c:v>
                  </c:pt>
                  <c:pt idx="30">
                    <c:v>0.6V</c:v>
                  </c:pt>
                  <c:pt idx="31">
                    <c:v>Thunder</c:v>
                  </c:pt>
                  <c:pt idx="32">
                    <c:v>F+P</c:v>
                  </c:pt>
                </c:lvl>
                <c:lvl>
                  <c:pt idx="0">
                    <c:v>AlexNet</c:v>
                  </c:pt>
                  <c:pt idx="3">
                    <c:v>SqueezeNet</c:v>
                  </c:pt>
                  <c:pt idx="6">
                    <c:v>DenseNet</c:v>
                  </c:pt>
                  <c:pt idx="9">
                    <c:v>MobileNet</c:v>
                  </c:pt>
                  <c:pt idx="12">
                    <c:v>VGG16</c:v>
                  </c:pt>
                  <c:pt idx="15">
                    <c:v>ZFNet</c:v>
                  </c:pt>
                  <c:pt idx="18">
                    <c:v>ResNet</c:v>
                  </c:pt>
                  <c:pt idx="21">
                    <c:v>Inception</c:v>
                  </c:pt>
                  <c:pt idx="24">
                    <c:v>Xception</c:v>
                  </c:pt>
                  <c:pt idx="27">
                    <c:v>VGG19</c:v>
                  </c:pt>
                  <c:pt idx="30">
                    <c:v>Avg</c:v>
                  </c:pt>
                </c:lvl>
              </c:multiLvlStrCache>
            </c:multiLvlStrRef>
          </c:cat>
          <c:val>
            <c:numRef>
              <c:f>'Hoja 1'!$X$59:$X$91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7.5667137057753492E-2</c:v>
                </c:pt>
                <c:pt idx="3">
                  <c:v>0</c:v>
                </c:pt>
                <c:pt idx="4">
                  <c:v>0</c:v>
                </c:pt>
                <c:pt idx="5">
                  <c:v>3.4844062741328547E-3</c:v>
                </c:pt>
                <c:pt idx="6">
                  <c:v>0</c:v>
                </c:pt>
                <c:pt idx="7">
                  <c:v>0</c:v>
                </c:pt>
                <c:pt idx="8">
                  <c:v>1.3854877758000218E-2</c:v>
                </c:pt>
                <c:pt idx="9">
                  <c:v>0</c:v>
                </c:pt>
                <c:pt idx="10">
                  <c:v>0</c:v>
                </c:pt>
                <c:pt idx="11">
                  <c:v>1.8151699049660332E-2</c:v>
                </c:pt>
                <c:pt idx="12">
                  <c:v>0</c:v>
                </c:pt>
                <c:pt idx="13">
                  <c:v>0</c:v>
                </c:pt>
                <c:pt idx="14">
                  <c:v>6.9132623922165695E-2</c:v>
                </c:pt>
                <c:pt idx="15">
                  <c:v>0</c:v>
                </c:pt>
                <c:pt idx="16">
                  <c:v>0</c:v>
                </c:pt>
                <c:pt idx="17">
                  <c:v>7.3570978338536042E-2</c:v>
                </c:pt>
                <c:pt idx="18">
                  <c:v>0</c:v>
                </c:pt>
                <c:pt idx="19">
                  <c:v>0</c:v>
                </c:pt>
                <c:pt idx="20">
                  <c:v>7.4925376689176454E-2</c:v>
                </c:pt>
                <c:pt idx="21">
                  <c:v>0</c:v>
                </c:pt>
                <c:pt idx="22">
                  <c:v>0</c:v>
                </c:pt>
                <c:pt idx="23">
                  <c:v>1.3942011591217211E-2</c:v>
                </c:pt>
                <c:pt idx="24">
                  <c:v>0</c:v>
                </c:pt>
                <c:pt idx="25">
                  <c:v>0</c:v>
                </c:pt>
                <c:pt idx="26">
                  <c:v>3.1886301662270737E-2</c:v>
                </c:pt>
                <c:pt idx="27">
                  <c:v>0</c:v>
                </c:pt>
                <c:pt idx="28">
                  <c:v>0</c:v>
                </c:pt>
                <c:pt idx="29">
                  <c:v>1.8203507040419169E-2</c:v>
                </c:pt>
                <c:pt idx="30" formatCode="0.000">
                  <c:v>0</c:v>
                </c:pt>
                <c:pt idx="31" formatCode="0.000">
                  <c:v>0</c:v>
                </c:pt>
                <c:pt idx="32" formatCode="0.000">
                  <c:v>3.9281891938333216E-2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09-464F-A711-85DF82D5234C}"/>
            </c:ext>
          </c:extLst>
        </c:ser>
        <c:ser>
          <c:idx val="4"/>
          <c:order val="4"/>
          <c:tx>
            <c:strRef>
              <c:f>'Hoja 1'!$Y$58</c:f>
              <c:strCache>
                <c:ptCount val="1"/>
                <c:pt idx="0">
                  <c:v>Write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'Hoja 1'!$S$59:$T$91</c:f>
              <c:multiLvlStrCache>
                <c:ptCount val="33"/>
                <c:lvl>
                  <c:pt idx="0">
                    <c:v>0.6V</c:v>
                  </c:pt>
                  <c:pt idx="1">
                    <c:v>Thunder</c:v>
                  </c:pt>
                  <c:pt idx="2">
                    <c:v>F+P</c:v>
                  </c:pt>
                  <c:pt idx="3">
                    <c:v>0.6V</c:v>
                  </c:pt>
                  <c:pt idx="4">
                    <c:v>Thunder</c:v>
                  </c:pt>
                  <c:pt idx="5">
                    <c:v>F+P</c:v>
                  </c:pt>
                  <c:pt idx="6">
                    <c:v>0.6V</c:v>
                  </c:pt>
                  <c:pt idx="7">
                    <c:v>Thunder</c:v>
                  </c:pt>
                  <c:pt idx="8">
                    <c:v>F+P</c:v>
                  </c:pt>
                  <c:pt idx="9">
                    <c:v>0.6V</c:v>
                  </c:pt>
                  <c:pt idx="10">
                    <c:v>Thunder</c:v>
                  </c:pt>
                  <c:pt idx="11">
                    <c:v>F+P</c:v>
                  </c:pt>
                  <c:pt idx="12">
                    <c:v>0.6V</c:v>
                  </c:pt>
                  <c:pt idx="13">
                    <c:v>Thunder</c:v>
                  </c:pt>
                  <c:pt idx="14">
                    <c:v>F+P</c:v>
                  </c:pt>
                  <c:pt idx="15">
                    <c:v>0.6V</c:v>
                  </c:pt>
                  <c:pt idx="16">
                    <c:v>Thunder</c:v>
                  </c:pt>
                  <c:pt idx="17">
                    <c:v>F+P</c:v>
                  </c:pt>
                  <c:pt idx="18">
                    <c:v>0.6V</c:v>
                  </c:pt>
                  <c:pt idx="19">
                    <c:v>Thunder</c:v>
                  </c:pt>
                  <c:pt idx="20">
                    <c:v>F+P</c:v>
                  </c:pt>
                  <c:pt idx="21">
                    <c:v>0.6V</c:v>
                  </c:pt>
                  <c:pt idx="22">
                    <c:v>Thunder</c:v>
                  </c:pt>
                  <c:pt idx="23">
                    <c:v>F+P</c:v>
                  </c:pt>
                  <c:pt idx="24">
                    <c:v>0.6V</c:v>
                  </c:pt>
                  <c:pt idx="25">
                    <c:v>Thunder</c:v>
                  </c:pt>
                  <c:pt idx="26">
                    <c:v>F+P</c:v>
                  </c:pt>
                  <c:pt idx="27">
                    <c:v>0.6V</c:v>
                  </c:pt>
                  <c:pt idx="28">
                    <c:v>Thunder</c:v>
                  </c:pt>
                  <c:pt idx="29">
                    <c:v>F+P</c:v>
                  </c:pt>
                  <c:pt idx="30">
                    <c:v>0.6V</c:v>
                  </c:pt>
                  <c:pt idx="31">
                    <c:v>Thunder</c:v>
                  </c:pt>
                  <c:pt idx="32">
                    <c:v>F+P</c:v>
                  </c:pt>
                </c:lvl>
                <c:lvl>
                  <c:pt idx="0">
                    <c:v>AlexNet</c:v>
                  </c:pt>
                  <c:pt idx="3">
                    <c:v>SqueezeNet</c:v>
                  </c:pt>
                  <c:pt idx="6">
                    <c:v>DenseNet</c:v>
                  </c:pt>
                  <c:pt idx="9">
                    <c:v>MobileNet</c:v>
                  </c:pt>
                  <c:pt idx="12">
                    <c:v>VGG16</c:v>
                  </c:pt>
                  <c:pt idx="15">
                    <c:v>ZFNet</c:v>
                  </c:pt>
                  <c:pt idx="18">
                    <c:v>ResNet</c:v>
                  </c:pt>
                  <c:pt idx="21">
                    <c:v>Inception</c:v>
                  </c:pt>
                  <c:pt idx="24">
                    <c:v>Xception</c:v>
                  </c:pt>
                  <c:pt idx="27">
                    <c:v>VGG19</c:v>
                  </c:pt>
                  <c:pt idx="30">
                    <c:v>Avg</c:v>
                  </c:pt>
                </c:lvl>
              </c:multiLvlStrCache>
            </c:multiLvlStrRef>
          </c:cat>
          <c:val>
            <c:numRef>
              <c:f>'Hoja 1'!$Y$59:$Y$91</c:f>
              <c:numCache>
                <c:formatCode>General</c:formatCode>
                <c:ptCount val="33"/>
                <c:pt idx="0">
                  <c:v>1.8742765265521041E-4</c:v>
                </c:pt>
                <c:pt idx="1">
                  <c:v>1.7790525974684774E-4</c:v>
                </c:pt>
                <c:pt idx="2">
                  <c:v>1.3552124133226189E-4</c:v>
                </c:pt>
                <c:pt idx="3">
                  <c:v>2.0447086923766147E-2</c:v>
                </c:pt>
                <c:pt idx="4">
                  <c:v>1.9522969563712311E-2</c:v>
                </c:pt>
                <c:pt idx="5">
                  <c:v>1.4784449158283875E-2</c:v>
                </c:pt>
                <c:pt idx="6">
                  <c:v>2.041526802295952E-2</c:v>
                </c:pt>
                <c:pt idx="7">
                  <c:v>1.1284730949313536E-2</c:v>
                </c:pt>
                <c:pt idx="8">
                  <c:v>1.4761442217343978E-2</c:v>
                </c:pt>
                <c:pt idx="9">
                  <c:v>1.2562597995649055E-2</c:v>
                </c:pt>
                <c:pt idx="10">
                  <c:v>1.2304275503643358E-2</c:v>
                </c:pt>
                <c:pt idx="11">
                  <c:v>9.0834988893578085E-3</c:v>
                </c:pt>
                <c:pt idx="12">
                  <c:v>2.890889728613143E-4</c:v>
                </c:pt>
                <c:pt idx="13">
                  <c:v>1.3302380505739804E-3</c:v>
                </c:pt>
                <c:pt idx="14">
                  <c:v>2.0902836856045295E-4</c:v>
                </c:pt>
                <c:pt idx="15">
                  <c:v>2.9032639135527017E-4</c:v>
                </c:pt>
                <c:pt idx="16">
                  <c:v>2.8067687701613674E-4</c:v>
                </c:pt>
                <c:pt idx="17">
                  <c:v>2.0992309507477839E-4</c:v>
                </c:pt>
                <c:pt idx="18">
                  <c:v>7.3360497158354051E-4</c:v>
                </c:pt>
                <c:pt idx="19">
                  <c:v>6.044521313769627E-4</c:v>
                </c:pt>
                <c:pt idx="20">
                  <c:v>5.3043963891182141E-4</c:v>
                </c:pt>
                <c:pt idx="21">
                  <c:v>3.7414883927623741E-3</c:v>
                </c:pt>
                <c:pt idx="22">
                  <c:v>3.2449687236510249E-3</c:v>
                </c:pt>
                <c:pt idx="23">
                  <c:v>2.7053166607713497E-3</c:v>
                </c:pt>
                <c:pt idx="24">
                  <c:v>5.4526198990366759E-2</c:v>
                </c:pt>
                <c:pt idx="25">
                  <c:v>4.8579906762299091E-2</c:v>
                </c:pt>
                <c:pt idx="26">
                  <c:v>3.9425656073802426E-2</c:v>
                </c:pt>
                <c:pt idx="27">
                  <c:v>2.3519557492905595E-3</c:v>
                </c:pt>
                <c:pt idx="28">
                  <c:v>1.9003782125451248E-3</c:v>
                </c:pt>
                <c:pt idx="29">
                  <c:v>1.7006026495394297E-3</c:v>
                </c:pt>
                <c:pt idx="30" formatCode="0.000">
                  <c:v>1.1554504406324976E-2</c:v>
                </c:pt>
                <c:pt idx="31" formatCode="0.000">
                  <c:v>9.9230502033878371E-3</c:v>
                </c:pt>
                <c:pt idx="32" formatCode="0.000">
                  <c:v>8.3545877992978173E-3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09-464F-A711-85DF82D5234C}"/>
            </c:ext>
          </c:extLst>
        </c:ser>
        <c:ser>
          <c:idx val="5"/>
          <c:order val="5"/>
          <c:tx>
            <c:strRef>
              <c:f>'Hoja 1'!$Z$58</c:f>
              <c:strCache>
                <c:ptCount val="1"/>
                <c:pt idx="0">
                  <c:v>Write_Ovh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'Hoja 1'!$S$59:$T$91</c:f>
              <c:multiLvlStrCache>
                <c:ptCount val="33"/>
                <c:lvl>
                  <c:pt idx="0">
                    <c:v>0.6V</c:v>
                  </c:pt>
                  <c:pt idx="1">
                    <c:v>Thunder</c:v>
                  </c:pt>
                  <c:pt idx="2">
                    <c:v>F+P</c:v>
                  </c:pt>
                  <c:pt idx="3">
                    <c:v>0.6V</c:v>
                  </c:pt>
                  <c:pt idx="4">
                    <c:v>Thunder</c:v>
                  </c:pt>
                  <c:pt idx="5">
                    <c:v>F+P</c:v>
                  </c:pt>
                  <c:pt idx="6">
                    <c:v>0.6V</c:v>
                  </c:pt>
                  <c:pt idx="7">
                    <c:v>Thunder</c:v>
                  </c:pt>
                  <c:pt idx="8">
                    <c:v>F+P</c:v>
                  </c:pt>
                  <c:pt idx="9">
                    <c:v>0.6V</c:v>
                  </c:pt>
                  <c:pt idx="10">
                    <c:v>Thunder</c:v>
                  </c:pt>
                  <c:pt idx="11">
                    <c:v>F+P</c:v>
                  </c:pt>
                  <c:pt idx="12">
                    <c:v>0.6V</c:v>
                  </c:pt>
                  <c:pt idx="13">
                    <c:v>Thunder</c:v>
                  </c:pt>
                  <c:pt idx="14">
                    <c:v>F+P</c:v>
                  </c:pt>
                  <c:pt idx="15">
                    <c:v>0.6V</c:v>
                  </c:pt>
                  <c:pt idx="16">
                    <c:v>Thunder</c:v>
                  </c:pt>
                  <c:pt idx="17">
                    <c:v>F+P</c:v>
                  </c:pt>
                  <c:pt idx="18">
                    <c:v>0.6V</c:v>
                  </c:pt>
                  <c:pt idx="19">
                    <c:v>Thunder</c:v>
                  </c:pt>
                  <c:pt idx="20">
                    <c:v>F+P</c:v>
                  </c:pt>
                  <c:pt idx="21">
                    <c:v>0.6V</c:v>
                  </c:pt>
                  <c:pt idx="22">
                    <c:v>Thunder</c:v>
                  </c:pt>
                  <c:pt idx="23">
                    <c:v>F+P</c:v>
                  </c:pt>
                  <c:pt idx="24">
                    <c:v>0.6V</c:v>
                  </c:pt>
                  <c:pt idx="25">
                    <c:v>Thunder</c:v>
                  </c:pt>
                  <c:pt idx="26">
                    <c:v>F+P</c:v>
                  </c:pt>
                  <c:pt idx="27">
                    <c:v>0.6V</c:v>
                  </c:pt>
                  <c:pt idx="28">
                    <c:v>Thunder</c:v>
                  </c:pt>
                  <c:pt idx="29">
                    <c:v>F+P</c:v>
                  </c:pt>
                  <c:pt idx="30">
                    <c:v>0.6V</c:v>
                  </c:pt>
                  <c:pt idx="31">
                    <c:v>Thunder</c:v>
                  </c:pt>
                  <c:pt idx="32">
                    <c:v>F+P</c:v>
                  </c:pt>
                </c:lvl>
                <c:lvl>
                  <c:pt idx="0">
                    <c:v>AlexNet</c:v>
                  </c:pt>
                  <c:pt idx="3">
                    <c:v>SqueezeNet</c:v>
                  </c:pt>
                  <c:pt idx="6">
                    <c:v>DenseNet</c:v>
                  </c:pt>
                  <c:pt idx="9">
                    <c:v>MobileNet</c:v>
                  </c:pt>
                  <c:pt idx="12">
                    <c:v>VGG16</c:v>
                  </c:pt>
                  <c:pt idx="15">
                    <c:v>ZFNet</c:v>
                  </c:pt>
                  <c:pt idx="18">
                    <c:v>ResNet</c:v>
                  </c:pt>
                  <c:pt idx="21">
                    <c:v>Inception</c:v>
                  </c:pt>
                  <c:pt idx="24">
                    <c:v>Xception</c:v>
                  </c:pt>
                  <c:pt idx="27">
                    <c:v>VGG19</c:v>
                  </c:pt>
                  <c:pt idx="30">
                    <c:v>Avg</c:v>
                  </c:pt>
                </c:lvl>
              </c:multiLvlStrCache>
            </c:multiLvlStrRef>
          </c:cat>
          <c:val>
            <c:numRef>
              <c:f>'Hoja 1'!$Z$59:$Z$91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1.6000670907394181E-5</c:v>
                </c:pt>
                <c:pt idx="3">
                  <c:v>0</c:v>
                </c:pt>
                <c:pt idx="4">
                  <c:v>0</c:v>
                </c:pt>
                <c:pt idx="5">
                  <c:v>1.7456646170187181E-3</c:v>
                </c:pt>
                <c:pt idx="6">
                  <c:v>0</c:v>
                </c:pt>
                <c:pt idx="7">
                  <c:v>0</c:v>
                </c:pt>
                <c:pt idx="8">
                  <c:v>1.7429950678650441E-3</c:v>
                </c:pt>
                <c:pt idx="9">
                  <c:v>0</c:v>
                </c:pt>
                <c:pt idx="10">
                  <c:v>0</c:v>
                </c:pt>
                <c:pt idx="11">
                  <c:v>1.0725215270240859E-3</c:v>
                </c:pt>
                <c:pt idx="12">
                  <c:v>0</c:v>
                </c:pt>
                <c:pt idx="13">
                  <c:v>0</c:v>
                </c:pt>
                <c:pt idx="14">
                  <c:v>2.4684321591671302E-5</c:v>
                </c:pt>
                <c:pt idx="15">
                  <c:v>0</c:v>
                </c:pt>
                <c:pt idx="16">
                  <c:v>0</c:v>
                </c:pt>
                <c:pt idx="17">
                  <c:v>2.4785398108430364E-5</c:v>
                </c:pt>
                <c:pt idx="18">
                  <c:v>0</c:v>
                </c:pt>
                <c:pt idx="19">
                  <c:v>0</c:v>
                </c:pt>
                <c:pt idx="20">
                  <c:v>6.2628418425083411E-5</c:v>
                </c:pt>
                <c:pt idx="21">
                  <c:v>0</c:v>
                </c:pt>
                <c:pt idx="22">
                  <c:v>0</c:v>
                </c:pt>
                <c:pt idx="23">
                  <c:v>3.194007460863977E-4</c:v>
                </c:pt>
                <c:pt idx="24">
                  <c:v>0</c:v>
                </c:pt>
                <c:pt idx="25">
                  <c:v>0</c:v>
                </c:pt>
                <c:pt idx="26">
                  <c:v>4.655317605277755E-3</c:v>
                </c:pt>
                <c:pt idx="27">
                  <c:v>0</c:v>
                </c:pt>
                <c:pt idx="28">
                  <c:v>0</c:v>
                </c:pt>
                <c:pt idx="29">
                  <c:v>2.0081719041710507E-4</c:v>
                </c:pt>
                <c:pt idx="30" formatCode="0.000">
                  <c:v>0</c:v>
                </c:pt>
                <c:pt idx="31" formatCode="0.000">
                  <c:v>0</c:v>
                </c:pt>
                <c:pt idx="32" formatCode="0.000">
                  <c:v>9.8648155627216851E-4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09-464F-A711-85DF82D52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891456"/>
        <c:axId val="97892992"/>
      </c:barChart>
      <c:catAx>
        <c:axId val="9789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7892992"/>
        <c:crosses val="autoZero"/>
        <c:auto val="1"/>
        <c:lblAlgn val="ctr"/>
        <c:lblOffset val="100"/>
        <c:noMultiLvlLbl val="0"/>
      </c:catAx>
      <c:valAx>
        <c:axId val="978929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789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349250</xdr:colOff>
      <xdr:row>35</xdr:row>
      <xdr:rowOff>127000</xdr:rowOff>
    </xdr:from>
    <xdr:to>
      <xdr:col>27</xdr:col>
      <xdr:colOff>647700</xdr:colOff>
      <xdr:row>54</xdr:row>
      <xdr:rowOff>44450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F7B2C77-F460-B936-D056-A513E40D9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ubengran/Desktop/ThunderVolt_5julio.xlsx" TargetMode="External"/><Relationship Id="rId1" Type="http://schemas.openxmlformats.org/officeDocument/2006/relationships/externalLinkPath" Target="ThunderVolt_5juli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ubengran/Library/Containers/com.apple.mail/Data/Library/Mail%20Downloads/A9E4863E-052D-488C-8529-65BE7A49EB42/ThunderVolt_5julio.xls" TargetMode="External"/><Relationship Id="rId1" Type="http://schemas.openxmlformats.org/officeDocument/2006/relationships/externalLinkPath" Target="/Users/rubengran/Library/Containers/com.apple.mail/Data/Library/Mail%20Downloads/A9E4863E-052D-488C-8529-65BE7A49EB42/ThunderVolt_5juli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 1"/>
      <sheetName val="Graficar"/>
      <sheetName val="escrituras"/>
      <sheetName val="F+P vs Thunder (energy)"/>
      <sheetName val="Acc_vol_capas_AlexNet"/>
      <sheetName val="Acc_Vol_capas_MobileNet"/>
      <sheetName val="Acc_vol_capas_SqueezNet"/>
      <sheetName val="Acc_vol_capas_VGG16"/>
      <sheetName val="Acc_vol_capas_ZFNet"/>
      <sheetName val="Acc_vol_capas_VGG19"/>
      <sheetName val="ACC_vol_capas_DenseNet"/>
      <sheetName val="Acc_vol_capas_ResNet"/>
      <sheetName val="Acc_vol_Inception"/>
      <sheetName val="ACC_vol_Xception"/>
      <sheetName val="VBW_Lect_Esc_PE_16"/>
      <sheetName val="AlexNet"/>
      <sheetName val="SqueezNet"/>
      <sheetName val="DenseNet"/>
      <sheetName val="MobileNet"/>
      <sheetName val="VGG16"/>
      <sheetName val="ZFNet"/>
    </sheetNames>
    <sheetDataSet>
      <sheetData sheetId="0">
        <row r="46">
          <cell r="D46">
            <v>86154662</v>
          </cell>
          <cell r="F46">
            <v>21627.6875</v>
          </cell>
        </row>
        <row r="49">
          <cell r="D49">
            <v>1862748</v>
          </cell>
          <cell r="F49">
            <v>130658</v>
          </cell>
        </row>
        <row r="69">
          <cell r="L69">
            <v>4.5063353940400002E-4</v>
          </cell>
          <cell r="M69">
            <v>3.7923286433799947E-5</v>
          </cell>
          <cell r="N69">
            <v>1.2019046175360001E-4</v>
          </cell>
          <cell r="O69">
            <v>1.2538412414190019E-5</v>
          </cell>
          <cell r="P69">
            <v>6.2745760682000006E-6</v>
          </cell>
          <cell r="Q69">
            <v>7.4083531841999977E-7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 1"/>
      <sheetName val="Graficar"/>
      <sheetName val="escrituras"/>
      <sheetName val="F+P vs Thunder (energy)"/>
      <sheetName val="Acc_vol_capas_AlexNet"/>
      <sheetName val="Acc_Vol_capas_MobileNet"/>
      <sheetName val="AlexNet"/>
      <sheetName val="SqueezNet"/>
      <sheetName val="DenseNet"/>
      <sheetName val="MobileNet"/>
      <sheetName val="VGG16"/>
      <sheetName val="ZFNet"/>
    </sheetNames>
    <sheetDataSet>
      <sheetData sheetId="0">
        <row r="47">
          <cell r="D47">
            <v>253081</v>
          </cell>
          <cell r="F47">
            <v>150528.5</v>
          </cell>
        </row>
        <row r="48">
          <cell r="D48">
            <v>2146840</v>
          </cell>
          <cell r="F48">
            <v>544096.5</v>
          </cell>
        </row>
        <row r="50">
          <cell r="D50">
            <v>631780120</v>
          </cell>
          <cell r="F50">
            <v>267743.875</v>
          </cell>
        </row>
        <row r="51">
          <cell r="D51">
            <v>86254903</v>
          </cell>
          <cell r="F51">
            <v>34496</v>
          </cell>
        </row>
        <row r="52">
          <cell r="D52">
            <v>175314548</v>
          </cell>
          <cell r="F52">
            <v>173962.75</v>
          </cell>
        </row>
        <row r="53">
          <cell r="F53">
            <v>101347.25</v>
          </cell>
        </row>
        <row r="55">
          <cell r="D55">
            <v>17560248</v>
          </cell>
          <cell r="F55">
            <v>229939.25</v>
          </cell>
        </row>
        <row r="63">
          <cell r="L63">
            <v>3.9214130410080003E-4</v>
          </cell>
          <cell r="M63">
            <v>3.3000843695759946E-5</v>
          </cell>
          <cell r="N63">
            <v>1.6329595979200001E-5</v>
          </cell>
          <cell r="O63">
            <v>1.7036092970899992E-6</v>
          </cell>
          <cell r="P63">
            <v>7.2288151026500005E-6</v>
          </cell>
          <cell r="Q63">
            <v>8.5350516669000052E-7</v>
          </cell>
        </row>
        <row r="66">
          <cell r="L66">
            <v>1.8719336409224001E-3</v>
          </cell>
          <cell r="M66">
            <v>1.5753349327627991E-4</v>
          </cell>
          <cell r="N66">
            <v>1.3852098668800002E-4</v>
          </cell>
          <cell r="O66">
            <v>1.4451697038089995E-5</v>
          </cell>
          <cell r="P66">
            <v>2.6129091809850002E-5</v>
          </cell>
          <cell r="Q66">
            <v>3.0850973167799991E-6</v>
          </cell>
        </row>
        <row r="72">
          <cell r="L72">
            <v>7.328054859488801E-3</v>
          </cell>
          <cell r="M72">
            <v>6.1669604931435893E-4</v>
          </cell>
          <cell r="N72">
            <v>4.0764475038784005E-2</v>
          </cell>
          <cell r="O72">
            <v>4.2525131029079455E-3</v>
          </cell>
          <cell r="P72">
            <v>1.2857837334737501E-5</v>
          </cell>
          <cell r="Q72">
            <v>1.5182541225374997E-6</v>
          </cell>
        </row>
        <row r="75">
          <cell r="L75">
            <v>5.6657282650480014E-4</v>
          </cell>
          <cell r="M75">
            <v>4.7680213979560014E-5</v>
          </cell>
          <cell r="N75">
            <v>5.5654423572496E-3</v>
          </cell>
          <cell r="O75">
            <v>5.8058179245503057E-4</v>
          </cell>
          <cell r="P75">
            <v>1.6565979584E-6</v>
          </cell>
          <cell r="Q75">
            <v>1.9558868748000004E-7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workbookViewId="0">
      <selection activeCell="F26" sqref="F26"/>
    </sheetView>
  </sheetViews>
  <sheetFormatPr baseColWidth="10" defaultColWidth="10.83203125" defaultRowHeight="13" x14ac:dyDescent="0.15"/>
  <cols>
    <col min="1" max="16384" width="10.83203125" style="108"/>
  </cols>
  <sheetData>
    <row r="1" spans="1:8" x14ac:dyDescent="0.15">
      <c r="A1" s="108" t="s">
        <v>127</v>
      </c>
      <c r="B1" s="108" t="s">
        <v>128</v>
      </c>
      <c r="C1" s="108" t="s">
        <v>115</v>
      </c>
      <c r="D1" s="108" t="s">
        <v>129</v>
      </c>
      <c r="E1" s="108" t="s">
        <v>82</v>
      </c>
      <c r="F1" s="108" t="s">
        <v>130</v>
      </c>
      <c r="G1" s="108" t="s">
        <v>83</v>
      </c>
      <c r="H1" s="108" t="s">
        <v>131</v>
      </c>
    </row>
    <row r="2" spans="1:8" x14ac:dyDescent="0.15">
      <c r="A2" s="108" t="s">
        <v>25</v>
      </c>
      <c r="B2" s="108" t="s">
        <v>132</v>
      </c>
      <c r="C2" s="108">
        <v>5.7819163652044238E-2</v>
      </c>
      <c r="D2" s="108">
        <v>0</v>
      </c>
      <c r="E2" s="108">
        <v>0.94199340869530057</v>
      </c>
      <c r="F2" s="108">
        <v>0</v>
      </c>
      <c r="G2" s="108">
        <v>1.8742765265521041E-4</v>
      </c>
      <c r="H2" s="108">
        <v>0</v>
      </c>
    </row>
    <row r="3" spans="1:8" x14ac:dyDescent="0.15">
      <c r="B3" s="108" t="s">
        <v>133</v>
      </c>
      <c r="C3" s="108">
        <v>4.9529529387962991E-2</v>
      </c>
      <c r="D3" s="108">
        <v>4.1681818277336221E-3</v>
      </c>
      <c r="E3" s="108">
        <v>0.72534326595408105</v>
      </c>
      <c r="F3" s="108">
        <v>7.566713522167802E-2</v>
      </c>
      <c r="G3" s="108">
        <v>1.3552124133226189E-4</v>
      </c>
      <c r="H3" s="108">
        <v>1.6000404482461968E-5</v>
      </c>
    </row>
    <row r="4" spans="1:8" x14ac:dyDescent="0.15">
      <c r="A4" s="108" t="s">
        <v>27</v>
      </c>
      <c r="B4" s="108" t="s">
        <v>132</v>
      </c>
      <c r="C4" s="108">
        <v>0.90282980848514771</v>
      </c>
      <c r="D4" s="108">
        <v>0</v>
      </c>
      <c r="E4" s="108">
        <v>7.4333846134034251E-2</v>
      </c>
      <c r="F4" s="108">
        <v>0</v>
      </c>
      <c r="G4" s="108">
        <v>2.2836345380818072E-2</v>
      </c>
      <c r="H4" s="108">
        <v>0</v>
      </c>
    </row>
    <row r="5" spans="1:8" x14ac:dyDescent="0.15">
      <c r="B5" s="108" t="s">
        <v>133</v>
      </c>
      <c r="C5" s="108">
        <v>0.77350391649752903</v>
      </c>
      <c r="D5" s="108">
        <v>6.5094601306858568E-2</v>
      </c>
      <c r="E5" s="108">
        <v>5.7237719742080348E-2</v>
      </c>
      <c r="F5" s="108">
        <v>5.9715296912139747E-3</v>
      </c>
      <c r="G5" s="108">
        <v>1.6512023864450266E-2</v>
      </c>
      <c r="H5" s="108">
        <v>1.9496049805892957E-3</v>
      </c>
    </row>
    <row r="6" spans="1:8" x14ac:dyDescent="0.15">
      <c r="A6" s="108" t="s">
        <v>28</v>
      </c>
      <c r="B6" s="108" t="s">
        <v>132</v>
      </c>
      <c r="C6" s="108">
        <v>0.76147142021355085</v>
      </c>
      <c r="D6" s="108">
        <v>0</v>
      </c>
      <c r="E6" s="108">
        <v>0.22596598179080013</v>
      </c>
      <c r="F6" s="108">
        <v>0</v>
      </c>
      <c r="G6" s="108">
        <v>1.2562597995649055E-2</v>
      </c>
      <c r="H6" s="108">
        <v>0</v>
      </c>
    </row>
    <row r="7" spans="1:8" x14ac:dyDescent="0.15">
      <c r="B7" s="108" t="s">
        <v>133</v>
      </c>
      <c r="C7" s="108">
        <v>0.65236746039766691</v>
      </c>
      <c r="D7" s="108">
        <v>5.4900303456045338E-2</v>
      </c>
      <c r="E7" s="108">
        <v>0.17399580688539174</v>
      </c>
      <c r="F7" s="108">
        <v>1.8151450233557818E-2</v>
      </c>
      <c r="G7" s="108">
        <v>9.0834988893578085E-3</v>
      </c>
      <c r="H7" s="108">
        <v>1.0724830998814516E-3</v>
      </c>
    </row>
    <row r="8" spans="1:8" x14ac:dyDescent="0.15">
      <c r="A8" s="108" t="s">
        <v>26</v>
      </c>
      <c r="B8" s="108" t="s">
        <v>132</v>
      </c>
      <c r="C8" s="108">
        <v>0.93618008389667973</v>
      </c>
      <c r="D8" s="108">
        <v>0</v>
      </c>
      <c r="E8" s="108">
        <v>4.3372829179554227E-2</v>
      </c>
      <c r="F8" s="108">
        <v>0</v>
      </c>
      <c r="G8" s="108">
        <v>2.0447086923766147E-2</v>
      </c>
      <c r="H8" s="108">
        <v>0</v>
      </c>
    </row>
    <row r="9" spans="1:8" x14ac:dyDescent="0.15">
      <c r="B9" s="108" t="s">
        <v>133</v>
      </c>
      <c r="C9" s="108">
        <v>0.80201154560117094</v>
      </c>
      <c r="D9" s="108">
        <v>6.7493674810077453E-2</v>
      </c>
      <c r="E9" s="108">
        <v>3.3397462530380104E-2</v>
      </c>
      <c r="F9" s="108">
        <v>3.4842397655424312E-3</v>
      </c>
      <c r="G9" s="108">
        <v>1.4784449158283875E-2</v>
      </c>
      <c r="H9" s="108">
        <v>1.7455978004797883E-3</v>
      </c>
    </row>
    <row r="10" spans="1:8" x14ac:dyDescent="0.15">
      <c r="A10" s="108" t="s">
        <v>29</v>
      </c>
      <c r="B10" s="108" t="s">
        <v>132</v>
      </c>
      <c r="C10" s="108">
        <v>0.13906712347591385</v>
      </c>
      <c r="D10" s="108">
        <v>0</v>
      </c>
      <c r="E10" s="108">
        <v>0.86064378755122473</v>
      </c>
      <c r="F10" s="108">
        <v>0</v>
      </c>
      <c r="G10" s="108">
        <v>2.890889728613143E-4</v>
      </c>
      <c r="H10" s="108">
        <v>0</v>
      </c>
    </row>
    <row r="11" spans="1:8" x14ac:dyDescent="0.15">
      <c r="B11" s="108" t="s">
        <v>133</v>
      </c>
      <c r="C11" s="108">
        <v>0.1191313369521419</v>
      </c>
      <c r="D11" s="108">
        <v>1.0025556065917426E-2</v>
      </c>
      <c r="E11" s="108">
        <v>0.66270333733027331</v>
      </c>
      <c r="F11" s="108">
        <v>6.9132611732558108E-2</v>
      </c>
      <c r="G11" s="108">
        <v>2.0902836856045295E-4</v>
      </c>
      <c r="H11" s="108">
        <v>2.4682080977708576E-5</v>
      </c>
    </row>
    <row r="12" spans="1:8" x14ac:dyDescent="0.15">
      <c r="A12" s="108" t="s">
        <v>30</v>
      </c>
      <c r="B12" s="108" t="s">
        <v>132</v>
      </c>
      <c r="C12" s="108">
        <v>8.3811762225488209E-2</v>
      </c>
      <c r="D12" s="108">
        <v>0</v>
      </c>
      <c r="E12" s="108">
        <v>0.91589791138315646</v>
      </c>
      <c r="F12" s="108">
        <v>0</v>
      </c>
      <c r="G12" s="108">
        <v>2.9032639135527017E-4</v>
      </c>
      <c r="H12" s="108">
        <v>0</v>
      </c>
    </row>
    <row r="13" spans="1:8" x14ac:dyDescent="0.15">
      <c r="B13" s="108" t="s">
        <v>133</v>
      </c>
      <c r="C13" s="108">
        <v>7.1795767175776501E-2</v>
      </c>
      <c r="D13" s="108">
        <v>6.0420079848970522E-3</v>
      </c>
      <c r="E13" s="108">
        <v>0.70524950195067593</v>
      </c>
      <c r="F13" s="108">
        <v>7.3570974899628758E-2</v>
      </c>
      <c r="G13" s="108">
        <v>2.0992309507477839E-4</v>
      </c>
      <c r="H13" s="108">
        <v>2.4784880621892697E-5</v>
      </c>
    </row>
    <row r="14" spans="1:8" x14ac:dyDescent="0.15">
      <c r="A14" s="108" t="s">
        <v>123</v>
      </c>
      <c r="B14" s="108" t="s">
        <v>132</v>
      </c>
      <c r="C14" s="108">
        <v>0.48019656032480412</v>
      </c>
      <c r="D14" s="108">
        <v>0</v>
      </c>
      <c r="E14" s="108">
        <v>0.51036796078901181</v>
      </c>
      <c r="F14" s="108">
        <v>0</v>
      </c>
      <c r="G14" s="108">
        <v>9.435478886184177E-3</v>
      </c>
      <c r="H14" s="108">
        <v>0</v>
      </c>
    </row>
    <row r="15" spans="1:8" x14ac:dyDescent="0.15">
      <c r="B15" s="108" t="s">
        <v>133</v>
      </c>
      <c r="C15" s="108">
        <v>0.41138992600204144</v>
      </c>
      <c r="D15" s="108">
        <v>3.462072090858824E-2</v>
      </c>
      <c r="E15" s="108">
        <v>0.3929878490654804</v>
      </c>
      <c r="F15" s="108">
        <v>4.0996323590696521E-2</v>
      </c>
      <c r="G15" s="108">
        <v>6.8224074361765722E-3</v>
      </c>
      <c r="H15" s="108">
        <v>8.0552554117209983E-4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AB1A5-33CB-6748-91B0-8B5B4E512F16}">
  <sheetPr codeName="Hoja20"/>
  <dimension ref="A1:Z390"/>
  <sheetViews>
    <sheetView tabSelected="1" topLeftCell="A180" zoomScaleNormal="100" workbookViewId="0">
      <selection activeCell="F204" sqref="F204"/>
    </sheetView>
  </sheetViews>
  <sheetFormatPr baseColWidth="10" defaultRowHeight="13" x14ac:dyDescent="0.15"/>
  <cols>
    <col min="1" max="1" width="10.83203125" style="108"/>
    <col min="2" max="2" width="12.33203125" style="108" bestFit="1" customWidth="1"/>
    <col min="3" max="3" width="10.83203125" style="108"/>
    <col min="4" max="4" width="20.83203125" style="108" bestFit="1" customWidth="1"/>
    <col min="5" max="5" width="7.83203125" style="108" bestFit="1" customWidth="1"/>
    <col min="6" max="6" width="25.5" style="108" bestFit="1" customWidth="1"/>
    <col min="7" max="7" width="25.5" style="108" customWidth="1"/>
    <col min="8" max="8" width="11.33203125" style="108" bestFit="1" customWidth="1"/>
    <col min="9" max="9" width="10.83203125" style="108"/>
    <col min="10" max="10" width="12.1640625" style="108" bestFit="1" customWidth="1"/>
    <col min="11" max="13" width="12.33203125" style="108" bestFit="1" customWidth="1"/>
    <col min="14" max="19" width="10.83203125" style="108"/>
    <col min="20" max="20" width="14.6640625" style="108" bestFit="1" customWidth="1"/>
    <col min="21" max="16384" width="10.83203125" style="108"/>
  </cols>
  <sheetData>
    <row r="1" spans="1:26" ht="14" x14ac:dyDescent="0.15">
      <c r="A1" s="108" t="s">
        <v>134</v>
      </c>
      <c r="B1" s="108" t="s">
        <v>135</v>
      </c>
      <c r="C1" s="134" t="s">
        <v>136</v>
      </c>
      <c r="D1" s="134" t="s">
        <v>87</v>
      </c>
      <c r="E1" s="134" t="s">
        <v>137</v>
      </c>
      <c r="F1" s="134" t="s">
        <v>87</v>
      </c>
      <c r="G1" s="108" t="s">
        <v>189</v>
      </c>
      <c r="H1" s="135" t="s">
        <v>135</v>
      </c>
      <c r="I1" s="135" t="s">
        <v>136</v>
      </c>
      <c r="J1" s="222" t="s">
        <v>151</v>
      </c>
      <c r="K1" s="222" t="s">
        <v>152</v>
      </c>
      <c r="L1" s="222" t="s">
        <v>82</v>
      </c>
      <c r="M1" s="222" t="s">
        <v>83</v>
      </c>
      <c r="Q1" s="108" t="s">
        <v>177</v>
      </c>
      <c r="R1" s="108" t="s">
        <v>178</v>
      </c>
    </row>
    <row r="2" spans="1:26" ht="14" x14ac:dyDescent="0.15">
      <c r="C2" s="108">
        <f>_xlfn.SWITCH(Q2,60,60,59,60,58,60,57,58,56,58,55,56,54,IF(B2&gt;$R$2,54,56))</f>
        <v>58</v>
      </c>
      <c r="D2" s="108" t="s">
        <v>91</v>
      </c>
      <c r="E2" s="108">
        <v>6022</v>
      </c>
      <c r="F2" s="108" t="s">
        <v>157</v>
      </c>
      <c r="G2" s="210">
        <v>9408</v>
      </c>
      <c r="H2" s="108">
        <v>0.91200000047683716</v>
      </c>
      <c r="I2" s="108">
        <v>59</v>
      </c>
      <c r="J2" s="137">
        <f>E2*$U$6</f>
        <v>6.0220000000000001E-6</v>
      </c>
      <c r="K2" s="137">
        <f>_xlfn.SWITCH(C2+$U$2,54,$Z$10,55,$Y$10,56,$X$10,57,$W$10,58,$V$10,59,$U$10,$U$17)*J2</f>
        <v>1.8513217807999999E-6</v>
      </c>
      <c r="L2" s="137"/>
      <c r="M2" s="137">
        <f>_xlfn.SWITCH(C2+$U$2,54,$Z$12,55,$Y$12,56,$X$12,57,$W$12,58,$V$12,59,$U$12,$U$19)*G2*$U$6</f>
        <v>5.9600369916864009E-7</v>
      </c>
      <c r="N2" s="137"/>
      <c r="O2" s="137"/>
      <c r="Q2" s="108">
        <v>57</v>
      </c>
      <c r="R2">
        <v>0.91333335638046198</v>
      </c>
      <c r="T2" s="108" t="s">
        <v>171</v>
      </c>
      <c r="U2" s="108">
        <v>1</v>
      </c>
    </row>
    <row r="3" spans="1:26" x14ac:dyDescent="0.15">
      <c r="A3" s="108">
        <v>0</v>
      </c>
      <c r="B3" s="136">
        <v>0.91066664457321167</v>
      </c>
      <c r="C3" s="108">
        <f t="shared" ref="C3:C66" si="0">_xlfn.SWITCH(Q3,60,60,59,60,58,60,57,58,56,58,55,56,54,IF(B3&gt;$R$2,54,56))</f>
        <v>58</v>
      </c>
      <c r="D3" s="108" t="s">
        <v>90</v>
      </c>
      <c r="E3" s="108">
        <v>221434</v>
      </c>
      <c r="F3" s="108" t="s">
        <v>158</v>
      </c>
      <c r="G3" s="108">
        <v>30237.9375</v>
      </c>
      <c r="H3" s="108">
        <v>0.91200000047683716</v>
      </c>
      <c r="I3" s="108">
        <v>59</v>
      </c>
      <c r="J3" s="137">
        <f>E3*$U$6</f>
        <v>2.2143400000000001E-4</v>
      </c>
      <c r="K3" s="137">
        <f t="shared" ref="K3:K66" si="1">_xlfn.SWITCH(C3+$U$2,54,$Z$10,55,$Y$10,56,$X$10,57,$W$10,58,$V$10,59,$U$10,$U$17)*J3</f>
        <v>6.8074657457599998E-5</v>
      </c>
      <c r="L3" s="137">
        <f>_xlfn.SWITCH(C3+$U$2,54,$Z$11,55,$Y$11,56,$X$11,57,$W$11,58,$V$11,59,$U$11,$U$18)*G3*$U$6</f>
        <v>2.4366748049070435E-6</v>
      </c>
      <c r="M3" s="137"/>
      <c r="N3" s="137"/>
      <c r="O3" s="137"/>
      <c r="Q3" s="108">
        <v>56</v>
      </c>
    </row>
    <row r="4" spans="1:26" x14ac:dyDescent="0.15">
      <c r="A4" s="108">
        <v>1</v>
      </c>
      <c r="B4" s="136">
        <v>0.91066664457321167</v>
      </c>
      <c r="C4" s="108">
        <f t="shared" si="0"/>
        <v>56</v>
      </c>
      <c r="D4" s="108" t="s">
        <v>92</v>
      </c>
      <c r="E4" s="108">
        <v>8029</v>
      </c>
      <c r="F4" s="108" t="s">
        <v>159</v>
      </c>
      <c r="G4" s="152">
        <v>12544</v>
      </c>
      <c r="H4" s="108">
        <v>0.91200000047683716</v>
      </c>
      <c r="I4" s="108">
        <v>59</v>
      </c>
      <c r="J4" s="137">
        <f>E4*$U$6</f>
        <v>8.0290000000000005E-6</v>
      </c>
      <c r="K4" s="137">
        <f t="shared" si="1"/>
        <v>2.3474676344000004E-6</v>
      </c>
      <c r="L4" s="137"/>
      <c r="M4" s="137">
        <f t="shared" ref="M3:M66" si="2">_xlfn.SWITCH(C4+$U$2,54,$Z$12,55,$Y$12,56,$X$12,57,$W$12,58,$V$12,59,$U$12,$U$19)*G4*$U$6</f>
        <v>7.177626624000001E-7</v>
      </c>
      <c r="Q4" s="108">
        <v>55</v>
      </c>
    </row>
    <row r="5" spans="1:26" x14ac:dyDescent="0.15">
      <c r="A5" s="108">
        <v>2</v>
      </c>
      <c r="B5" s="136">
        <v>0.91066664457321167</v>
      </c>
      <c r="C5" s="108">
        <f t="shared" si="0"/>
        <v>56</v>
      </c>
      <c r="D5" s="108" t="s">
        <v>98</v>
      </c>
      <c r="E5" s="108">
        <v>8029</v>
      </c>
      <c r="F5" s="108" t="s">
        <v>160</v>
      </c>
      <c r="G5" s="108">
        <v>12544</v>
      </c>
      <c r="H5" s="108">
        <v>0.91200000047683716</v>
      </c>
      <c r="I5" s="108">
        <v>59</v>
      </c>
      <c r="J5" s="137">
        <f>E5*$U$6</f>
        <v>8.0290000000000005E-6</v>
      </c>
      <c r="K5" s="137">
        <f t="shared" si="1"/>
        <v>2.3474676344000004E-6</v>
      </c>
      <c r="L5" s="137">
        <f t="shared" ref="L4:L67" si="3">_xlfn.SWITCH(C5+$U$2,54,$Z$11,55,$Y$11,56,$X$11,57,$W$11,58,$V$11,59,$U$11,$U$18)*G5*$U$6</f>
        <v>9.3025425920000004E-7</v>
      </c>
      <c r="M5" s="137"/>
      <c r="Q5" s="108">
        <v>54</v>
      </c>
      <c r="T5" s="108" t="s">
        <v>57</v>
      </c>
      <c r="U5" s="108">
        <v>1</v>
      </c>
      <c r="V5" s="108" t="s">
        <v>58</v>
      </c>
    </row>
    <row r="6" spans="1:26" x14ac:dyDescent="0.15">
      <c r="A6" s="108">
        <v>3</v>
      </c>
      <c r="B6" s="136">
        <v>0.91066664457321167</v>
      </c>
      <c r="C6" s="108">
        <f t="shared" si="0"/>
        <v>56</v>
      </c>
      <c r="D6" s="108" t="s">
        <v>90</v>
      </c>
      <c r="E6" s="108">
        <v>48436</v>
      </c>
      <c r="F6" s="108" t="s">
        <v>161</v>
      </c>
      <c r="G6" s="152">
        <v>25088</v>
      </c>
      <c r="H6" s="108">
        <v>0.91200000047683716</v>
      </c>
      <c r="I6" s="108">
        <v>59</v>
      </c>
      <c r="J6" s="137">
        <f>E6*$U$6</f>
        <v>4.8436000000000002E-5</v>
      </c>
      <c r="K6" s="137">
        <f t="shared" si="1"/>
        <v>1.4161407689600001E-5</v>
      </c>
      <c r="L6" s="137"/>
      <c r="M6" s="137">
        <f t="shared" si="2"/>
        <v>1.4355253248000002E-6</v>
      </c>
      <c r="Q6" s="108">
        <v>54</v>
      </c>
      <c r="U6" s="196">
        <f>U5/1000000000</f>
        <v>1.0000000000000001E-9</v>
      </c>
      <c r="V6" s="108" t="s">
        <v>153</v>
      </c>
    </row>
    <row r="7" spans="1:26" x14ac:dyDescent="0.15">
      <c r="A7" s="108">
        <v>4</v>
      </c>
      <c r="B7" s="136">
        <v>0.91200000047683716</v>
      </c>
      <c r="C7" s="108">
        <f t="shared" si="0"/>
        <v>56</v>
      </c>
      <c r="D7" s="108" t="s">
        <v>90</v>
      </c>
      <c r="E7" s="108">
        <v>298385</v>
      </c>
      <c r="F7" s="108" t="s">
        <v>158</v>
      </c>
      <c r="G7" s="108">
        <v>48400</v>
      </c>
      <c r="H7" s="108">
        <v>0.91200000047683716</v>
      </c>
      <c r="I7" s="108">
        <v>59</v>
      </c>
      <c r="J7" s="137">
        <f>E7*$U$6</f>
        <v>2.9838500000000002E-4</v>
      </c>
      <c r="K7" s="137">
        <f t="shared" si="1"/>
        <v>8.7239896636000008E-5</v>
      </c>
      <c r="L7" s="137">
        <f t="shared" si="3"/>
        <v>3.5893101200000004E-6</v>
      </c>
      <c r="M7" s="137"/>
      <c r="O7" s="108">
        <f>C6*3</f>
        <v>168</v>
      </c>
      <c r="Q7" s="108">
        <v>54</v>
      </c>
    </row>
    <row r="8" spans="1:26" x14ac:dyDescent="0.15">
      <c r="A8" s="108">
        <v>5</v>
      </c>
      <c r="B8" s="136">
        <v>0.91333335638046265</v>
      </c>
      <c r="C8" s="108">
        <f t="shared" si="0"/>
        <v>56</v>
      </c>
      <c r="D8" s="108" t="s">
        <v>98</v>
      </c>
      <c r="E8" s="108">
        <v>12043</v>
      </c>
      <c r="F8" s="108" t="s">
        <v>162</v>
      </c>
      <c r="G8" s="152">
        <v>18816</v>
      </c>
      <c r="H8" s="108">
        <v>0.91200000047683716</v>
      </c>
      <c r="I8" s="108">
        <v>59</v>
      </c>
      <c r="J8" s="137">
        <f>E8*$U$6</f>
        <v>1.2043000000000001E-5</v>
      </c>
      <c r="K8" s="137">
        <f t="shared" si="1"/>
        <v>3.5210552648000006E-6</v>
      </c>
      <c r="L8" s="137"/>
      <c r="M8" s="137">
        <f t="shared" si="2"/>
        <v>1.0766439936000003E-6</v>
      </c>
      <c r="O8" s="108" t="e">
        <f>#REF!*12</f>
        <v>#REF!</v>
      </c>
      <c r="Q8" s="108">
        <v>55</v>
      </c>
    </row>
    <row r="9" spans="1:26" ht="14" x14ac:dyDescent="0.15">
      <c r="A9" s="108">
        <v>6</v>
      </c>
      <c r="B9" s="136">
        <v>0.91066664457321167</v>
      </c>
      <c r="C9" s="108">
        <f t="shared" si="0"/>
        <v>56</v>
      </c>
      <c r="D9" s="108" t="s">
        <v>90</v>
      </c>
      <c r="E9" s="108">
        <v>72628</v>
      </c>
      <c r="F9" s="108" t="s">
        <v>158</v>
      </c>
      <c r="G9" s="108">
        <v>150528</v>
      </c>
      <c r="H9" s="108">
        <v>0.91200000047683716</v>
      </c>
      <c r="I9" s="108">
        <v>59</v>
      </c>
      <c r="J9" s="137">
        <f>E9*$U$6</f>
        <v>7.262800000000001E-5</v>
      </c>
      <c r="K9" s="137">
        <f t="shared" si="1"/>
        <v>2.1234509820800004E-5</v>
      </c>
      <c r="L9" s="137">
        <f t="shared" si="3"/>
        <v>1.11630511104E-5</v>
      </c>
      <c r="M9" s="137"/>
      <c r="Q9" s="108">
        <v>54</v>
      </c>
      <c r="T9" s="197"/>
      <c r="U9" s="197">
        <v>0.59</v>
      </c>
      <c r="V9" s="197">
        <v>0.57999999999999996</v>
      </c>
      <c r="W9" s="197">
        <v>0.56999999999999995</v>
      </c>
      <c r="X9" s="197">
        <v>0.56000000000000005</v>
      </c>
      <c r="Y9" s="197">
        <v>0.55000000000000004</v>
      </c>
      <c r="Z9" s="144">
        <v>0.54</v>
      </c>
    </row>
    <row r="10" spans="1:26" x14ac:dyDescent="0.15">
      <c r="A10" s="108">
        <v>7</v>
      </c>
      <c r="B10" s="136">
        <v>0.91200000047683716</v>
      </c>
      <c r="C10" s="108">
        <f t="shared" si="0"/>
        <v>56</v>
      </c>
      <c r="D10" s="108" t="s">
        <v>90</v>
      </c>
      <c r="E10" s="108">
        <v>302399</v>
      </c>
      <c r="F10" s="108" t="s">
        <v>161</v>
      </c>
      <c r="G10" s="152">
        <v>6272</v>
      </c>
      <c r="H10" s="108">
        <v>0.91200000047683716</v>
      </c>
      <c r="I10" s="108">
        <v>59</v>
      </c>
      <c r="J10" s="137">
        <f>E10*$U$6</f>
        <v>3.0239900000000002E-4</v>
      </c>
      <c r="K10" s="137">
        <f t="shared" si="1"/>
        <v>8.8413484266400006E-5</v>
      </c>
      <c r="L10" s="137"/>
      <c r="M10" s="137">
        <f t="shared" si="2"/>
        <v>3.5888133120000005E-7</v>
      </c>
      <c r="Q10" s="108">
        <v>54</v>
      </c>
      <c r="T10" s="197" t="s">
        <v>46</v>
      </c>
      <c r="U10" s="198">
        <v>0.30742639999999999</v>
      </c>
      <c r="V10" s="198">
        <v>0.2999</v>
      </c>
      <c r="W10" s="198">
        <v>0.29237360000000001</v>
      </c>
      <c r="X10" s="198">
        <v>0.28484720000000002</v>
      </c>
      <c r="Y10" s="198">
        <v>0.27732079999999998</v>
      </c>
      <c r="Z10" s="93">
        <v>0.26979439999999999</v>
      </c>
    </row>
    <row r="11" spans="1:26" x14ac:dyDescent="0.15">
      <c r="A11" s="108">
        <v>8</v>
      </c>
      <c r="B11" s="136">
        <v>0.91200000047683716</v>
      </c>
      <c r="C11" s="108">
        <f t="shared" si="0"/>
        <v>56</v>
      </c>
      <c r="D11" s="108" t="s">
        <v>98</v>
      </c>
      <c r="E11" s="108">
        <v>16057</v>
      </c>
      <c r="F11" s="108" t="s">
        <v>160</v>
      </c>
      <c r="G11" s="108">
        <v>25088</v>
      </c>
      <c r="H11" s="108">
        <v>0.91200000047683716</v>
      </c>
      <c r="I11" s="108">
        <v>59</v>
      </c>
      <c r="J11" s="137">
        <f>E11*$U$6</f>
        <v>1.6057000000000002E-5</v>
      </c>
      <c r="K11" s="137">
        <f t="shared" si="1"/>
        <v>4.6946428952000008E-6</v>
      </c>
      <c r="L11" s="137">
        <f t="shared" si="3"/>
        <v>1.8605085184000001E-6</v>
      </c>
      <c r="M11" s="137"/>
      <c r="Q11" s="108">
        <v>55</v>
      </c>
      <c r="T11" s="197" t="s">
        <v>48</v>
      </c>
      <c r="U11" s="198">
        <v>8.0583366670000003E-2</v>
      </c>
      <c r="V11" s="198">
        <v>7.737133333E-2</v>
      </c>
      <c r="W11" s="198">
        <v>7.4159299999999997E-2</v>
      </c>
      <c r="X11" s="198">
        <v>7.0947266667000006E-2</v>
      </c>
      <c r="Y11" s="198">
        <v>6.7735233332999994E-2</v>
      </c>
      <c r="Z11" s="93">
        <v>6.4523200000000003E-2</v>
      </c>
    </row>
    <row r="12" spans="1:26" x14ac:dyDescent="0.15">
      <c r="A12" s="108">
        <v>9</v>
      </c>
      <c r="B12" s="136">
        <v>0.91066664457321167</v>
      </c>
      <c r="C12" s="108">
        <f t="shared" si="0"/>
        <v>56</v>
      </c>
      <c r="D12" s="108" t="s">
        <v>90</v>
      </c>
      <c r="E12" s="108">
        <v>96820</v>
      </c>
      <c r="F12" s="108" t="s">
        <v>161</v>
      </c>
      <c r="G12" s="152">
        <v>25088</v>
      </c>
      <c r="H12" s="108">
        <v>0.91200000047683716</v>
      </c>
      <c r="I12" s="108">
        <v>59</v>
      </c>
      <c r="J12" s="137">
        <f>E12*$U$6</f>
        <v>9.6820000000000012E-5</v>
      </c>
      <c r="K12" s="137">
        <f t="shared" si="1"/>
        <v>2.8307611952000004E-5</v>
      </c>
      <c r="L12" s="137"/>
      <c r="M12" s="137">
        <f t="shared" si="2"/>
        <v>1.4355253248000002E-6</v>
      </c>
      <c r="Q12" s="108">
        <v>54</v>
      </c>
      <c r="T12" s="197" t="s">
        <v>49</v>
      </c>
      <c r="U12" s="198">
        <v>6.3350733330000006E-2</v>
      </c>
      <c r="V12" s="198">
        <v>6.0285166666700002E-2</v>
      </c>
      <c r="W12" s="198">
        <v>5.7219600000000002E-2</v>
      </c>
      <c r="X12" s="198">
        <v>5.4154033329999997E-2</v>
      </c>
      <c r="Y12" s="198">
        <v>5.1088466667000003E-2</v>
      </c>
      <c r="Z12" s="93">
        <v>4.80229E-2</v>
      </c>
    </row>
    <row r="13" spans="1:26" x14ac:dyDescent="0.15">
      <c r="A13" s="108">
        <v>10</v>
      </c>
      <c r="B13" s="136">
        <v>0.91333335638046265</v>
      </c>
      <c r="C13" s="108">
        <f t="shared" si="0"/>
        <v>54</v>
      </c>
      <c r="D13" s="108" t="s">
        <v>90</v>
      </c>
      <c r="E13" s="108">
        <v>306413</v>
      </c>
      <c r="F13" s="108" t="s">
        <v>158</v>
      </c>
      <c r="G13" s="108">
        <v>48416</v>
      </c>
      <c r="H13" s="108">
        <v>0.91200000047683716</v>
      </c>
      <c r="I13" s="108">
        <v>59</v>
      </c>
      <c r="J13" s="137">
        <f>E13*$U$6</f>
        <v>3.0641300000000001E-4</v>
      </c>
      <c r="K13" s="137">
        <f t="shared" si="1"/>
        <v>8.4974698290399994E-5</v>
      </c>
      <c r="L13" s="137">
        <f t="shared" si="3"/>
        <v>3.279469057050528E-6</v>
      </c>
      <c r="M13" s="137"/>
      <c r="Q13" s="108">
        <v>54</v>
      </c>
    </row>
    <row r="14" spans="1:26" x14ac:dyDescent="0.15">
      <c r="A14" s="108">
        <v>11</v>
      </c>
      <c r="B14" s="136">
        <v>0.91066664457321167</v>
      </c>
      <c r="C14" s="108">
        <f t="shared" si="0"/>
        <v>56</v>
      </c>
      <c r="D14" s="108" t="s">
        <v>98</v>
      </c>
      <c r="E14" s="108">
        <v>20071</v>
      </c>
      <c r="F14" s="108" t="s">
        <v>162</v>
      </c>
      <c r="G14" s="152">
        <v>31360</v>
      </c>
      <c r="H14" s="108">
        <v>0.91200000047683716</v>
      </c>
      <c r="I14" s="108">
        <v>59</v>
      </c>
      <c r="J14" s="137">
        <f>E14*$U$6</f>
        <v>2.0071000000000001E-5</v>
      </c>
      <c r="K14" s="137">
        <f t="shared" si="1"/>
        <v>5.8682305256000005E-6</v>
      </c>
      <c r="L14" s="137"/>
      <c r="M14" s="137">
        <f t="shared" si="2"/>
        <v>1.7944066560000001E-6</v>
      </c>
      <c r="Q14" s="108">
        <v>54</v>
      </c>
    </row>
    <row r="15" spans="1:26" x14ac:dyDescent="0.15">
      <c r="A15" s="108">
        <v>12</v>
      </c>
      <c r="B15" s="136">
        <v>0.91333335638046265</v>
      </c>
      <c r="C15" s="108">
        <f t="shared" si="0"/>
        <v>54</v>
      </c>
      <c r="D15" s="108" t="s">
        <v>90</v>
      </c>
      <c r="E15" s="108">
        <v>121012</v>
      </c>
      <c r="F15" s="108" t="s">
        <v>158</v>
      </c>
      <c r="G15" s="108">
        <v>250880</v>
      </c>
      <c r="H15" s="108">
        <v>0.91200000047683716</v>
      </c>
      <c r="I15" s="108">
        <v>59</v>
      </c>
      <c r="J15" s="137">
        <f>E15*$U$6</f>
        <v>1.2101200000000001E-4</v>
      </c>
      <c r="K15" s="137">
        <f t="shared" si="1"/>
        <v>3.3559144649599998E-5</v>
      </c>
      <c r="L15" s="137">
        <f t="shared" si="3"/>
        <v>1.699341533858304E-5</v>
      </c>
      <c r="M15" s="137"/>
      <c r="Q15" s="108">
        <v>54</v>
      </c>
      <c r="T15" s="108" t="s">
        <v>45</v>
      </c>
      <c r="U15" s="108" t="s">
        <v>9</v>
      </c>
    </row>
    <row r="16" spans="1:26" x14ac:dyDescent="0.15">
      <c r="A16" s="108">
        <v>13</v>
      </c>
      <c r="B16" s="136">
        <v>0.91333335638046265</v>
      </c>
      <c r="C16" s="108">
        <f t="shared" si="0"/>
        <v>54</v>
      </c>
      <c r="D16" s="108" t="s">
        <v>90</v>
      </c>
      <c r="E16" s="108">
        <v>310427</v>
      </c>
      <c r="F16" s="108" t="s">
        <v>161</v>
      </c>
      <c r="G16" s="152">
        <v>6272</v>
      </c>
      <c r="H16" s="108">
        <v>0.91200000047683716</v>
      </c>
      <c r="I16" s="108">
        <v>59</v>
      </c>
      <c r="J16" s="137">
        <f>E16*$U$6</f>
        <v>3.10427E-4</v>
      </c>
      <c r="K16" s="137">
        <f t="shared" si="1"/>
        <v>8.6087863981599999E-5</v>
      </c>
      <c r="L16" s="137"/>
      <c r="M16" s="137">
        <f t="shared" si="2"/>
        <v>3.2042686293542403E-7</v>
      </c>
      <c r="Q16" s="108">
        <v>54</v>
      </c>
      <c r="T16" s="108" t="s">
        <v>102</v>
      </c>
      <c r="U16" s="199">
        <v>3.1</v>
      </c>
    </row>
    <row r="17" spans="1:21" x14ac:dyDescent="0.15">
      <c r="A17" s="108">
        <v>14</v>
      </c>
      <c r="B17" s="136">
        <v>0.91200000047683716</v>
      </c>
      <c r="C17" s="108">
        <f t="shared" si="0"/>
        <v>56</v>
      </c>
      <c r="D17" s="108" t="s">
        <v>98</v>
      </c>
      <c r="E17" s="108">
        <v>24085</v>
      </c>
      <c r="F17" s="108" t="s">
        <v>160</v>
      </c>
      <c r="G17" s="108">
        <v>37632</v>
      </c>
      <c r="H17" s="108">
        <v>0.91200000047683716</v>
      </c>
      <c r="I17" s="108">
        <v>59</v>
      </c>
      <c r="J17" s="137">
        <f>E17*$U$6</f>
        <v>2.4085000000000001E-5</v>
      </c>
      <c r="K17" s="137">
        <f t="shared" si="1"/>
        <v>7.0418181560000003E-6</v>
      </c>
      <c r="L17" s="137">
        <f t="shared" si="3"/>
        <v>2.7907627776E-6</v>
      </c>
      <c r="M17" s="137"/>
      <c r="Q17" s="108">
        <v>54</v>
      </c>
      <c r="T17" s="108" t="s">
        <v>46</v>
      </c>
      <c r="U17" s="199">
        <v>0.31495279999999998</v>
      </c>
    </row>
    <row r="18" spans="1:21" x14ac:dyDescent="0.15">
      <c r="A18" s="108">
        <v>15</v>
      </c>
      <c r="B18" s="136">
        <v>0.91066664457321167</v>
      </c>
      <c r="C18" s="108">
        <f t="shared" si="0"/>
        <v>56</v>
      </c>
      <c r="D18" s="108" t="s">
        <v>90</v>
      </c>
      <c r="E18" s="108">
        <v>145204</v>
      </c>
      <c r="F18" s="108" t="s">
        <v>161</v>
      </c>
      <c r="G18" s="152">
        <v>25088</v>
      </c>
      <c r="H18" s="108">
        <v>0.91200000047683716</v>
      </c>
      <c r="I18" s="108">
        <v>59</v>
      </c>
      <c r="J18" s="137">
        <f>E18*$U$6</f>
        <v>1.4520400000000001E-4</v>
      </c>
      <c r="K18" s="137">
        <f t="shared" si="1"/>
        <v>4.2453816214400004E-5</v>
      </c>
      <c r="L18" s="137"/>
      <c r="M18" s="137">
        <f t="shared" si="2"/>
        <v>1.4355253248000002E-6</v>
      </c>
      <c r="Q18" s="108">
        <v>55</v>
      </c>
      <c r="T18" s="108" t="s">
        <v>48</v>
      </c>
      <c r="U18" s="199">
        <v>8.3795400000000006E-2</v>
      </c>
    </row>
    <row r="19" spans="1:21" x14ac:dyDescent="0.15">
      <c r="A19" s="108">
        <v>16</v>
      </c>
      <c r="B19" s="136">
        <v>0.91066664457321167</v>
      </c>
      <c r="C19" s="108">
        <f t="shared" si="0"/>
        <v>56</v>
      </c>
      <c r="D19" s="108" t="s">
        <v>90</v>
      </c>
      <c r="E19" s="108">
        <v>314441</v>
      </c>
      <c r="F19" s="108" t="s">
        <v>158</v>
      </c>
      <c r="G19" s="108">
        <v>60960</v>
      </c>
      <c r="H19" s="108">
        <v>0.91200000047683716</v>
      </c>
      <c r="I19" s="108">
        <v>59</v>
      </c>
      <c r="J19" s="137">
        <f>E19*$U$6</f>
        <v>3.1444099999999999E-4</v>
      </c>
      <c r="K19" s="137">
        <f t="shared" si="1"/>
        <v>9.1934247157600001E-5</v>
      </c>
      <c r="L19" s="137">
        <f t="shared" si="3"/>
        <v>4.5207509279999999E-6</v>
      </c>
      <c r="M19" s="137"/>
      <c r="Q19" s="108">
        <v>54</v>
      </c>
      <c r="T19" s="108" t="s">
        <v>49</v>
      </c>
      <c r="U19" s="199">
        <v>6.6416299999999998E-2</v>
      </c>
    </row>
    <row r="20" spans="1:21" x14ac:dyDescent="0.15">
      <c r="A20" s="108">
        <v>17</v>
      </c>
      <c r="B20" s="136">
        <v>0.91333335638046265</v>
      </c>
      <c r="C20" s="108">
        <f t="shared" si="0"/>
        <v>54</v>
      </c>
      <c r="D20" s="108" t="s">
        <v>98</v>
      </c>
      <c r="E20" s="108">
        <v>28099</v>
      </c>
      <c r="F20" s="108" t="s">
        <v>162</v>
      </c>
      <c r="G20" s="152">
        <v>43904</v>
      </c>
      <c r="H20" s="108">
        <v>0.91200000047683716</v>
      </c>
      <c r="I20" s="108">
        <v>59</v>
      </c>
      <c r="J20" s="137">
        <f>E20*$U$6</f>
        <v>2.8099000000000003E-5</v>
      </c>
      <c r="K20" s="137">
        <f t="shared" si="1"/>
        <v>7.7924371591999997E-6</v>
      </c>
      <c r="L20" s="137"/>
      <c r="M20" s="137">
        <f t="shared" si="2"/>
        <v>2.2429880405479683E-6</v>
      </c>
      <c r="Q20" s="108">
        <v>54</v>
      </c>
    </row>
    <row r="21" spans="1:21" x14ac:dyDescent="0.15">
      <c r="A21" s="108">
        <v>18</v>
      </c>
      <c r="B21" s="136">
        <v>0.91200000047683716</v>
      </c>
      <c r="C21" s="108">
        <f t="shared" si="0"/>
        <v>56</v>
      </c>
      <c r="D21" s="108" t="s">
        <v>90</v>
      </c>
      <c r="E21" s="108">
        <v>169396</v>
      </c>
      <c r="F21" s="108" t="s">
        <v>158</v>
      </c>
      <c r="G21" s="108">
        <v>363776</v>
      </c>
      <c r="H21" s="108">
        <v>0.91200000047683716</v>
      </c>
      <c r="I21" s="108">
        <v>59</v>
      </c>
      <c r="J21" s="137">
        <f>E21*$U$6</f>
        <v>1.6939600000000002E-4</v>
      </c>
      <c r="K21" s="137">
        <f t="shared" si="1"/>
        <v>4.9526918345600004E-5</v>
      </c>
      <c r="L21" s="137">
        <f t="shared" si="3"/>
        <v>2.6977373516800002E-5</v>
      </c>
      <c r="M21" s="137"/>
      <c r="Q21" s="108">
        <v>54</v>
      </c>
    </row>
    <row r="22" spans="1:21" x14ac:dyDescent="0.15">
      <c r="A22" s="108">
        <v>19</v>
      </c>
      <c r="B22" s="136">
        <v>0.91066664457321167</v>
      </c>
      <c r="C22" s="108">
        <f t="shared" si="0"/>
        <v>56</v>
      </c>
      <c r="D22" s="108" t="s">
        <v>90</v>
      </c>
      <c r="E22" s="108">
        <v>318455</v>
      </c>
      <c r="F22" s="108" t="s">
        <v>161</v>
      </c>
      <c r="G22" s="152">
        <v>6272</v>
      </c>
      <c r="H22" s="108">
        <v>0.91200000047683716</v>
      </c>
      <c r="I22" s="108">
        <v>59</v>
      </c>
      <c r="J22" s="137">
        <f>E22*$U$6</f>
        <v>3.1845500000000004E-4</v>
      </c>
      <c r="K22" s="137">
        <f t="shared" si="1"/>
        <v>9.3107834788000012E-5</v>
      </c>
      <c r="L22" s="137"/>
      <c r="M22" s="137">
        <f t="shared" si="2"/>
        <v>3.5888133120000005E-7</v>
      </c>
      <c r="Q22" s="108">
        <v>54</v>
      </c>
    </row>
    <row r="23" spans="1:21" x14ac:dyDescent="0.15">
      <c r="A23" s="108">
        <v>20</v>
      </c>
      <c r="B23" s="136">
        <v>0.91200000047683716</v>
      </c>
      <c r="C23" s="108">
        <f t="shared" si="0"/>
        <v>56</v>
      </c>
      <c r="D23" s="108" t="s">
        <v>98</v>
      </c>
      <c r="E23" s="108">
        <v>32113</v>
      </c>
      <c r="F23" s="108" t="s">
        <v>160</v>
      </c>
      <c r="G23" s="108">
        <v>50176</v>
      </c>
      <c r="H23" s="108">
        <v>0.91200000047683716</v>
      </c>
      <c r="I23" s="108">
        <v>59</v>
      </c>
      <c r="J23" s="137">
        <f>E23*$U$6</f>
        <v>3.2113000000000002E-5</v>
      </c>
      <c r="K23" s="137">
        <f t="shared" si="1"/>
        <v>9.3889934168000007E-6</v>
      </c>
      <c r="L23" s="137">
        <f t="shared" si="3"/>
        <v>3.7210170368000002E-6</v>
      </c>
      <c r="M23" s="137"/>
      <c r="Q23" s="108">
        <v>54</v>
      </c>
    </row>
    <row r="24" spans="1:21" x14ac:dyDescent="0.15">
      <c r="A24" s="108">
        <v>21</v>
      </c>
      <c r="B24" s="136">
        <v>0.91333335638046265</v>
      </c>
      <c r="C24" s="108">
        <f t="shared" si="0"/>
        <v>58</v>
      </c>
      <c r="D24" s="108" t="s">
        <v>90</v>
      </c>
      <c r="E24" s="108">
        <v>193588</v>
      </c>
      <c r="F24" s="108" t="s">
        <v>161</v>
      </c>
      <c r="G24" s="152">
        <v>25088</v>
      </c>
      <c r="H24" s="108">
        <v>0.91200000047683716</v>
      </c>
      <c r="I24" s="108">
        <v>59</v>
      </c>
      <c r="J24" s="137">
        <f>E24*$U$6</f>
        <v>1.9358800000000002E-4</v>
      </c>
      <c r="K24" s="137">
        <f t="shared" si="1"/>
        <v>5.9514061923200007E-5</v>
      </c>
      <c r="L24" s="137"/>
      <c r="M24" s="137">
        <f t="shared" si="2"/>
        <v>1.5893431977830401E-6</v>
      </c>
      <c r="Q24" s="108">
        <v>56</v>
      </c>
    </row>
    <row r="25" spans="1:21" x14ac:dyDescent="0.15">
      <c r="A25" s="108">
        <v>22</v>
      </c>
      <c r="B25" s="136">
        <v>0.91066664457321167</v>
      </c>
      <c r="C25" s="108">
        <f t="shared" si="0"/>
        <v>56</v>
      </c>
      <c r="D25" s="108" t="s">
        <v>100</v>
      </c>
      <c r="E25" s="108">
        <v>4015</v>
      </c>
      <c r="F25" s="108" t="s">
        <v>163</v>
      </c>
      <c r="G25" s="108">
        <v>25088</v>
      </c>
      <c r="H25" s="108">
        <v>0.91200000047683716</v>
      </c>
      <c r="I25" s="108">
        <v>59</v>
      </c>
      <c r="J25" s="137">
        <f>E25*$U$6</f>
        <v>4.0150000000000005E-6</v>
      </c>
      <c r="K25" s="137">
        <f t="shared" si="1"/>
        <v>1.1738800040000002E-6</v>
      </c>
      <c r="L25" s="137">
        <f t="shared" si="3"/>
        <v>1.8605085184000001E-6</v>
      </c>
      <c r="M25" s="137"/>
      <c r="Q25" s="108">
        <v>54</v>
      </c>
    </row>
    <row r="26" spans="1:21" x14ac:dyDescent="0.15">
      <c r="A26" s="108">
        <v>23</v>
      </c>
      <c r="B26" s="136">
        <v>0.91333335638046265</v>
      </c>
      <c r="C26" s="108">
        <f t="shared" si="0"/>
        <v>54</v>
      </c>
      <c r="D26" s="108" t="s">
        <v>98</v>
      </c>
      <c r="E26" s="108">
        <v>4015</v>
      </c>
      <c r="F26" s="108" t="s">
        <v>162</v>
      </c>
      <c r="G26" s="152">
        <v>6272</v>
      </c>
      <c r="H26" s="108">
        <v>0.91200000047683716</v>
      </c>
      <c r="I26" s="108">
        <v>59</v>
      </c>
      <c r="J26" s="137">
        <f>E26*$U$6</f>
        <v>4.0150000000000005E-6</v>
      </c>
      <c r="K26" s="137">
        <f t="shared" si="1"/>
        <v>1.113443012E-6</v>
      </c>
      <c r="L26" s="137"/>
      <c r="M26" s="137">
        <f t="shared" si="2"/>
        <v>3.2042686293542403E-7</v>
      </c>
      <c r="Q26" s="108">
        <v>54</v>
      </c>
    </row>
    <row r="27" spans="1:21" x14ac:dyDescent="0.15">
      <c r="A27" s="108">
        <v>24</v>
      </c>
      <c r="B27" s="136">
        <v>0.91200000047683716</v>
      </c>
      <c r="C27" s="108">
        <f t="shared" si="0"/>
        <v>56</v>
      </c>
      <c r="D27" s="108" t="s">
        <v>90</v>
      </c>
      <c r="E27" s="108">
        <v>24628</v>
      </c>
      <c r="F27" s="108" t="s">
        <v>158</v>
      </c>
      <c r="G27" s="108">
        <v>125440</v>
      </c>
      <c r="H27" s="108">
        <v>0.91200000047683716</v>
      </c>
      <c r="I27" s="108">
        <v>59</v>
      </c>
      <c r="J27" s="137">
        <f>E27*$U$6</f>
        <v>2.4628000000000002E-5</v>
      </c>
      <c r="K27" s="137">
        <f t="shared" si="1"/>
        <v>7.2005770208000008E-6</v>
      </c>
      <c r="L27" s="137">
        <f t="shared" si="3"/>
        <v>9.3025425919999998E-6</v>
      </c>
      <c r="M27" s="137"/>
      <c r="Q27" s="108">
        <v>54</v>
      </c>
    </row>
    <row r="28" spans="1:21" x14ac:dyDescent="0.15">
      <c r="A28" s="108">
        <v>25</v>
      </c>
      <c r="B28" s="136">
        <v>0.91066664457321167</v>
      </c>
      <c r="C28" s="108">
        <f t="shared" si="0"/>
        <v>56</v>
      </c>
      <c r="D28" s="108" t="s">
        <v>90</v>
      </c>
      <c r="E28" s="108">
        <v>77795</v>
      </c>
      <c r="F28" s="108" t="s">
        <v>161</v>
      </c>
      <c r="G28" s="152">
        <v>1568</v>
      </c>
      <c r="H28" s="108">
        <v>0.91200000047683716</v>
      </c>
      <c r="I28" s="108">
        <v>59</v>
      </c>
      <c r="J28" s="137">
        <f>E28*$U$6</f>
        <v>7.779500000000001E-5</v>
      </c>
      <c r="K28" s="137">
        <f t="shared" si="1"/>
        <v>2.2745204212000005E-5</v>
      </c>
      <c r="L28" s="137"/>
      <c r="M28" s="137">
        <f t="shared" si="2"/>
        <v>8.9720332800000012E-8</v>
      </c>
      <c r="Q28" s="108">
        <v>54</v>
      </c>
    </row>
    <row r="29" spans="1:21" x14ac:dyDescent="0.15">
      <c r="A29" s="108">
        <v>26</v>
      </c>
      <c r="B29" s="136">
        <v>0.91200000047683716</v>
      </c>
      <c r="C29" s="108">
        <f t="shared" si="0"/>
        <v>56</v>
      </c>
      <c r="D29" s="108" t="s">
        <v>98</v>
      </c>
      <c r="E29" s="108">
        <v>5018</v>
      </c>
      <c r="F29" s="108" t="s">
        <v>160</v>
      </c>
      <c r="G29" s="108">
        <v>7840</v>
      </c>
      <c r="H29" s="108">
        <v>0.91200000047683716</v>
      </c>
      <c r="I29" s="108">
        <v>59</v>
      </c>
      <c r="J29" s="137">
        <f>E29*$U$6</f>
        <v>5.0180000000000001E-6</v>
      </c>
      <c r="K29" s="137">
        <f t="shared" si="1"/>
        <v>1.4671307248000001E-6</v>
      </c>
      <c r="L29" s="137">
        <f t="shared" si="3"/>
        <v>5.8140891199999999E-7</v>
      </c>
      <c r="M29" s="137"/>
      <c r="Q29" s="108">
        <v>54</v>
      </c>
    </row>
    <row r="30" spans="1:21" x14ac:dyDescent="0.15">
      <c r="A30" s="108">
        <v>27</v>
      </c>
      <c r="B30" s="136">
        <v>0.91200000047683716</v>
      </c>
      <c r="C30" s="108">
        <f t="shared" si="0"/>
        <v>56</v>
      </c>
      <c r="D30" s="108" t="s">
        <v>90</v>
      </c>
      <c r="E30" s="108">
        <v>30772</v>
      </c>
      <c r="F30" s="108" t="s">
        <v>161</v>
      </c>
      <c r="G30" s="152">
        <v>6272</v>
      </c>
      <c r="H30" s="108">
        <v>0.91200000047683716</v>
      </c>
      <c r="I30" s="108">
        <v>59</v>
      </c>
      <c r="J30" s="137">
        <f>E30*$U$6</f>
        <v>3.0772000000000003E-5</v>
      </c>
      <c r="K30" s="137">
        <f t="shared" si="1"/>
        <v>8.9969204192000004E-6</v>
      </c>
      <c r="L30" s="137"/>
      <c r="M30" s="137">
        <f t="shared" si="2"/>
        <v>3.5888133120000005E-7</v>
      </c>
      <c r="Q30" s="108">
        <v>54</v>
      </c>
    </row>
    <row r="31" spans="1:21" x14ac:dyDescent="0.15">
      <c r="A31" s="108">
        <v>28</v>
      </c>
      <c r="B31" s="136">
        <v>0.91200000047683716</v>
      </c>
      <c r="C31" s="108">
        <f t="shared" si="0"/>
        <v>56</v>
      </c>
      <c r="D31" s="108" t="s">
        <v>90</v>
      </c>
      <c r="E31" s="108">
        <v>78798</v>
      </c>
      <c r="F31" s="108" t="s">
        <v>158</v>
      </c>
      <c r="G31" s="108">
        <v>75968</v>
      </c>
      <c r="H31" s="108">
        <v>0.91200000047683716</v>
      </c>
      <c r="I31" s="108">
        <v>59</v>
      </c>
      <c r="J31" s="137">
        <f>E31*$U$6</f>
        <v>7.8798E-5</v>
      </c>
      <c r="K31" s="137">
        <f t="shared" si="1"/>
        <v>2.3038454932800001E-5</v>
      </c>
      <c r="L31" s="137">
        <f t="shared" si="3"/>
        <v>5.6337337023999999E-6</v>
      </c>
      <c r="M31" s="137"/>
      <c r="Q31" s="108">
        <v>54</v>
      </c>
    </row>
    <row r="32" spans="1:21" x14ac:dyDescent="0.15">
      <c r="A32" s="108">
        <v>29</v>
      </c>
      <c r="B32" s="136">
        <v>0.91200000047683716</v>
      </c>
      <c r="C32" s="108">
        <f t="shared" si="0"/>
        <v>56</v>
      </c>
      <c r="D32" s="108" t="s">
        <v>98</v>
      </c>
      <c r="E32" s="108">
        <v>6022</v>
      </c>
      <c r="F32" s="108" t="s">
        <v>162</v>
      </c>
      <c r="G32" s="152">
        <v>9408</v>
      </c>
      <c r="H32" s="108">
        <v>0.91200000047683716</v>
      </c>
      <c r="I32" s="108">
        <v>59</v>
      </c>
      <c r="J32" s="137">
        <f>E32*$U$6</f>
        <v>6.0220000000000001E-6</v>
      </c>
      <c r="K32" s="137">
        <f t="shared" si="1"/>
        <v>1.7606738192000001E-6</v>
      </c>
      <c r="L32" s="137"/>
      <c r="M32" s="137">
        <f t="shared" si="2"/>
        <v>5.3832199680000013E-7</v>
      </c>
      <c r="Q32" s="108">
        <v>54</v>
      </c>
    </row>
    <row r="33" spans="1:17" x14ac:dyDescent="0.15">
      <c r="A33" s="108">
        <v>30</v>
      </c>
      <c r="B33" s="136">
        <v>0.91200000047683716</v>
      </c>
      <c r="C33" s="108">
        <f t="shared" si="0"/>
        <v>56</v>
      </c>
      <c r="D33" s="108" t="s">
        <v>90</v>
      </c>
      <c r="E33" s="108">
        <v>36916</v>
      </c>
      <c r="F33" s="108" t="s">
        <v>158</v>
      </c>
      <c r="G33" s="108">
        <v>139552</v>
      </c>
      <c r="H33" s="108">
        <v>0.91200000047683716</v>
      </c>
      <c r="I33" s="108">
        <v>59</v>
      </c>
      <c r="J33" s="137">
        <f>E33*$U$6</f>
        <v>3.6916000000000004E-5</v>
      </c>
      <c r="K33" s="137">
        <f t="shared" si="1"/>
        <v>1.0793263817600002E-5</v>
      </c>
      <c r="L33" s="137">
        <f t="shared" si="3"/>
        <v>1.0349078633600001E-5</v>
      </c>
      <c r="M33" s="137"/>
      <c r="Q33" s="108">
        <v>54</v>
      </c>
    </row>
    <row r="34" spans="1:17" x14ac:dyDescent="0.15">
      <c r="A34" s="108">
        <v>31</v>
      </c>
      <c r="B34" s="136">
        <v>0.91200000047683716</v>
      </c>
      <c r="C34" s="108">
        <f t="shared" si="0"/>
        <v>56</v>
      </c>
      <c r="D34" s="108" t="s">
        <v>90</v>
      </c>
      <c r="E34" s="108">
        <v>79802</v>
      </c>
      <c r="F34" s="108" t="s">
        <v>161</v>
      </c>
      <c r="G34" s="152">
        <v>1568</v>
      </c>
      <c r="H34" s="108">
        <v>0.91200000047683716</v>
      </c>
      <c r="I34" s="108">
        <v>59</v>
      </c>
      <c r="J34" s="137">
        <f>E34*$U$6</f>
        <v>7.9802000000000006E-5</v>
      </c>
      <c r="K34" s="137">
        <f t="shared" si="1"/>
        <v>2.3331998027200004E-5</v>
      </c>
      <c r="L34" s="137"/>
      <c r="M34" s="137">
        <f t="shared" si="2"/>
        <v>8.9720332800000012E-8</v>
      </c>
      <c r="Q34" s="108">
        <v>54</v>
      </c>
    </row>
    <row r="35" spans="1:17" x14ac:dyDescent="0.15">
      <c r="A35" s="108">
        <v>32</v>
      </c>
      <c r="B35" s="136">
        <v>0.91066664457321167</v>
      </c>
      <c r="C35" s="108">
        <f t="shared" si="0"/>
        <v>56</v>
      </c>
      <c r="D35" s="108" t="s">
        <v>98</v>
      </c>
      <c r="E35" s="108">
        <v>7025</v>
      </c>
      <c r="F35" s="108" t="s">
        <v>160</v>
      </c>
      <c r="G35" s="108">
        <v>10976</v>
      </c>
      <c r="H35" s="108">
        <v>0.91200000047683716</v>
      </c>
      <c r="I35" s="108">
        <v>59</v>
      </c>
      <c r="J35" s="137">
        <f>E35*$U$6</f>
        <v>7.0250000000000005E-6</v>
      </c>
      <c r="K35" s="137">
        <f t="shared" si="1"/>
        <v>2.05392454E-6</v>
      </c>
      <c r="L35" s="137">
        <f t="shared" si="3"/>
        <v>8.1397247680000002E-7</v>
      </c>
      <c r="M35" s="137"/>
      <c r="Q35" s="108">
        <v>54</v>
      </c>
    </row>
    <row r="36" spans="1:17" x14ac:dyDescent="0.15">
      <c r="A36" s="108">
        <v>33</v>
      </c>
      <c r="B36" s="136">
        <v>0.91200000047683716</v>
      </c>
      <c r="C36" s="108">
        <f t="shared" si="0"/>
        <v>56</v>
      </c>
      <c r="D36" s="108" t="s">
        <v>90</v>
      </c>
      <c r="E36" s="108">
        <v>43060</v>
      </c>
      <c r="F36" s="108" t="s">
        <v>161</v>
      </c>
      <c r="G36" s="152">
        <v>6272</v>
      </c>
      <c r="H36" s="108">
        <v>0.91200000047683716</v>
      </c>
      <c r="I36" s="108">
        <v>59</v>
      </c>
      <c r="J36" s="137">
        <f>E36*$U$6</f>
        <v>4.3060000000000004E-5</v>
      </c>
      <c r="K36" s="137">
        <f t="shared" si="1"/>
        <v>1.2589607216000001E-5</v>
      </c>
      <c r="L36" s="137"/>
      <c r="M36" s="137">
        <f t="shared" si="2"/>
        <v>3.5888133120000005E-7</v>
      </c>
      <c r="Q36" s="108">
        <v>54</v>
      </c>
    </row>
    <row r="37" spans="1:17" x14ac:dyDescent="0.15">
      <c r="A37" s="108">
        <v>34</v>
      </c>
      <c r="B37" s="136">
        <v>0.91200000047683716</v>
      </c>
      <c r="C37" s="108">
        <f t="shared" si="0"/>
        <v>56</v>
      </c>
      <c r="D37" s="108" t="s">
        <v>90</v>
      </c>
      <c r="E37" s="108">
        <v>80805</v>
      </c>
      <c r="F37" s="108" t="s">
        <v>158</v>
      </c>
      <c r="G37" s="108">
        <v>72832</v>
      </c>
      <c r="H37" s="108">
        <v>0.91200000047683716</v>
      </c>
      <c r="I37" s="108">
        <v>59</v>
      </c>
      <c r="J37" s="137">
        <f>E37*$U$6</f>
        <v>8.080500000000001E-5</v>
      </c>
      <c r="K37" s="137">
        <f t="shared" si="1"/>
        <v>2.3625248748000003E-5</v>
      </c>
      <c r="L37" s="137">
        <f t="shared" si="3"/>
        <v>5.4011701376000005E-6</v>
      </c>
      <c r="M37" s="137"/>
      <c r="Q37" s="108">
        <v>54</v>
      </c>
    </row>
    <row r="38" spans="1:17" x14ac:dyDescent="0.15">
      <c r="A38" s="108">
        <v>35</v>
      </c>
      <c r="B38" s="136">
        <v>0.91333335638046265</v>
      </c>
      <c r="C38" s="108">
        <f t="shared" si="0"/>
        <v>54</v>
      </c>
      <c r="D38" s="108" t="s">
        <v>98</v>
      </c>
      <c r="E38" s="108">
        <v>8029</v>
      </c>
      <c r="F38" s="108" t="s">
        <v>162</v>
      </c>
      <c r="G38" s="152">
        <v>12544</v>
      </c>
      <c r="H38" s="108">
        <v>0.91200000047683716</v>
      </c>
      <c r="I38" s="108">
        <v>59</v>
      </c>
      <c r="J38" s="137">
        <f>E38*$U$6</f>
        <v>8.0290000000000005E-6</v>
      </c>
      <c r="K38" s="137">
        <f t="shared" si="1"/>
        <v>2.2266087032000001E-6</v>
      </c>
      <c r="L38" s="137"/>
      <c r="M38" s="137">
        <f t="shared" si="2"/>
        <v>6.4085372587084806E-7</v>
      </c>
      <c r="Q38" s="108">
        <v>54</v>
      </c>
    </row>
    <row r="39" spans="1:17" x14ac:dyDescent="0.15">
      <c r="A39" s="108">
        <v>36</v>
      </c>
      <c r="B39" s="136">
        <v>0.91333335638046265</v>
      </c>
      <c r="C39" s="108">
        <f t="shared" si="0"/>
        <v>54</v>
      </c>
      <c r="D39" s="108" t="s">
        <v>90</v>
      </c>
      <c r="E39" s="108">
        <v>49204</v>
      </c>
      <c r="F39" s="108" t="s">
        <v>158</v>
      </c>
      <c r="G39" s="108">
        <v>161504</v>
      </c>
      <c r="H39" s="108">
        <v>0.91200000047683716</v>
      </c>
      <c r="I39" s="108">
        <v>59</v>
      </c>
      <c r="J39" s="137">
        <f>E39*$U$6</f>
        <v>4.9204000000000005E-5</v>
      </c>
      <c r="K39" s="137">
        <f t="shared" si="1"/>
        <v>1.3645292643200001E-5</v>
      </c>
      <c r="L39" s="137">
        <f t="shared" si="3"/>
        <v>1.0939511124212832E-5</v>
      </c>
      <c r="M39" s="137"/>
      <c r="Q39" s="108">
        <v>54</v>
      </c>
    </row>
    <row r="40" spans="1:17" x14ac:dyDescent="0.15">
      <c r="A40" s="108">
        <v>37</v>
      </c>
      <c r="B40" s="136">
        <v>0.91200000047683716</v>
      </c>
      <c r="C40" s="108">
        <f t="shared" si="0"/>
        <v>56</v>
      </c>
      <c r="D40" s="108" t="s">
        <v>90</v>
      </c>
      <c r="E40" s="108">
        <v>81809</v>
      </c>
      <c r="F40" s="108" t="s">
        <v>161</v>
      </c>
      <c r="G40" s="152">
        <v>1568</v>
      </c>
      <c r="H40" s="108">
        <v>0.91200000047683716</v>
      </c>
      <c r="I40" s="108">
        <v>59</v>
      </c>
      <c r="J40" s="137">
        <f>E40*$U$6</f>
        <v>8.1809000000000002E-5</v>
      </c>
      <c r="K40" s="137">
        <f t="shared" si="1"/>
        <v>2.3918791842400003E-5</v>
      </c>
      <c r="L40" s="137"/>
      <c r="M40" s="137">
        <f t="shared" si="2"/>
        <v>8.9720332800000012E-8</v>
      </c>
      <c r="Q40" s="108">
        <v>54</v>
      </c>
    </row>
    <row r="41" spans="1:17" x14ac:dyDescent="0.15">
      <c r="A41" s="108">
        <v>38</v>
      </c>
      <c r="B41" s="136">
        <v>0.91066664457321167</v>
      </c>
      <c r="C41" s="108">
        <f t="shared" si="0"/>
        <v>56</v>
      </c>
      <c r="D41" s="108" t="s">
        <v>98</v>
      </c>
      <c r="E41" s="108">
        <v>9032</v>
      </c>
      <c r="F41" s="108" t="s">
        <v>160</v>
      </c>
      <c r="G41" s="108">
        <v>14112</v>
      </c>
      <c r="H41" s="108">
        <v>0.91200000047683716</v>
      </c>
      <c r="I41" s="108">
        <v>59</v>
      </c>
      <c r="J41" s="137">
        <f>E41*$U$6</f>
        <v>9.0320000000000009E-6</v>
      </c>
      <c r="K41" s="137">
        <f t="shared" si="1"/>
        <v>2.6407183552000003E-6</v>
      </c>
      <c r="L41" s="137">
        <f t="shared" si="3"/>
        <v>1.0465360415999998E-6</v>
      </c>
      <c r="M41" s="137"/>
      <c r="Q41" s="108">
        <v>54</v>
      </c>
    </row>
    <row r="42" spans="1:17" x14ac:dyDescent="0.15">
      <c r="A42" s="108">
        <v>39</v>
      </c>
      <c r="B42" s="136">
        <v>0.91200000047683716</v>
      </c>
      <c r="C42" s="108">
        <f t="shared" si="0"/>
        <v>58</v>
      </c>
      <c r="D42" s="108" t="s">
        <v>90</v>
      </c>
      <c r="E42" s="108">
        <v>55348</v>
      </c>
      <c r="F42" s="108" t="s">
        <v>161</v>
      </c>
      <c r="G42" s="152">
        <v>6272</v>
      </c>
      <c r="H42" s="108">
        <v>0.91200000047683716</v>
      </c>
      <c r="I42" s="108">
        <v>59</v>
      </c>
      <c r="J42" s="137">
        <f>E42*$U$6</f>
        <v>5.5348000000000006E-5</v>
      </c>
      <c r="K42" s="137">
        <f t="shared" si="1"/>
        <v>1.7015436387200002E-5</v>
      </c>
      <c r="L42" s="137"/>
      <c r="M42" s="137">
        <f t="shared" si="2"/>
        <v>3.9733579944576003E-7</v>
      </c>
      <c r="Q42" s="108">
        <v>56</v>
      </c>
    </row>
    <row r="43" spans="1:17" x14ac:dyDescent="0.15">
      <c r="A43" s="108">
        <v>40</v>
      </c>
      <c r="B43" s="136">
        <v>0.91066664457321167</v>
      </c>
      <c r="C43" s="108">
        <f t="shared" si="0"/>
        <v>56</v>
      </c>
      <c r="D43" s="108" t="s">
        <v>90</v>
      </c>
      <c r="E43" s="108">
        <v>82812</v>
      </c>
      <c r="F43" s="108" t="s">
        <v>158</v>
      </c>
      <c r="G43" s="108">
        <v>69696</v>
      </c>
      <c r="H43" s="108">
        <v>0.91200000047683716</v>
      </c>
      <c r="I43" s="108">
        <v>59</v>
      </c>
      <c r="J43" s="137">
        <f>E43*$U$6</f>
        <v>8.2812000000000006E-5</v>
      </c>
      <c r="K43" s="137">
        <f t="shared" si="1"/>
        <v>2.4212042563200002E-5</v>
      </c>
      <c r="L43" s="137">
        <f t="shared" si="3"/>
        <v>5.1686065727999994E-6</v>
      </c>
      <c r="M43" s="137"/>
      <c r="Q43" s="108">
        <v>55</v>
      </c>
    </row>
    <row r="44" spans="1:17" x14ac:dyDescent="0.15">
      <c r="A44" s="108">
        <v>41</v>
      </c>
      <c r="B44" s="136">
        <v>0.91066664457321167</v>
      </c>
      <c r="C44" s="108">
        <f t="shared" si="0"/>
        <v>56</v>
      </c>
      <c r="D44" s="108" t="s">
        <v>98</v>
      </c>
      <c r="E44" s="108">
        <v>10036</v>
      </c>
      <c r="F44" s="108" t="s">
        <v>162</v>
      </c>
      <c r="G44" s="152">
        <v>15680</v>
      </c>
      <c r="H44" s="108">
        <v>0.91200000047683716</v>
      </c>
      <c r="I44" s="108">
        <v>59</v>
      </c>
      <c r="J44" s="137">
        <f>E44*$U$6</f>
        <v>1.0036E-5</v>
      </c>
      <c r="K44" s="137">
        <f t="shared" si="1"/>
        <v>2.9342614496000003E-6</v>
      </c>
      <c r="L44" s="137"/>
      <c r="M44" s="137">
        <f t="shared" si="2"/>
        <v>8.9720332800000007E-7</v>
      </c>
      <c r="Q44" s="108">
        <v>54</v>
      </c>
    </row>
    <row r="45" spans="1:17" x14ac:dyDescent="0.15">
      <c r="A45" s="108">
        <v>42</v>
      </c>
      <c r="B45" s="136">
        <v>0.91200000047683716</v>
      </c>
      <c r="C45" s="108">
        <f t="shared" si="0"/>
        <v>56</v>
      </c>
      <c r="D45" s="108" t="s">
        <v>90</v>
      </c>
      <c r="E45" s="108">
        <v>61492</v>
      </c>
      <c r="F45" s="108" t="s">
        <v>158</v>
      </c>
      <c r="G45" s="108">
        <v>183456</v>
      </c>
      <c r="H45" s="108">
        <v>0.91200000047683716</v>
      </c>
      <c r="I45" s="108">
        <v>59</v>
      </c>
      <c r="J45" s="137">
        <f>E45*$U$6</f>
        <v>6.1492E-5</v>
      </c>
      <c r="K45" s="137">
        <f t="shared" si="1"/>
        <v>1.79786374112E-5</v>
      </c>
      <c r="L45" s="137">
        <f t="shared" si="3"/>
        <v>1.36049685408E-5</v>
      </c>
      <c r="M45" s="137"/>
      <c r="Q45" s="108">
        <v>54</v>
      </c>
    </row>
    <row r="46" spans="1:17" x14ac:dyDescent="0.15">
      <c r="A46" s="108">
        <v>43</v>
      </c>
      <c r="B46" s="136">
        <v>0.91200000047683716</v>
      </c>
      <c r="C46" s="108">
        <f t="shared" si="0"/>
        <v>56</v>
      </c>
      <c r="D46" s="108" t="s">
        <v>90</v>
      </c>
      <c r="E46" s="108">
        <v>83816</v>
      </c>
      <c r="F46" s="108" t="s">
        <v>161</v>
      </c>
      <c r="G46" s="152">
        <v>1568</v>
      </c>
      <c r="H46" s="108">
        <v>0.91200000047683716</v>
      </c>
      <c r="I46" s="108">
        <v>59</v>
      </c>
      <c r="J46" s="137">
        <f>E46*$U$6</f>
        <v>8.3815999999999998E-5</v>
      </c>
      <c r="K46" s="137">
        <f t="shared" si="1"/>
        <v>2.4505585657600002E-5</v>
      </c>
      <c r="L46" s="137"/>
      <c r="M46" s="137">
        <f t="shared" si="2"/>
        <v>8.9720332800000012E-8</v>
      </c>
      <c r="Q46" s="108">
        <v>54</v>
      </c>
    </row>
    <row r="47" spans="1:17" x14ac:dyDescent="0.15">
      <c r="A47" s="108">
        <v>44</v>
      </c>
      <c r="B47" s="136">
        <v>0.91333335638046265</v>
      </c>
      <c r="C47" s="108">
        <f t="shared" si="0"/>
        <v>54</v>
      </c>
      <c r="D47" s="108" t="s">
        <v>98</v>
      </c>
      <c r="E47" s="108">
        <v>11039</v>
      </c>
      <c r="F47" s="108" t="s">
        <v>160</v>
      </c>
      <c r="G47" s="108">
        <v>17248</v>
      </c>
      <c r="H47" s="108">
        <v>0.91200000047683716</v>
      </c>
      <c r="I47" s="108">
        <v>59</v>
      </c>
      <c r="J47" s="137">
        <f>E47*$U$6</f>
        <v>1.1039000000000001E-5</v>
      </c>
      <c r="K47" s="137">
        <f t="shared" si="1"/>
        <v>3.0613443111999999E-6</v>
      </c>
      <c r="L47" s="137">
        <f t="shared" si="3"/>
        <v>1.1682973045275841E-6</v>
      </c>
      <c r="M47" s="137"/>
      <c r="Q47" s="108">
        <v>54</v>
      </c>
    </row>
    <row r="48" spans="1:17" x14ac:dyDescent="0.15">
      <c r="A48" s="108">
        <v>45</v>
      </c>
      <c r="B48" s="136">
        <v>0.91066664457321167</v>
      </c>
      <c r="C48" s="108">
        <f t="shared" si="0"/>
        <v>56</v>
      </c>
      <c r="D48" s="108" t="s">
        <v>90</v>
      </c>
      <c r="E48" s="108">
        <v>67636</v>
      </c>
      <c r="F48" s="108" t="s">
        <v>161</v>
      </c>
      <c r="G48" s="152">
        <v>6272</v>
      </c>
      <c r="H48" s="108">
        <v>0.91200000047683716</v>
      </c>
      <c r="I48" s="108">
        <v>59</v>
      </c>
      <c r="J48" s="137">
        <f>E48*$U$6</f>
        <v>6.7636000000000001E-5</v>
      </c>
      <c r="K48" s="137">
        <f t="shared" si="1"/>
        <v>1.9774980809600001E-5</v>
      </c>
      <c r="L48" s="137"/>
      <c r="M48" s="137">
        <f t="shared" si="2"/>
        <v>3.5888133120000005E-7</v>
      </c>
      <c r="Q48" s="108">
        <v>54</v>
      </c>
    </row>
    <row r="49" spans="1:17" x14ac:dyDescent="0.15">
      <c r="A49" s="108">
        <v>46</v>
      </c>
      <c r="B49" s="136">
        <v>0.91333335638046265</v>
      </c>
      <c r="C49" s="108">
        <f t="shared" si="0"/>
        <v>54</v>
      </c>
      <c r="D49" s="108" t="s">
        <v>90</v>
      </c>
      <c r="E49" s="108">
        <v>84819</v>
      </c>
      <c r="F49" s="108" t="s">
        <v>158</v>
      </c>
      <c r="G49" s="108">
        <v>66560</v>
      </c>
      <c r="H49" s="108">
        <v>0.91200000047683716</v>
      </c>
      <c r="I49" s="108">
        <v>59</v>
      </c>
      <c r="J49" s="137">
        <f>E49*$U$6</f>
        <v>8.4819000000000002E-5</v>
      </c>
      <c r="K49" s="137">
        <f t="shared" si="1"/>
        <v>2.35220729352E-5</v>
      </c>
      <c r="L49" s="137">
        <f t="shared" si="3"/>
        <v>4.5084571306444797E-6</v>
      </c>
      <c r="M49" s="137"/>
      <c r="Q49" s="108">
        <v>54</v>
      </c>
    </row>
    <row r="50" spans="1:17" x14ac:dyDescent="0.15">
      <c r="A50" s="108">
        <v>47</v>
      </c>
      <c r="B50" s="136">
        <v>0.91333335638046265</v>
      </c>
      <c r="C50" s="108">
        <f t="shared" si="0"/>
        <v>54</v>
      </c>
      <c r="D50" s="108" t="s">
        <v>98</v>
      </c>
      <c r="E50" s="108">
        <v>12043</v>
      </c>
      <c r="F50" s="108" t="s">
        <v>162</v>
      </c>
      <c r="G50" s="152">
        <v>18816</v>
      </c>
      <c r="H50" s="108">
        <v>0.91200000047683716</v>
      </c>
      <c r="I50" s="108">
        <v>59</v>
      </c>
      <c r="J50" s="137">
        <f>E50*$U$6</f>
        <v>1.2043000000000001E-5</v>
      </c>
      <c r="K50" s="137">
        <f t="shared" si="1"/>
        <v>3.3397743944000001E-6</v>
      </c>
      <c r="L50" s="137"/>
      <c r="M50" s="137">
        <f t="shared" si="2"/>
        <v>9.6128058880627214E-7</v>
      </c>
      <c r="Q50" s="108">
        <v>54</v>
      </c>
    </row>
    <row r="51" spans="1:17" x14ac:dyDescent="0.15">
      <c r="A51" s="108">
        <v>48</v>
      </c>
      <c r="B51" s="136">
        <v>0.91200000047683716</v>
      </c>
      <c r="C51" s="108">
        <f t="shared" si="0"/>
        <v>56</v>
      </c>
      <c r="D51" s="108" t="s">
        <v>90</v>
      </c>
      <c r="E51" s="108">
        <v>73780</v>
      </c>
      <c r="F51" s="108" t="s">
        <v>158</v>
      </c>
      <c r="G51" s="108">
        <v>205408</v>
      </c>
      <c r="H51" s="108">
        <v>0.91200000047683716</v>
      </c>
      <c r="I51" s="108">
        <v>59</v>
      </c>
      <c r="J51" s="137">
        <f>E51*$U$6</f>
        <v>7.3780000000000002E-5</v>
      </c>
      <c r="K51" s="137">
        <f t="shared" si="1"/>
        <v>2.1571324208000003E-5</v>
      </c>
      <c r="L51" s="137">
        <f t="shared" si="3"/>
        <v>1.5232913494400001E-5</v>
      </c>
      <c r="M51" s="137"/>
      <c r="Q51" s="108">
        <v>54</v>
      </c>
    </row>
    <row r="52" spans="1:17" x14ac:dyDescent="0.15">
      <c r="A52" s="108">
        <v>49</v>
      </c>
      <c r="B52" s="136">
        <v>0.91200000047683716</v>
      </c>
      <c r="C52" s="108">
        <f t="shared" si="0"/>
        <v>56</v>
      </c>
      <c r="D52" s="108" t="s">
        <v>90</v>
      </c>
      <c r="E52" s="108">
        <v>85823</v>
      </c>
      <c r="F52" s="108" t="s">
        <v>161</v>
      </c>
      <c r="G52" s="152">
        <v>1568</v>
      </c>
      <c r="H52" s="108">
        <v>0.91200000047683716</v>
      </c>
      <c r="I52" s="108">
        <v>59</v>
      </c>
      <c r="J52" s="137">
        <f>E52*$U$6</f>
        <v>8.5823000000000008E-5</v>
      </c>
      <c r="K52" s="137">
        <f t="shared" si="1"/>
        <v>2.5092379472800005E-5</v>
      </c>
      <c r="L52" s="137"/>
      <c r="M52" s="137">
        <f t="shared" si="2"/>
        <v>8.9720332800000012E-8</v>
      </c>
      <c r="Q52" s="108">
        <v>54</v>
      </c>
    </row>
    <row r="53" spans="1:17" x14ac:dyDescent="0.15">
      <c r="A53" s="108">
        <v>50</v>
      </c>
      <c r="B53" s="136">
        <v>0.91333335638046265</v>
      </c>
      <c r="C53" s="108">
        <f t="shared" si="0"/>
        <v>54</v>
      </c>
      <c r="D53" s="108" t="s">
        <v>98</v>
      </c>
      <c r="E53" s="108">
        <v>13046</v>
      </c>
      <c r="F53" s="108" t="s">
        <v>160</v>
      </c>
      <c r="G53" s="108">
        <v>20384</v>
      </c>
      <c r="H53" s="108">
        <v>0.91200000047683716</v>
      </c>
      <c r="I53" s="108">
        <v>59</v>
      </c>
      <c r="J53" s="137">
        <f>E53*$U$6</f>
        <v>1.3046E-5</v>
      </c>
      <c r="K53" s="137">
        <f t="shared" si="1"/>
        <v>3.6179271567999997E-6</v>
      </c>
      <c r="L53" s="137">
        <f t="shared" si="3"/>
        <v>1.380714996259872E-6</v>
      </c>
      <c r="M53" s="137"/>
      <c r="Q53" s="108">
        <v>54</v>
      </c>
    </row>
    <row r="54" spans="1:17" x14ac:dyDescent="0.15">
      <c r="A54" s="108">
        <v>51</v>
      </c>
      <c r="B54" s="136">
        <v>0.91200000047683716</v>
      </c>
      <c r="C54" s="108">
        <f t="shared" si="0"/>
        <v>56</v>
      </c>
      <c r="D54" s="108" t="s">
        <v>90</v>
      </c>
      <c r="E54" s="108">
        <v>79924</v>
      </c>
      <c r="F54" s="108" t="s">
        <v>161</v>
      </c>
      <c r="G54" s="152">
        <v>6272</v>
      </c>
      <c r="H54" s="108">
        <v>0.91200000047683716</v>
      </c>
      <c r="I54" s="108">
        <v>59</v>
      </c>
      <c r="J54" s="137">
        <f>E54*$U$6</f>
        <v>7.9924000000000003E-5</v>
      </c>
      <c r="K54" s="137">
        <f t="shared" si="1"/>
        <v>2.3367667606400001E-5</v>
      </c>
      <c r="L54" s="137"/>
      <c r="M54" s="137">
        <f t="shared" si="2"/>
        <v>3.5888133120000005E-7</v>
      </c>
      <c r="Q54" s="108">
        <v>54</v>
      </c>
    </row>
    <row r="55" spans="1:17" x14ac:dyDescent="0.15">
      <c r="A55" s="108">
        <v>52</v>
      </c>
      <c r="B55" s="136">
        <v>0.91333335638046265</v>
      </c>
      <c r="C55" s="108">
        <f t="shared" si="0"/>
        <v>54</v>
      </c>
      <c r="D55" s="108" t="s">
        <v>90</v>
      </c>
      <c r="E55" s="108">
        <v>86826</v>
      </c>
      <c r="F55" s="108" t="s">
        <v>158</v>
      </c>
      <c r="G55" s="108">
        <v>63424</v>
      </c>
      <c r="H55" s="108">
        <v>0.91200000047683716</v>
      </c>
      <c r="I55" s="108">
        <v>59</v>
      </c>
      <c r="J55" s="137">
        <f>E55*$U$6</f>
        <v>8.6826000000000012E-5</v>
      </c>
      <c r="K55" s="137">
        <f t="shared" si="1"/>
        <v>2.4078655780800003E-5</v>
      </c>
      <c r="L55" s="137">
        <f t="shared" si="3"/>
        <v>4.296039438912192E-6</v>
      </c>
      <c r="M55" s="137"/>
      <c r="Q55" s="108">
        <v>54</v>
      </c>
    </row>
    <row r="56" spans="1:17" x14ac:dyDescent="0.15">
      <c r="A56" s="108">
        <v>53</v>
      </c>
      <c r="B56" s="136">
        <v>0.91200000047683716</v>
      </c>
      <c r="C56" s="108">
        <f t="shared" si="0"/>
        <v>56</v>
      </c>
      <c r="D56" s="108" t="s">
        <v>98</v>
      </c>
      <c r="E56" s="108">
        <v>14050</v>
      </c>
      <c r="F56" s="108" t="s">
        <v>162</v>
      </c>
      <c r="G56" s="152">
        <v>21952</v>
      </c>
      <c r="H56" s="108">
        <v>0.91200000047683716</v>
      </c>
      <c r="I56" s="108">
        <v>59</v>
      </c>
      <c r="J56" s="137">
        <f>E56*$U$6</f>
        <v>1.4050000000000001E-5</v>
      </c>
      <c r="K56" s="137">
        <f t="shared" si="1"/>
        <v>4.10784908E-6</v>
      </c>
      <c r="L56" s="137"/>
      <c r="M56" s="137">
        <f t="shared" si="2"/>
        <v>1.2560846592E-6</v>
      </c>
      <c r="Q56" s="108">
        <v>54</v>
      </c>
    </row>
    <row r="57" spans="1:17" x14ac:dyDescent="0.15">
      <c r="A57" s="108">
        <v>54</v>
      </c>
      <c r="B57" s="136">
        <v>0.91200000047683716</v>
      </c>
      <c r="C57" s="108">
        <f t="shared" si="0"/>
        <v>56</v>
      </c>
      <c r="D57" s="108" t="s">
        <v>90</v>
      </c>
      <c r="E57" s="108">
        <v>86068</v>
      </c>
      <c r="F57" s="108" t="s">
        <v>158</v>
      </c>
      <c r="G57" s="108">
        <v>227360</v>
      </c>
      <c r="H57" s="108">
        <v>0.91200000047683716</v>
      </c>
      <c r="I57" s="108">
        <v>59</v>
      </c>
      <c r="J57" s="137">
        <f>E57*$U$6</f>
        <v>8.6068000000000003E-5</v>
      </c>
      <c r="K57" s="137">
        <f t="shared" si="1"/>
        <v>2.5164011004800002E-5</v>
      </c>
      <c r="L57" s="137">
        <f t="shared" si="3"/>
        <v>1.6860858448E-5</v>
      </c>
      <c r="M57" s="137"/>
      <c r="Q57" s="108">
        <v>54</v>
      </c>
    </row>
    <row r="58" spans="1:17" x14ac:dyDescent="0.15">
      <c r="A58" s="108">
        <v>55</v>
      </c>
      <c r="B58" s="136">
        <v>0.91200000047683716</v>
      </c>
      <c r="C58" s="108">
        <f t="shared" si="0"/>
        <v>56</v>
      </c>
      <c r="D58" s="108" t="s">
        <v>90</v>
      </c>
      <c r="E58" s="108">
        <v>87830</v>
      </c>
      <c r="F58" s="108" t="s">
        <v>161</v>
      </c>
      <c r="G58" s="152">
        <v>1568</v>
      </c>
      <c r="H58" s="108">
        <v>0.91200000047683716</v>
      </c>
      <c r="I58" s="108">
        <v>59</v>
      </c>
      <c r="J58" s="137">
        <f>E58*$U$6</f>
        <v>8.7830000000000004E-5</v>
      </c>
      <c r="K58" s="137">
        <f t="shared" si="1"/>
        <v>2.5679173288000004E-5</v>
      </c>
      <c r="L58" s="137"/>
      <c r="M58" s="137">
        <f t="shared" si="2"/>
        <v>8.9720332800000012E-8</v>
      </c>
      <c r="Q58" s="108">
        <v>54</v>
      </c>
    </row>
    <row r="59" spans="1:17" x14ac:dyDescent="0.15">
      <c r="A59" s="108">
        <v>56</v>
      </c>
      <c r="B59" s="136">
        <v>0.91200000047683716</v>
      </c>
      <c r="C59" s="108">
        <f t="shared" si="0"/>
        <v>56</v>
      </c>
      <c r="D59" s="108" t="s">
        <v>98</v>
      </c>
      <c r="E59" s="108">
        <v>15053</v>
      </c>
      <c r="F59" s="108" t="s">
        <v>160</v>
      </c>
      <c r="G59" s="108">
        <v>23520</v>
      </c>
      <c r="H59" s="108">
        <v>0.91200000047683716</v>
      </c>
      <c r="I59" s="108">
        <v>59</v>
      </c>
      <c r="J59" s="137">
        <f>E59*$U$6</f>
        <v>1.5053000000000001E-5</v>
      </c>
      <c r="K59" s="137">
        <f t="shared" si="1"/>
        <v>4.4010998008000008E-6</v>
      </c>
      <c r="L59" s="137">
        <f t="shared" si="3"/>
        <v>1.744226736E-6</v>
      </c>
      <c r="M59" s="137"/>
      <c r="Q59" s="108">
        <v>54</v>
      </c>
    </row>
    <row r="60" spans="1:17" x14ac:dyDescent="0.15">
      <c r="A60" s="108">
        <v>57</v>
      </c>
      <c r="B60" s="136">
        <v>0.91200000047683716</v>
      </c>
      <c r="C60" s="108">
        <f t="shared" si="0"/>
        <v>56</v>
      </c>
      <c r="D60" s="108" t="s">
        <v>90</v>
      </c>
      <c r="E60" s="108">
        <v>92212</v>
      </c>
      <c r="F60" s="108" t="s">
        <v>161</v>
      </c>
      <c r="G60" s="152">
        <v>6272</v>
      </c>
      <c r="H60" s="108">
        <v>0.91200000047683716</v>
      </c>
      <c r="I60" s="108">
        <v>59</v>
      </c>
      <c r="J60" s="137">
        <f>E60*$U$6</f>
        <v>9.2212000000000004E-5</v>
      </c>
      <c r="K60" s="137">
        <f t="shared" si="1"/>
        <v>2.6960354403200003E-5</v>
      </c>
      <c r="L60" s="137"/>
      <c r="M60" s="137">
        <f t="shared" si="2"/>
        <v>3.5888133120000005E-7</v>
      </c>
      <c r="Q60" s="108">
        <v>54</v>
      </c>
    </row>
    <row r="61" spans="1:17" x14ac:dyDescent="0.15">
      <c r="A61" s="108">
        <v>58</v>
      </c>
      <c r="B61" s="136">
        <v>0.91200000047683716</v>
      </c>
      <c r="C61" s="108">
        <f t="shared" si="0"/>
        <v>56</v>
      </c>
      <c r="D61" s="108" t="s">
        <v>90</v>
      </c>
      <c r="E61" s="108">
        <v>88833</v>
      </c>
      <c r="F61" s="108" t="s">
        <v>158</v>
      </c>
      <c r="G61" s="108">
        <v>60288</v>
      </c>
      <c r="H61" s="108">
        <v>0.91200000047683716</v>
      </c>
      <c r="I61" s="108">
        <v>59</v>
      </c>
      <c r="J61" s="137">
        <f>E61*$U$6</f>
        <v>8.8833000000000008E-5</v>
      </c>
      <c r="K61" s="137">
        <f t="shared" si="1"/>
        <v>2.5972424008800003E-5</v>
      </c>
      <c r="L61" s="137">
        <f t="shared" si="3"/>
        <v>4.4709158784000003E-6</v>
      </c>
      <c r="M61" s="137"/>
      <c r="Q61" s="108">
        <v>54</v>
      </c>
    </row>
    <row r="62" spans="1:17" x14ac:dyDescent="0.15">
      <c r="A62" s="108">
        <v>59</v>
      </c>
      <c r="B62" s="136">
        <v>0.91333335638046265</v>
      </c>
      <c r="C62" s="108">
        <f t="shared" si="0"/>
        <v>54</v>
      </c>
      <c r="D62" s="108" t="s">
        <v>98</v>
      </c>
      <c r="E62" s="108">
        <v>16057</v>
      </c>
      <c r="F62" s="108" t="s">
        <v>162</v>
      </c>
      <c r="G62" s="152">
        <v>25088</v>
      </c>
      <c r="H62" s="108">
        <v>0.91200000047683716</v>
      </c>
      <c r="I62" s="108">
        <v>59</v>
      </c>
      <c r="J62" s="137">
        <f>E62*$U$6</f>
        <v>1.6057000000000002E-5</v>
      </c>
      <c r="K62" s="137">
        <f t="shared" si="1"/>
        <v>4.4529400856000007E-6</v>
      </c>
      <c r="L62" s="137"/>
      <c r="M62" s="137">
        <f t="shared" si="2"/>
        <v>1.2817074517416961E-6</v>
      </c>
      <c r="Q62" s="108">
        <v>54</v>
      </c>
    </row>
    <row r="63" spans="1:17" x14ac:dyDescent="0.15">
      <c r="A63" s="108">
        <v>60</v>
      </c>
      <c r="B63" s="136">
        <v>0.91333335638046265</v>
      </c>
      <c r="C63" s="108">
        <f t="shared" si="0"/>
        <v>54</v>
      </c>
      <c r="D63" s="108" t="s">
        <v>90</v>
      </c>
      <c r="E63" s="108">
        <v>180276</v>
      </c>
      <c r="F63" s="108" t="s">
        <v>158</v>
      </c>
      <c r="G63" s="108">
        <v>450016</v>
      </c>
      <c r="H63" s="108">
        <v>0.91200000047683716</v>
      </c>
      <c r="I63" s="108">
        <v>59</v>
      </c>
      <c r="J63" s="137">
        <f>E63*$U$6</f>
        <v>1.8027600000000002E-4</v>
      </c>
      <c r="K63" s="137">
        <f t="shared" si="1"/>
        <v>4.9994284540800003E-5</v>
      </c>
      <c r="L63" s="137">
        <f t="shared" si="3"/>
        <v>3.0481938763583327E-5</v>
      </c>
      <c r="M63" s="137"/>
      <c r="Q63" s="108">
        <v>54</v>
      </c>
    </row>
    <row r="64" spans="1:17" x14ac:dyDescent="0.15">
      <c r="A64" s="108">
        <v>61</v>
      </c>
      <c r="B64" s="136">
        <v>0.91200000047683716</v>
      </c>
      <c r="C64" s="108">
        <f t="shared" si="0"/>
        <v>56</v>
      </c>
      <c r="D64" s="108" t="s">
        <v>100</v>
      </c>
      <c r="E64" s="108">
        <v>2008</v>
      </c>
      <c r="F64" s="108" t="s">
        <v>164</v>
      </c>
      <c r="G64" s="152">
        <v>3136</v>
      </c>
      <c r="H64" s="108">
        <v>0.91200000047683716</v>
      </c>
      <c r="I64" s="108">
        <v>59</v>
      </c>
      <c r="J64" s="137">
        <f>E64*$U$6</f>
        <v>2.0080000000000001E-6</v>
      </c>
      <c r="K64" s="137">
        <f t="shared" si="1"/>
        <v>5.870861888E-7</v>
      </c>
      <c r="L64" s="137"/>
      <c r="M64" s="137">
        <f t="shared" si="2"/>
        <v>1.7944066560000002E-7</v>
      </c>
      <c r="Q64" s="108">
        <v>54</v>
      </c>
    </row>
    <row r="65" spans="1:17" x14ac:dyDescent="0.15">
      <c r="A65" s="108">
        <v>62</v>
      </c>
      <c r="B65" s="136">
        <v>0.91200000047683716</v>
      </c>
      <c r="C65" s="108">
        <f t="shared" si="0"/>
        <v>56</v>
      </c>
      <c r="D65" s="108" t="s">
        <v>98</v>
      </c>
      <c r="E65" s="108">
        <v>2008</v>
      </c>
      <c r="F65" s="108" t="s">
        <v>160</v>
      </c>
      <c r="G65" s="108">
        <v>3136</v>
      </c>
      <c r="H65" s="108">
        <v>0.91200000047683716</v>
      </c>
      <c r="I65" s="108">
        <v>59</v>
      </c>
      <c r="J65" s="137">
        <f>E65*$U$6</f>
        <v>2.0080000000000001E-6</v>
      </c>
      <c r="K65" s="137">
        <f t="shared" si="1"/>
        <v>5.870861888E-7</v>
      </c>
      <c r="L65" s="137">
        <f t="shared" si="3"/>
        <v>2.3256356480000001E-7</v>
      </c>
      <c r="M65" s="137"/>
      <c r="Q65" s="108">
        <v>54</v>
      </c>
    </row>
    <row r="66" spans="1:17" x14ac:dyDescent="0.15">
      <c r="A66" s="108">
        <v>63</v>
      </c>
      <c r="B66" s="136">
        <v>0.91200000047683716</v>
      </c>
      <c r="C66" s="108">
        <f t="shared" si="0"/>
        <v>56</v>
      </c>
      <c r="D66" s="108" t="s">
        <v>90</v>
      </c>
      <c r="E66" s="108">
        <v>12340</v>
      </c>
      <c r="F66" s="108" t="s">
        <v>161</v>
      </c>
      <c r="G66" s="152">
        <v>1568</v>
      </c>
      <c r="H66" s="108">
        <v>0.91200000047683716</v>
      </c>
      <c r="I66" s="108">
        <v>59</v>
      </c>
      <c r="J66" s="137">
        <f>E66*$U$6</f>
        <v>1.234E-5</v>
      </c>
      <c r="K66" s="137">
        <f t="shared" si="1"/>
        <v>3.6078902240000003E-6</v>
      </c>
      <c r="L66" s="137"/>
      <c r="M66" s="137">
        <f t="shared" si="2"/>
        <v>8.9720332800000012E-8</v>
      </c>
      <c r="Q66" s="108">
        <v>54</v>
      </c>
    </row>
    <row r="67" spans="1:17" x14ac:dyDescent="0.15">
      <c r="A67" s="108">
        <v>64</v>
      </c>
      <c r="B67" s="136">
        <v>0.91200000047683716</v>
      </c>
      <c r="C67" s="108">
        <f t="shared" ref="C67:C130" si="4">_xlfn.SWITCH(Q67,60,60,59,60,58,60,57,58,56,58,55,56,54,IF(B67&gt;$R$2,54,56))</f>
        <v>56</v>
      </c>
      <c r="D67" s="108" t="s">
        <v>90</v>
      </c>
      <c r="E67" s="108">
        <v>20492</v>
      </c>
      <c r="F67" s="108" t="s">
        <v>158</v>
      </c>
      <c r="G67" s="108">
        <v>29376</v>
      </c>
      <c r="H67" s="108">
        <v>0.91200000047683716</v>
      </c>
      <c r="I67" s="108">
        <v>59</v>
      </c>
      <c r="J67" s="137">
        <f>E67*$U$6</f>
        <v>2.0492E-5</v>
      </c>
      <c r="K67" s="137">
        <f t="shared" ref="K67:K130" si="5">_xlfn.SWITCH(C67+$U$2,54,$Z$10,55,$Y$10,56,$X$10,57,$W$10,58,$V$10,59,$U$10,$U$17)*J67</f>
        <v>5.9913198112000003E-6</v>
      </c>
      <c r="L67" s="137">
        <f t="shared" si="3"/>
        <v>2.1785035968000001E-6</v>
      </c>
      <c r="M67" s="137"/>
      <c r="Q67" s="108">
        <v>54</v>
      </c>
    </row>
    <row r="68" spans="1:17" x14ac:dyDescent="0.15">
      <c r="A68" s="108">
        <v>65</v>
      </c>
      <c r="B68" s="136">
        <v>0.91200000047683716</v>
      </c>
      <c r="C68" s="108">
        <f t="shared" si="4"/>
        <v>56</v>
      </c>
      <c r="D68" s="108" t="s">
        <v>98</v>
      </c>
      <c r="E68" s="108">
        <v>2258</v>
      </c>
      <c r="F68" s="108" t="s">
        <v>162</v>
      </c>
      <c r="G68" s="152">
        <v>3528</v>
      </c>
      <c r="H68" s="108">
        <v>0.91200000047683716</v>
      </c>
      <c r="I68" s="108">
        <v>59</v>
      </c>
      <c r="J68" s="137">
        <f>E68*$U$6</f>
        <v>2.2580000000000002E-6</v>
      </c>
      <c r="K68" s="137">
        <f t="shared" si="5"/>
        <v>6.6017958880000008E-7</v>
      </c>
      <c r="L68" s="137"/>
      <c r="M68" s="137">
        <f t="shared" ref="M67:M130" si="6">_xlfn.SWITCH(C68+$U$2,54,$Z$12,55,$Y$12,56,$X$12,57,$W$12,58,$V$12,59,$U$12,$U$19)*G68*$U$6</f>
        <v>2.0187074880000002E-7</v>
      </c>
      <c r="Q68" s="108">
        <v>54</v>
      </c>
    </row>
    <row r="69" spans="1:17" x14ac:dyDescent="0.15">
      <c r="A69" s="108">
        <v>66</v>
      </c>
      <c r="B69" s="136">
        <v>0.91200000047683716</v>
      </c>
      <c r="C69" s="108">
        <f t="shared" si="4"/>
        <v>56</v>
      </c>
      <c r="D69" s="108" t="s">
        <v>90</v>
      </c>
      <c r="E69" s="108">
        <v>13876</v>
      </c>
      <c r="F69" s="108" t="s">
        <v>158</v>
      </c>
      <c r="G69" s="108">
        <v>54880</v>
      </c>
      <c r="H69" s="108">
        <v>0.91200000047683716</v>
      </c>
      <c r="I69" s="108">
        <v>59</v>
      </c>
      <c r="J69" s="137">
        <f>E69*$U$6</f>
        <v>1.3876000000000001E-5</v>
      </c>
      <c r="K69" s="137">
        <f t="shared" si="5"/>
        <v>4.0569760736000002E-6</v>
      </c>
      <c r="L69" s="137">
        <f t="shared" ref="L68:L131" si="7">_xlfn.SWITCH(C69+$U$2,54,$Z$11,55,$Y$11,56,$X$11,57,$W$11,58,$V$11,59,$U$11,$U$18)*G69*$U$6</f>
        <v>4.0698623840000005E-6</v>
      </c>
      <c r="M69" s="137"/>
      <c r="Q69" s="108">
        <v>54</v>
      </c>
    </row>
    <row r="70" spans="1:17" x14ac:dyDescent="0.15">
      <c r="A70" s="108">
        <v>67</v>
      </c>
      <c r="B70" s="136">
        <v>0.91200000047683716</v>
      </c>
      <c r="C70" s="108">
        <f t="shared" si="4"/>
        <v>56</v>
      </c>
      <c r="D70" s="108" t="s">
        <v>90</v>
      </c>
      <c r="E70" s="108">
        <v>20742</v>
      </c>
      <c r="F70" s="108" t="s">
        <v>161</v>
      </c>
      <c r="G70" s="152">
        <v>392</v>
      </c>
      <c r="H70" s="108">
        <v>0.91200000047683716</v>
      </c>
      <c r="I70" s="108">
        <v>59</v>
      </c>
      <c r="J70" s="137">
        <f>E70*$U$6</f>
        <v>2.0742000000000002E-5</v>
      </c>
      <c r="K70" s="137">
        <f t="shared" si="5"/>
        <v>6.0644132112000011E-6</v>
      </c>
      <c r="L70" s="137"/>
      <c r="M70" s="137">
        <f t="shared" si="6"/>
        <v>2.2430083200000003E-8</v>
      </c>
      <c r="Q70" s="108">
        <v>54</v>
      </c>
    </row>
    <row r="71" spans="1:17" x14ac:dyDescent="0.15">
      <c r="A71" s="108">
        <v>68</v>
      </c>
      <c r="B71" s="136">
        <v>0.91200000047683716</v>
      </c>
      <c r="C71" s="108">
        <f t="shared" si="4"/>
        <v>56</v>
      </c>
      <c r="D71" s="108" t="s">
        <v>98</v>
      </c>
      <c r="E71" s="108">
        <v>2509</v>
      </c>
      <c r="F71" s="108" t="s">
        <v>160</v>
      </c>
      <c r="G71" s="108">
        <v>3920</v>
      </c>
      <c r="H71" s="108">
        <v>0.91200000047683716</v>
      </c>
      <c r="I71" s="108">
        <v>59</v>
      </c>
      <c r="J71" s="137">
        <f>E71*$U$6</f>
        <v>2.509E-6</v>
      </c>
      <c r="K71" s="137">
        <f t="shared" si="5"/>
        <v>7.3356536240000007E-7</v>
      </c>
      <c r="L71" s="137">
        <f t="shared" si="7"/>
        <v>2.9070445599999999E-7</v>
      </c>
      <c r="M71" s="137"/>
      <c r="Q71" s="108">
        <v>54</v>
      </c>
    </row>
    <row r="72" spans="1:17" x14ac:dyDescent="0.15">
      <c r="A72" s="108">
        <v>69</v>
      </c>
      <c r="B72" s="136">
        <v>0.91200000047683716</v>
      </c>
      <c r="C72" s="108">
        <f t="shared" si="4"/>
        <v>56</v>
      </c>
      <c r="D72" s="108" t="s">
        <v>90</v>
      </c>
      <c r="E72" s="108">
        <v>15412</v>
      </c>
      <c r="F72" s="108" t="s">
        <v>161</v>
      </c>
      <c r="G72" s="152">
        <v>1568</v>
      </c>
      <c r="H72" s="108">
        <v>0.91200000047683716</v>
      </c>
      <c r="I72" s="108">
        <v>59</v>
      </c>
      <c r="J72" s="137">
        <f>E72*$U$6</f>
        <v>1.5412000000000001E-5</v>
      </c>
      <c r="K72" s="137">
        <f t="shared" si="5"/>
        <v>4.5060619232000006E-6</v>
      </c>
      <c r="L72" s="137"/>
      <c r="M72" s="137">
        <f t="shared" si="6"/>
        <v>8.9720332800000012E-8</v>
      </c>
      <c r="Q72" s="108">
        <v>54</v>
      </c>
    </row>
    <row r="73" spans="1:17" x14ac:dyDescent="0.15">
      <c r="A73" s="108">
        <v>70</v>
      </c>
      <c r="B73" s="136">
        <v>0.91200000047683716</v>
      </c>
      <c r="C73" s="108">
        <f t="shared" si="4"/>
        <v>56</v>
      </c>
      <c r="D73" s="108" t="s">
        <v>90</v>
      </c>
      <c r="E73" s="108">
        <v>20993</v>
      </c>
      <c r="F73" s="108" t="s">
        <v>158</v>
      </c>
      <c r="G73" s="108">
        <v>30160</v>
      </c>
      <c r="H73" s="108">
        <v>0.91200000047683716</v>
      </c>
      <c r="I73" s="108">
        <v>59</v>
      </c>
      <c r="J73" s="137">
        <f>E73*$U$6</f>
        <v>2.0993E-5</v>
      </c>
      <c r="K73" s="137">
        <f t="shared" si="5"/>
        <v>6.1377989848000002E-6</v>
      </c>
      <c r="L73" s="137">
        <f t="shared" si="7"/>
        <v>2.2366444879999999E-6</v>
      </c>
      <c r="M73" s="137"/>
      <c r="Q73" s="108">
        <v>54</v>
      </c>
    </row>
    <row r="74" spans="1:17" x14ac:dyDescent="0.15">
      <c r="A74" s="108">
        <v>71</v>
      </c>
      <c r="B74" s="136">
        <v>0.91200000047683716</v>
      </c>
      <c r="C74" s="108">
        <f t="shared" si="4"/>
        <v>56</v>
      </c>
      <c r="D74" s="108" t="s">
        <v>98</v>
      </c>
      <c r="E74" s="108">
        <v>2760</v>
      </c>
      <c r="F74" s="108" t="s">
        <v>162</v>
      </c>
      <c r="G74" s="152">
        <v>4312</v>
      </c>
      <c r="H74" s="108">
        <v>0.91200000047683716</v>
      </c>
      <c r="I74" s="108">
        <v>59</v>
      </c>
      <c r="J74" s="137">
        <f>E74*$U$6</f>
        <v>2.7600000000000003E-6</v>
      </c>
      <c r="K74" s="137">
        <f t="shared" si="5"/>
        <v>8.0695113600000005E-7</v>
      </c>
      <c r="L74" s="137"/>
      <c r="M74" s="137">
        <f t="shared" si="6"/>
        <v>2.4673091520000001E-7</v>
      </c>
      <c r="Q74" s="108">
        <v>54</v>
      </c>
    </row>
    <row r="75" spans="1:17" x14ac:dyDescent="0.15">
      <c r="A75" s="108">
        <v>72</v>
      </c>
      <c r="B75" s="136">
        <v>0.91200000047683716</v>
      </c>
      <c r="C75" s="108">
        <f t="shared" si="4"/>
        <v>56</v>
      </c>
      <c r="D75" s="108" t="s">
        <v>90</v>
      </c>
      <c r="E75" s="108">
        <v>16948</v>
      </c>
      <c r="F75" s="108" t="s">
        <v>158</v>
      </c>
      <c r="G75" s="108">
        <v>61936</v>
      </c>
      <c r="H75" s="108">
        <v>0.91200000047683716</v>
      </c>
      <c r="I75" s="108">
        <v>59</v>
      </c>
      <c r="J75" s="137">
        <f>E75*$U$6</f>
        <v>1.6948000000000001E-5</v>
      </c>
      <c r="K75" s="137">
        <f t="shared" si="5"/>
        <v>4.9551477728000009E-6</v>
      </c>
      <c r="L75" s="137">
        <f t="shared" si="7"/>
        <v>4.5931304048000005E-6</v>
      </c>
      <c r="M75" s="137"/>
      <c r="Q75" s="108">
        <v>54</v>
      </c>
    </row>
    <row r="76" spans="1:17" x14ac:dyDescent="0.15">
      <c r="A76" s="108">
        <v>73</v>
      </c>
      <c r="B76" s="136">
        <v>0.91200000047683716</v>
      </c>
      <c r="C76" s="108">
        <f t="shared" si="4"/>
        <v>56</v>
      </c>
      <c r="D76" s="108" t="s">
        <v>90</v>
      </c>
      <c r="E76" s="108">
        <v>21244</v>
      </c>
      <c r="F76" s="108" t="s">
        <v>161</v>
      </c>
      <c r="G76" s="152">
        <v>392</v>
      </c>
      <c r="H76" s="108">
        <v>0.91200000047683716</v>
      </c>
      <c r="I76" s="108">
        <v>59</v>
      </c>
      <c r="J76" s="137">
        <f>E76*$U$6</f>
        <v>2.1244000000000002E-5</v>
      </c>
      <c r="K76" s="137">
        <f t="shared" si="5"/>
        <v>6.211184758400001E-6</v>
      </c>
      <c r="L76" s="137"/>
      <c r="M76" s="137">
        <f t="shared" si="6"/>
        <v>2.2430083200000003E-8</v>
      </c>
      <c r="Q76" s="108">
        <v>54</v>
      </c>
    </row>
    <row r="77" spans="1:17" x14ac:dyDescent="0.15">
      <c r="A77" s="108">
        <v>74</v>
      </c>
      <c r="B77" s="136">
        <v>0.91333335638046265</v>
      </c>
      <c r="C77" s="108">
        <f t="shared" si="4"/>
        <v>54</v>
      </c>
      <c r="D77" s="108" t="s">
        <v>98</v>
      </c>
      <c r="E77" s="108">
        <v>3011</v>
      </c>
      <c r="F77" s="108" t="s">
        <v>160</v>
      </c>
      <c r="G77" s="108">
        <v>4704</v>
      </c>
      <c r="H77" s="108">
        <v>0.91200000047683716</v>
      </c>
      <c r="I77" s="108">
        <v>59</v>
      </c>
      <c r="J77" s="137">
        <f>E77*$U$6</f>
        <v>3.0110000000000001E-6</v>
      </c>
      <c r="K77" s="137">
        <f t="shared" si="5"/>
        <v>8.350129287999999E-7</v>
      </c>
      <c r="L77" s="137">
        <f t="shared" si="7"/>
        <v>3.1862653759843198E-7</v>
      </c>
      <c r="M77" s="137"/>
      <c r="Q77" s="108">
        <v>54</v>
      </c>
    </row>
    <row r="78" spans="1:17" x14ac:dyDescent="0.15">
      <c r="A78" s="108">
        <v>75</v>
      </c>
      <c r="B78" s="136">
        <v>0.91333335638046265</v>
      </c>
      <c r="C78" s="108">
        <f t="shared" si="4"/>
        <v>54</v>
      </c>
      <c r="D78" s="108" t="s">
        <v>90</v>
      </c>
      <c r="E78" s="108">
        <v>18484</v>
      </c>
      <c r="F78" s="108" t="s">
        <v>161</v>
      </c>
      <c r="G78" s="152">
        <v>1568</v>
      </c>
      <c r="H78" s="108">
        <v>0.91200000047683716</v>
      </c>
      <c r="I78" s="108">
        <v>59</v>
      </c>
      <c r="J78" s="137">
        <f>E78*$U$6</f>
        <v>1.8484000000000001E-5</v>
      </c>
      <c r="K78" s="137">
        <f t="shared" si="5"/>
        <v>5.1259976671999995E-6</v>
      </c>
      <c r="L78" s="137"/>
      <c r="M78" s="137">
        <f t="shared" si="6"/>
        <v>8.0106715733856007E-8</v>
      </c>
      <c r="Q78" s="108">
        <v>54</v>
      </c>
    </row>
    <row r="79" spans="1:17" x14ac:dyDescent="0.15">
      <c r="A79" s="108">
        <v>76</v>
      </c>
      <c r="B79" s="136">
        <v>0.91200000047683716</v>
      </c>
      <c r="C79" s="108">
        <f t="shared" si="4"/>
        <v>56</v>
      </c>
      <c r="D79" s="108" t="s">
        <v>90</v>
      </c>
      <c r="E79" s="108">
        <v>21495</v>
      </c>
      <c r="F79" s="108" t="s">
        <v>158</v>
      </c>
      <c r="G79" s="108">
        <v>30944</v>
      </c>
      <c r="H79" s="108">
        <v>0.91200000047683716</v>
      </c>
      <c r="I79" s="108">
        <v>59</v>
      </c>
      <c r="J79" s="137">
        <f>E79*$U$6</f>
        <v>2.1495E-5</v>
      </c>
      <c r="K79" s="137">
        <f t="shared" si="5"/>
        <v>6.2845705320000002E-6</v>
      </c>
      <c r="L79" s="137">
        <f t="shared" si="7"/>
        <v>2.2947853792000002E-6</v>
      </c>
      <c r="M79" s="137"/>
      <c r="Q79" s="108">
        <v>54</v>
      </c>
    </row>
    <row r="80" spans="1:17" x14ac:dyDescent="0.15">
      <c r="A80" s="108">
        <v>77</v>
      </c>
      <c r="B80" s="136">
        <v>0.91200000047683716</v>
      </c>
      <c r="C80" s="108">
        <f t="shared" si="4"/>
        <v>56</v>
      </c>
      <c r="D80" s="108" t="s">
        <v>98</v>
      </c>
      <c r="E80" s="108">
        <v>3262</v>
      </c>
      <c r="F80" s="108" t="s">
        <v>162</v>
      </c>
      <c r="G80" s="152">
        <v>5096</v>
      </c>
      <c r="H80" s="108">
        <v>0.91200000047683716</v>
      </c>
      <c r="I80" s="108">
        <v>59</v>
      </c>
      <c r="J80" s="137">
        <f>E80*$U$6</f>
        <v>3.2620000000000003E-6</v>
      </c>
      <c r="K80" s="137">
        <f t="shared" si="5"/>
        <v>9.5372268320000003E-7</v>
      </c>
      <c r="L80" s="137"/>
      <c r="M80" s="137">
        <f t="shared" si="6"/>
        <v>2.9159108160000001E-7</v>
      </c>
      <c r="Q80" s="108">
        <v>54</v>
      </c>
    </row>
    <row r="81" spans="1:17" x14ac:dyDescent="0.15">
      <c r="A81" s="108">
        <v>78</v>
      </c>
      <c r="B81" s="136">
        <v>0.91200000047683716</v>
      </c>
      <c r="C81" s="108">
        <f t="shared" si="4"/>
        <v>56</v>
      </c>
      <c r="D81" s="108" t="s">
        <v>90</v>
      </c>
      <c r="E81" s="108">
        <v>20020</v>
      </c>
      <c r="F81" s="108" t="s">
        <v>158</v>
      </c>
      <c r="G81" s="108">
        <v>68992</v>
      </c>
      <c r="H81" s="108">
        <v>0.91200000047683716</v>
      </c>
      <c r="I81" s="108">
        <v>59</v>
      </c>
      <c r="J81" s="137">
        <f>E81*$U$6</f>
        <v>2.0020000000000001E-5</v>
      </c>
      <c r="K81" s="137">
        <f t="shared" si="5"/>
        <v>5.8533194720000007E-6</v>
      </c>
      <c r="L81" s="137">
        <f t="shared" si="7"/>
        <v>5.1163984255999995E-6</v>
      </c>
      <c r="M81" s="137"/>
      <c r="Q81" s="108">
        <v>54</v>
      </c>
    </row>
    <row r="82" spans="1:17" x14ac:dyDescent="0.15">
      <c r="A82" s="108">
        <v>79</v>
      </c>
      <c r="B82" s="136">
        <v>0.91200000047683716</v>
      </c>
      <c r="C82" s="108">
        <f t="shared" si="4"/>
        <v>56</v>
      </c>
      <c r="D82" s="108" t="s">
        <v>90</v>
      </c>
      <c r="E82" s="108">
        <v>21746</v>
      </c>
      <c r="F82" s="108" t="s">
        <v>161</v>
      </c>
      <c r="G82" s="152">
        <v>392</v>
      </c>
      <c r="H82" s="108">
        <v>0.91200000047683716</v>
      </c>
      <c r="I82" s="108">
        <v>59</v>
      </c>
      <c r="J82" s="137">
        <f>E82*$U$6</f>
        <v>2.1746000000000002E-5</v>
      </c>
      <c r="K82" s="137">
        <f t="shared" si="5"/>
        <v>6.357956305600001E-6</v>
      </c>
      <c r="L82" s="137"/>
      <c r="M82" s="137">
        <f t="shared" si="6"/>
        <v>2.2430083200000003E-8</v>
      </c>
      <c r="Q82" s="108">
        <v>54</v>
      </c>
    </row>
    <row r="83" spans="1:17" x14ac:dyDescent="0.15">
      <c r="A83" s="108">
        <v>80</v>
      </c>
      <c r="B83" s="136">
        <v>0.91200000047683716</v>
      </c>
      <c r="C83" s="108">
        <f t="shared" si="4"/>
        <v>56</v>
      </c>
      <c r="D83" s="108" t="s">
        <v>98</v>
      </c>
      <c r="E83" s="108">
        <v>3513</v>
      </c>
      <c r="F83" s="108" t="s">
        <v>160</v>
      </c>
      <c r="G83" s="108">
        <v>5488</v>
      </c>
      <c r="H83" s="108">
        <v>0.91200000047683716</v>
      </c>
      <c r="I83" s="108">
        <v>59</v>
      </c>
      <c r="J83" s="137">
        <f>E83*$U$6</f>
        <v>3.5130000000000001E-6</v>
      </c>
      <c r="K83" s="137">
        <f t="shared" si="5"/>
        <v>1.0271084568E-6</v>
      </c>
      <c r="L83" s="137">
        <f t="shared" si="7"/>
        <v>4.0698623840000001E-7</v>
      </c>
      <c r="M83" s="137"/>
      <c r="Q83" s="108">
        <v>54</v>
      </c>
    </row>
    <row r="84" spans="1:17" x14ac:dyDescent="0.15">
      <c r="A84" s="108">
        <v>81</v>
      </c>
      <c r="B84" s="136">
        <v>0.91200000047683716</v>
      </c>
      <c r="C84" s="108">
        <f t="shared" si="4"/>
        <v>56</v>
      </c>
      <c r="D84" s="108" t="s">
        <v>90</v>
      </c>
      <c r="E84" s="108">
        <v>21556</v>
      </c>
      <c r="F84" s="108" t="s">
        <v>161</v>
      </c>
      <c r="G84" s="152">
        <v>1568</v>
      </c>
      <c r="H84" s="108">
        <v>0.91200000047683716</v>
      </c>
      <c r="I84" s="108">
        <v>59</v>
      </c>
      <c r="J84" s="137">
        <f>E84*$U$6</f>
        <v>2.1556000000000002E-5</v>
      </c>
      <c r="K84" s="137">
        <f t="shared" si="5"/>
        <v>6.302405321600001E-6</v>
      </c>
      <c r="L84" s="137"/>
      <c r="M84" s="137">
        <f t="shared" si="6"/>
        <v>8.9720332800000012E-8</v>
      </c>
      <c r="Q84" s="108">
        <v>54</v>
      </c>
    </row>
    <row r="85" spans="1:17" x14ac:dyDescent="0.15">
      <c r="A85" s="108">
        <v>82</v>
      </c>
      <c r="B85" s="136">
        <v>0.91200000047683716</v>
      </c>
      <c r="C85" s="108">
        <f t="shared" si="4"/>
        <v>56</v>
      </c>
      <c r="D85" s="108" t="s">
        <v>90</v>
      </c>
      <c r="E85" s="108">
        <v>21997</v>
      </c>
      <c r="F85" s="108" t="s">
        <v>158</v>
      </c>
      <c r="G85" s="108">
        <v>31728</v>
      </c>
      <c r="H85" s="108">
        <v>0.91200000047683716</v>
      </c>
      <c r="I85" s="108">
        <v>59</v>
      </c>
      <c r="J85" s="137">
        <f>E85*$U$6</f>
        <v>2.1997000000000003E-5</v>
      </c>
      <c r="K85" s="137">
        <f t="shared" si="5"/>
        <v>6.431342079200001E-6</v>
      </c>
      <c r="L85" s="137">
        <f t="shared" si="7"/>
        <v>2.3529262704E-6</v>
      </c>
      <c r="M85" s="137"/>
      <c r="Q85" s="108">
        <v>54</v>
      </c>
    </row>
    <row r="86" spans="1:17" x14ac:dyDescent="0.15">
      <c r="A86" s="108">
        <v>83</v>
      </c>
      <c r="B86" s="136">
        <v>0.91200000047683716</v>
      </c>
      <c r="C86" s="108">
        <f t="shared" si="4"/>
        <v>56</v>
      </c>
      <c r="D86" s="108" t="s">
        <v>98</v>
      </c>
      <c r="E86" s="108">
        <v>3764</v>
      </c>
      <c r="F86" s="108" t="s">
        <v>162</v>
      </c>
      <c r="G86" s="152">
        <v>5880</v>
      </c>
      <c r="H86" s="108">
        <v>0.91200000047683716</v>
      </c>
      <c r="I86" s="108">
        <v>59</v>
      </c>
      <c r="J86" s="137">
        <f>E86*$U$6</f>
        <v>3.7640000000000003E-6</v>
      </c>
      <c r="K86" s="137">
        <f t="shared" si="5"/>
        <v>1.1004942304000002E-6</v>
      </c>
      <c r="L86" s="137"/>
      <c r="M86" s="137">
        <f t="shared" si="6"/>
        <v>3.3645124800000005E-7</v>
      </c>
      <c r="Q86" s="108">
        <v>54</v>
      </c>
    </row>
    <row r="87" spans="1:17" x14ac:dyDescent="0.15">
      <c r="A87" s="108">
        <v>84</v>
      </c>
      <c r="B87" s="136">
        <v>0.91200000047683716</v>
      </c>
      <c r="C87" s="108">
        <f t="shared" si="4"/>
        <v>56</v>
      </c>
      <c r="D87" s="108" t="s">
        <v>90</v>
      </c>
      <c r="E87" s="108">
        <v>23092</v>
      </c>
      <c r="F87" s="108" t="s">
        <v>158</v>
      </c>
      <c r="G87" s="108">
        <v>76048</v>
      </c>
      <c r="H87" s="108">
        <v>0.91200000047683716</v>
      </c>
      <c r="I87" s="108">
        <v>59</v>
      </c>
      <c r="J87" s="137">
        <f>E87*$U$6</f>
        <v>2.3092000000000002E-5</v>
      </c>
      <c r="K87" s="137">
        <f t="shared" si="5"/>
        <v>6.7514911712000005E-6</v>
      </c>
      <c r="L87" s="137">
        <f t="shared" si="7"/>
        <v>5.6396664464000003E-6</v>
      </c>
      <c r="M87" s="137"/>
      <c r="Q87" s="108">
        <v>54</v>
      </c>
    </row>
    <row r="88" spans="1:17" x14ac:dyDescent="0.15">
      <c r="A88" s="108">
        <v>85</v>
      </c>
      <c r="B88" s="136">
        <v>0.91200000047683716</v>
      </c>
      <c r="C88" s="108">
        <f t="shared" si="4"/>
        <v>56</v>
      </c>
      <c r="D88" s="108" t="s">
        <v>90</v>
      </c>
      <c r="E88" s="108">
        <v>18735</v>
      </c>
      <c r="F88" s="108" t="s">
        <v>161</v>
      </c>
      <c r="G88" s="152">
        <v>392</v>
      </c>
      <c r="H88" s="108">
        <v>0.91200000047683716</v>
      </c>
      <c r="I88" s="108">
        <v>59</v>
      </c>
      <c r="J88" s="137">
        <f>E88*$U$6</f>
        <v>1.8735000000000003E-5</v>
      </c>
      <c r="K88" s="137">
        <f t="shared" si="5"/>
        <v>5.4776193960000012E-6</v>
      </c>
      <c r="L88" s="137"/>
      <c r="M88" s="137">
        <f t="shared" si="6"/>
        <v>2.2430083200000003E-8</v>
      </c>
      <c r="Q88" s="108">
        <v>54</v>
      </c>
    </row>
    <row r="89" spans="1:17" x14ac:dyDescent="0.15">
      <c r="A89" s="108">
        <v>86</v>
      </c>
      <c r="B89" s="136">
        <v>0.91333335638046265</v>
      </c>
      <c r="C89" s="108">
        <f t="shared" si="4"/>
        <v>54</v>
      </c>
      <c r="D89" s="108" t="s">
        <v>98</v>
      </c>
      <c r="E89" s="108">
        <v>4015</v>
      </c>
      <c r="F89" s="108" t="s">
        <v>160</v>
      </c>
      <c r="G89" s="108">
        <v>6272</v>
      </c>
      <c r="H89" s="108">
        <v>0.91200000047683716</v>
      </c>
      <c r="I89" s="108">
        <v>59</v>
      </c>
      <c r="J89" s="137">
        <f>E89*$U$6</f>
        <v>4.0150000000000005E-6</v>
      </c>
      <c r="K89" s="137">
        <f t="shared" si="5"/>
        <v>1.113443012E-6</v>
      </c>
      <c r="L89" s="137">
        <f t="shared" si="7"/>
        <v>4.2483538346457599E-7</v>
      </c>
      <c r="M89" s="137"/>
      <c r="Q89" s="108">
        <v>54</v>
      </c>
    </row>
    <row r="90" spans="1:17" x14ac:dyDescent="0.15">
      <c r="A90" s="108">
        <v>87</v>
      </c>
      <c r="B90" s="136">
        <v>0.91200000047683716</v>
      </c>
      <c r="C90" s="108">
        <f t="shared" si="4"/>
        <v>56</v>
      </c>
      <c r="D90" s="108" t="s">
        <v>90</v>
      </c>
      <c r="E90" s="108">
        <v>24628</v>
      </c>
      <c r="F90" s="108" t="s">
        <v>161</v>
      </c>
      <c r="G90" s="152">
        <v>1568</v>
      </c>
      <c r="H90" s="108">
        <v>0.91200000047683716</v>
      </c>
      <c r="I90" s="108">
        <v>59</v>
      </c>
      <c r="J90" s="137">
        <f>E90*$U$6</f>
        <v>2.4628000000000002E-5</v>
      </c>
      <c r="K90" s="137">
        <f t="shared" si="5"/>
        <v>7.2005770208000008E-6</v>
      </c>
      <c r="L90" s="137"/>
      <c r="M90" s="137">
        <f t="shared" si="6"/>
        <v>8.9720332800000012E-8</v>
      </c>
      <c r="Q90" s="108">
        <v>54</v>
      </c>
    </row>
    <row r="91" spans="1:17" x14ac:dyDescent="0.15">
      <c r="A91" s="108">
        <v>88</v>
      </c>
      <c r="B91" s="136">
        <v>0.91200000047683716</v>
      </c>
      <c r="C91" s="108">
        <f t="shared" si="4"/>
        <v>56</v>
      </c>
      <c r="D91" s="108" t="s">
        <v>90</v>
      </c>
      <c r="E91" s="108">
        <v>22499</v>
      </c>
      <c r="F91" s="108" t="s">
        <v>158</v>
      </c>
      <c r="G91" s="108">
        <v>32512</v>
      </c>
      <c r="H91" s="108">
        <v>0.91200000047683716</v>
      </c>
      <c r="I91" s="108">
        <v>59</v>
      </c>
      <c r="J91" s="137">
        <f>E91*$U$6</f>
        <v>2.2499000000000003E-5</v>
      </c>
      <c r="K91" s="137">
        <f t="shared" si="5"/>
        <v>6.578113626400001E-6</v>
      </c>
      <c r="L91" s="137">
        <f t="shared" si="7"/>
        <v>2.4110671616000003E-6</v>
      </c>
      <c r="M91" s="137"/>
      <c r="Q91" s="108">
        <v>54</v>
      </c>
    </row>
    <row r="92" spans="1:17" x14ac:dyDescent="0.15">
      <c r="A92" s="108">
        <v>89</v>
      </c>
      <c r="B92" s="136">
        <v>0.91200000047683716</v>
      </c>
      <c r="C92" s="108">
        <f t="shared" si="4"/>
        <v>56</v>
      </c>
      <c r="D92" s="108" t="s">
        <v>98</v>
      </c>
      <c r="E92" s="108">
        <v>4265</v>
      </c>
      <c r="F92" s="108" t="s">
        <v>162</v>
      </c>
      <c r="G92" s="152">
        <v>6664</v>
      </c>
      <c r="H92" s="108">
        <v>0.91200000047683716</v>
      </c>
      <c r="I92" s="108">
        <v>59</v>
      </c>
      <c r="J92" s="137">
        <f>E92*$U$6</f>
        <v>4.2650000000000007E-6</v>
      </c>
      <c r="K92" s="137">
        <f t="shared" si="5"/>
        <v>1.2469734040000002E-6</v>
      </c>
      <c r="L92" s="137"/>
      <c r="M92" s="137">
        <f t="shared" si="6"/>
        <v>3.8131141439999999E-7</v>
      </c>
      <c r="Q92" s="108">
        <v>54</v>
      </c>
    </row>
    <row r="93" spans="1:17" x14ac:dyDescent="0.15">
      <c r="A93" s="108">
        <v>90</v>
      </c>
      <c r="B93" s="136">
        <v>0.91333335638046265</v>
      </c>
      <c r="C93" s="108">
        <f t="shared" si="4"/>
        <v>54</v>
      </c>
      <c r="D93" s="108" t="s">
        <v>90</v>
      </c>
      <c r="E93" s="108">
        <v>26164</v>
      </c>
      <c r="F93" s="108" t="s">
        <v>158</v>
      </c>
      <c r="G93" s="108">
        <v>83104</v>
      </c>
      <c r="H93" s="108">
        <v>0.91200000047683716</v>
      </c>
      <c r="I93" s="108">
        <v>59</v>
      </c>
      <c r="J93" s="137">
        <f>E93*$U$6</f>
        <v>2.6164000000000002E-5</v>
      </c>
      <c r="K93" s="137">
        <f t="shared" si="5"/>
        <v>7.2558214112000005E-6</v>
      </c>
      <c r="L93" s="137">
        <f t="shared" si="7"/>
        <v>5.6290688309056314E-6</v>
      </c>
      <c r="M93" s="137"/>
      <c r="Q93" s="108">
        <v>54</v>
      </c>
    </row>
    <row r="94" spans="1:17" x14ac:dyDescent="0.15">
      <c r="A94" s="108">
        <v>91</v>
      </c>
      <c r="B94" s="136">
        <v>0.91200000047683716</v>
      </c>
      <c r="C94" s="108">
        <f t="shared" si="4"/>
        <v>56</v>
      </c>
      <c r="D94" s="108" t="s">
        <v>90</v>
      </c>
      <c r="E94" s="108">
        <v>22749</v>
      </c>
      <c r="F94" s="108" t="s">
        <v>161</v>
      </c>
      <c r="G94" s="152">
        <v>392</v>
      </c>
      <c r="H94" s="108">
        <v>0.91200000047683716</v>
      </c>
      <c r="I94" s="108">
        <v>59</v>
      </c>
      <c r="J94" s="137">
        <f>E94*$U$6</f>
        <v>2.2749000000000002E-5</v>
      </c>
      <c r="K94" s="137">
        <f t="shared" si="5"/>
        <v>6.651207026400001E-6</v>
      </c>
      <c r="L94" s="137"/>
      <c r="M94" s="137">
        <f t="shared" si="6"/>
        <v>2.2430083200000003E-8</v>
      </c>
      <c r="Q94" s="108">
        <v>54</v>
      </c>
    </row>
    <row r="95" spans="1:17" x14ac:dyDescent="0.15">
      <c r="A95" s="108">
        <v>92</v>
      </c>
      <c r="B95" s="136">
        <v>0.91200000047683716</v>
      </c>
      <c r="C95" s="108">
        <f t="shared" si="4"/>
        <v>56</v>
      </c>
      <c r="D95" s="108" t="s">
        <v>98</v>
      </c>
      <c r="E95" s="108">
        <v>4516</v>
      </c>
      <c r="F95" s="108" t="s">
        <v>160</v>
      </c>
      <c r="G95" s="108">
        <v>7056</v>
      </c>
      <c r="H95" s="108">
        <v>0.91200000047683716</v>
      </c>
      <c r="I95" s="108">
        <v>59</v>
      </c>
      <c r="J95" s="137">
        <f>E95*$U$6</f>
        <v>4.5160000000000005E-6</v>
      </c>
      <c r="K95" s="137">
        <f t="shared" si="5"/>
        <v>1.3203591776000002E-6</v>
      </c>
      <c r="L95" s="137">
        <f t="shared" si="7"/>
        <v>5.2326802079999992E-7</v>
      </c>
      <c r="M95" s="137"/>
      <c r="Q95" s="108">
        <v>54</v>
      </c>
    </row>
    <row r="96" spans="1:17" x14ac:dyDescent="0.15">
      <c r="A96" s="108">
        <v>93</v>
      </c>
      <c r="B96" s="136">
        <v>0.91066664457321167</v>
      </c>
      <c r="C96" s="108">
        <f t="shared" si="4"/>
        <v>56</v>
      </c>
      <c r="D96" s="108" t="s">
        <v>90</v>
      </c>
      <c r="E96" s="108">
        <v>27700</v>
      </c>
      <c r="F96" s="108" t="s">
        <v>161</v>
      </c>
      <c r="G96" s="152">
        <v>1568</v>
      </c>
      <c r="H96" s="108">
        <v>0.91200000047683716</v>
      </c>
      <c r="I96" s="108">
        <v>59</v>
      </c>
      <c r="J96" s="137">
        <f>E96*$U$6</f>
        <v>2.7700000000000002E-5</v>
      </c>
      <c r="K96" s="137">
        <f t="shared" si="5"/>
        <v>8.0987487200000015E-6</v>
      </c>
      <c r="L96" s="137"/>
      <c r="M96" s="137">
        <f t="shared" si="6"/>
        <v>8.9720332800000012E-8</v>
      </c>
      <c r="Q96" s="108">
        <v>54</v>
      </c>
    </row>
    <row r="97" spans="1:17" x14ac:dyDescent="0.15">
      <c r="A97" s="108">
        <v>94</v>
      </c>
      <c r="B97" s="136">
        <v>0.91200000047683716</v>
      </c>
      <c r="C97" s="108">
        <f t="shared" si="4"/>
        <v>56</v>
      </c>
      <c r="D97" s="108" t="s">
        <v>90</v>
      </c>
      <c r="E97" s="108">
        <v>23000</v>
      </c>
      <c r="F97" s="108" t="s">
        <v>158</v>
      </c>
      <c r="G97" s="108">
        <v>33296</v>
      </c>
      <c r="H97" s="108">
        <v>0.91200000047683716</v>
      </c>
      <c r="I97" s="108">
        <v>59</v>
      </c>
      <c r="J97" s="137">
        <f>E97*$U$6</f>
        <v>2.3E-5</v>
      </c>
      <c r="K97" s="137">
        <f t="shared" si="5"/>
        <v>6.7245928000000001E-6</v>
      </c>
      <c r="L97" s="137">
        <f t="shared" si="7"/>
        <v>2.4692080528000002E-6</v>
      </c>
      <c r="M97" s="137"/>
      <c r="Q97" s="108">
        <v>54</v>
      </c>
    </row>
    <row r="98" spans="1:17" x14ac:dyDescent="0.15">
      <c r="A98" s="108">
        <v>95</v>
      </c>
      <c r="B98" s="136">
        <v>0.90933334827423096</v>
      </c>
      <c r="C98" s="108">
        <f t="shared" si="4"/>
        <v>56</v>
      </c>
      <c r="D98" s="108" t="s">
        <v>98</v>
      </c>
      <c r="E98" s="108">
        <v>4767</v>
      </c>
      <c r="F98" s="108" t="s">
        <v>162</v>
      </c>
      <c r="G98" s="152">
        <v>7448</v>
      </c>
      <c r="H98" s="108">
        <v>0.91200000047683716</v>
      </c>
      <c r="I98" s="108">
        <v>59</v>
      </c>
      <c r="J98" s="137">
        <f>E98*$U$6</f>
        <v>4.7670000000000003E-6</v>
      </c>
      <c r="K98" s="137">
        <f t="shared" si="5"/>
        <v>1.3937449512000001E-6</v>
      </c>
      <c r="L98" s="137"/>
      <c r="M98" s="137">
        <f t="shared" si="6"/>
        <v>4.2617158080000004E-7</v>
      </c>
      <c r="Q98" s="108">
        <v>54</v>
      </c>
    </row>
    <row r="99" spans="1:17" x14ac:dyDescent="0.15">
      <c r="A99" s="108">
        <v>96</v>
      </c>
      <c r="B99" s="136">
        <v>0.91066664457321167</v>
      </c>
      <c r="C99" s="108">
        <f t="shared" si="4"/>
        <v>56</v>
      </c>
      <c r="D99" s="108" t="s">
        <v>90</v>
      </c>
      <c r="E99" s="108">
        <v>29236</v>
      </c>
      <c r="F99" s="108" t="s">
        <v>158</v>
      </c>
      <c r="G99" s="108">
        <v>90160</v>
      </c>
      <c r="H99" s="108">
        <v>0.91200000047683716</v>
      </c>
      <c r="I99" s="108">
        <v>59</v>
      </c>
      <c r="J99" s="137">
        <f>E99*$U$6</f>
        <v>2.9236000000000003E-5</v>
      </c>
      <c r="K99" s="137">
        <f t="shared" si="5"/>
        <v>8.5478345696000018E-6</v>
      </c>
      <c r="L99" s="137">
        <f t="shared" si="7"/>
        <v>6.6862024880000002E-6</v>
      </c>
      <c r="M99" s="137"/>
      <c r="Q99" s="108">
        <v>54</v>
      </c>
    </row>
    <row r="100" spans="1:17" x14ac:dyDescent="0.15">
      <c r="A100" s="108">
        <v>97</v>
      </c>
      <c r="B100" s="136">
        <v>0.91066664457321167</v>
      </c>
      <c r="C100" s="108">
        <f t="shared" si="4"/>
        <v>56</v>
      </c>
      <c r="D100" s="108" t="s">
        <v>90</v>
      </c>
      <c r="E100" s="108">
        <v>23251</v>
      </c>
      <c r="F100" s="108" t="s">
        <v>161</v>
      </c>
      <c r="G100" s="152">
        <v>392</v>
      </c>
      <c r="H100" s="108">
        <v>0.91200000047683716</v>
      </c>
      <c r="I100" s="108">
        <v>59</v>
      </c>
      <c r="J100" s="137">
        <f>E100*$U$6</f>
        <v>2.3251000000000002E-5</v>
      </c>
      <c r="K100" s="137">
        <f t="shared" si="5"/>
        <v>6.7979785736000009E-6</v>
      </c>
      <c r="L100" s="137"/>
      <c r="M100" s="137">
        <f t="shared" si="6"/>
        <v>2.2430083200000003E-8</v>
      </c>
      <c r="Q100" s="108">
        <v>54</v>
      </c>
    </row>
    <row r="101" spans="1:17" x14ac:dyDescent="0.15">
      <c r="A101" s="108">
        <v>98</v>
      </c>
      <c r="B101" s="136">
        <v>0.91200000047683716</v>
      </c>
      <c r="C101" s="108">
        <f t="shared" si="4"/>
        <v>56</v>
      </c>
      <c r="D101" s="108" t="s">
        <v>98</v>
      </c>
      <c r="E101" s="108">
        <v>5018</v>
      </c>
      <c r="F101" s="108" t="s">
        <v>160</v>
      </c>
      <c r="G101" s="108">
        <v>7840</v>
      </c>
      <c r="H101" s="108">
        <v>0.91200000047683716</v>
      </c>
      <c r="I101" s="108">
        <v>59</v>
      </c>
      <c r="J101" s="137">
        <f>E101*$U$6</f>
        <v>5.0180000000000001E-6</v>
      </c>
      <c r="K101" s="137">
        <f t="shared" si="5"/>
        <v>1.4671307248000001E-6</v>
      </c>
      <c r="L101" s="137">
        <f t="shared" si="7"/>
        <v>5.8140891199999999E-7</v>
      </c>
      <c r="M101" s="137"/>
      <c r="Q101" s="108">
        <v>54</v>
      </c>
    </row>
    <row r="102" spans="1:17" x14ac:dyDescent="0.15">
      <c r="A102" s="108">
        <v>99</v>
      </c>
      <c r="B102" s="136">
        <v>0.91333335638046265</v>
      </c>
      <c r="C102" s="108">
        <f t="shared" si="4"/>
        <v>54</v>
      </c>
      <c r="D102" s="108" t="s">
        <v>90</v>
      </c>
      <c r="E102" s="108">
        <v>30772</v>
      </c>
      <c r="F102" s="108" t="s">
        <v>161</v>
      </c>
      <c r="G102" s="152">
        <v>1568</v>
      </c>
      <c r="H102" s="108">
        <v>0.91200000047683716</v>
      </c>
      <c r="I102" s="108">
        <v>59</v>
      </c>
      <c r="J102" s="137">
        <f>E102*$U$6</f>
        <v>3.0772000000000003E-5</v>
      </c>
      <c r="K102" s="137">
        <f t="shared" si="5"/>
        <v>8.5337156576000005E-6</v>
      </c>
      <c r="L102" s="137"/>
      <c r="M102" s="137">
        <f t="shared" si="6"/>
        <v>8.0106715733856007E-8</v>
      </c>
      <c r="Q102" s="108">
        <v>54</v>
      </c>
    </row>
    <row r="103" spans="1:17" x14ac:dyDescent="0.15">
      <c r="A103" s="108">
        <v>100</v>
      </c>
      <c r="B103" s="136">
        <v>0.91333335638046265</v>
      </c>
      <c r="C103" s="108">
        <f t="shared" si="4"/>
        <v>54</v>
      </c>
      <c r="D103" s="108" t="s">
        <v>90</v>
      </c>
      <c r="E103" s="108">
        <v>23502</v>
      </c>
      <c r="F103" s="108" t="s">
        <v>158</v>
      </c>
      <c r="G103" s="108">
        <v>34080</v>
      </c>
      <c r="H103" s="108">
        <v>0.91200000047683716</v>
      </c>
      <c r="I103" s="108">
        <v>59</v>
      </c>
      <c r="J103" s="137">
        <f>E103*$U$6</f>
        <v>2.3502000000000003E-5</v>
      </c>
      <c r="K103" s="137">
        <f t="shared" si="5"/>
        <v>6.5175934416000003E-6</v>
      </c>
      <c r="L103" s="137">
        <f t="shared" si="7"/>
        <v>2.3084167519886396E-6</v>
      </c>
      <c r="M103" s="137"/>
      <c r="Q103" s="108">
        <v>54</v>
      </c>
    </row>
    <row r="104" spans="1:17" x14ac:dyDescent="0.15">
      <c r="A104" s="108">
        <v>101</v>
      </c>
      <c r="B104" s="136">
        <v>0.91333335638046265</v>
      </c>
      <c r="C104" s="108">
        <f t="shared" si="4"/>
        <v>54</v>
      </c>
      <c r="D104" s="108" t="s">
        <v>98</v>
      </c>
      <c r="E104" s="108">
        <v>5269</v>
      </c>
      <c r="F104" s="108" t="s">
        <v>162</v>
      </c>
      <c r="G104" s="152">
        <v>8232</v>
      </c>
      <c r="H104" s="108">
        <v>0.91200000047683716</v>
      </c>
      <c r="I104" s="108">
        <v>59</v>
      </c>
      <c r="J104" s="137">
        <f>E104*$U$6</f>
        <v>5.2690000000000007E-6</v>
      </c>
      <c r="K104" s="137">
        <f t="shared" si="5"/>
        <v>1.4612032952E-6</v>
      </c>
      <c r="L104" s="137"/>
      <c r="M104" s="137">
        <f t="shared" si="6"/>
        <v>4.2056025760274402E-7</v>
      </c>
      <c r="Q104" s="108">
        <v>54</v>
      </c>
    </row>
    <row r="105" spans="1:17" x14ac:dyDescent="0.15">
      <c r="A105" s="108">
        <v>102</v>
      </c>
      <c r="B105" s="136">
        <v>0.91200000047683716</v>
      </c>
      <c r="C105" s="108">
        <f t="shared" si="4"/>
        <v>56</v>
      </c>
      <c r="D105" s="108" t="s">
        <v>90</v>
      </c>
      <c r="E105" s="108">
        <v>32308</v>
      </c>
      <c r="F105" s="108" t="s">
        <v>158</v>
      </c>
      <c r="G105" s="108">
        <v>97216</v>
      </c>
      <c r="H105" s="108">
        <v>0.91200000047683716</v>
      </c>
      <c r="I105" s="108">
        <v>59</v>
      </c>
      <c r="J105" s="137">
        <f>E105*$U$6</f>
        <v>3.2308000000000003E-5</v>
      </c>
      <c r="K105" s="137">
        <f t="shared" si="5"/>
        <v>9.4460062688000007E-6</v>
      </c>
      <c r="L105" s="137">
        <f t="shared" si="7"/>
        <v>7.2094705088000001E-6</v>
      </c>
      <c r="M105" s="137"/>
      <c r="Q105" s="108">
        <v>54</v>
      </c>
    </row>
    <row r="106" spans="1:17" x14ac:dyDescent="0.15">
      <c r="A106" s="108">
        <v>103</v>
      </c>
      <c r="B106" s="136">
        <v>0.91200000047683716</v>
      </c>
      <c r="C106" s="108">
        <f t="shared" si="4"/>
        <v>56</v>
      </c>
      <c r="D106" s="108" t="s">
        <v>90</v>
      </c>
      <c r="E106" s="108">
        <v>23753</v>
      </c>
      <c r="F106" s="108" t="s">
        <v>161</v>
      </c>
      <c r="G106" s="152">
        <v>392</v>
      </c>
      <c r="H106" s="108">
        <v>0.91200000047683716</v>
      </c>
      <c r="I106" s="108">
        <v>59</v>
      </c>
      <c r="J106" s="137">
        <f>E106*$U$6</f>
        <v>2.3753000000000001E-5</v>
      </c>
      <c r="K106" s="137">
        <f t="shared" si="5"/>
        <v>6.9447501208000009E-6</v>
      </c>
      <c r="L106" s="137"/>
      <c r="M106" s="137">
        <f t="shared" si="6"/>
        <v>2.2430083200000003E-8</v>
      </c>
      <c r="Q106" s="108">
        <v>54</v>
      </c>
    </row>
    <row r="107" spans="1:17" x14ac:dyDescent="0.15">
      <c r="A107" s="108">
        <v>104</v>
      </c>
      <c r="B107" s="136">
        <v>0.91200000047683716</v>
      </c>
      <c r="C107" s="108">
        <f t="shared" si="4"/>
        <v>56</v>
      </c>
      <c r="D107" s="108" t="s">
        <v>98</v>
      </c>
      <c r="E107" s="108">
        <v>5520</v>
      </c>
      <c r="F107" s="108" t="s">
        <v>160</v>
      </c>
      <c r="G107" s="108">
        <v>8624</v>
      </c>
      <c r="H107" s="108">
        <v>0.91200000047683716</v>
      </c>
      <c r="I107" s="108">
        <v>59</v>
      </c>
      <c r="J107" s="137">
        <f>E107*$U$6</f>
        <v>5.5200000000000005E-6</v>
      </c>
      <c r="K107" s="137">
        <f t="shared" si="5"/>
        <v>1.6139022720000001E-6</v>
      </c>
      <c r="L107" s="137">
        <f t="shared" si="7"/>
        <v>6.3954980319999994E-7</v>
      </c>
      <c r="M107" s="137"/>
      <c r="Q107" s="108">
        <v>54</v>
      </c>
    </row>
    <row r="108" spans="1:17" x14ac:dyDescent="0.15">
      <c r="A108" s="108">
        <v>105</v>
      </c>
      <c r="B108" s="136">
        <v>0.91066664457321167</v>
      </c>
      <c r="C108" s="108">
        <f t="shared" si="4"/>
        <v>56</v>
      </c>
      <c r="D108" s="108" t="s">
        <v>90</v>
      </c>
      <c r="E108" s="108">
        <v>33844</v>
      </c>
      <c r="F108" s="108" t="s">
        <v>161</v>
      </c>
      <c r="G108" s="152">
        <v>1568</v>
      </c>
      <c r="H108" s="108">
        <v>0.91200000047683716</v>
      </c>
      <c r="I108" s="108">
        <v>59</v>
      </c>
      <c r="J108" s="137">
        <f>E108*$U$6</f>
        <v>3.3844000000000003E-5</v>
      </c>
      <c r="K108" s="137">
        <f t="shared" si="5"/>
        <v>9.8950921184000011E-6</v>
      </c>
      <c r="L108" s="137"/>
      <c r="M108" s="137">
        <f t="shared" si="6"/>
        <v>8.9720332800000012E-8</v>
      </c>
      <c r="Q108" s="108">
        <v>54</v>
      </c>
    </row>
    <row r="109" spans="1:17" x14ac:dyDescent="0.15">
      <c r="A109" s="108">
        <v>106</v>
      </c>
      <c r="B109" s="136">
        <v>0.91200000047683716</v>
      </c>
      <c r="C109" s="108">
        <f t="shared" si="4"/>
        <v>56</v>
      </c>
      <c r="D109" s="108" t="s">
        <v>90</v>
      </c>
      <c r="E109" s="108">
        <v>24004</v>
      </c>
      <c r="F109" s="108" t="s">
        <v>158</v>
      </c>
      <c r="G109" s="108">
        <v>34864</v>
      </c>
      <c r="H109" s="108">
        <v>0.91200000047683716</v>
      </c>
      <c r="I109" s="108">
        <v>59</v>
      </c>
      <c r="J109" s="137">
        <f>E109*$U$6</f>
        <v>2.4004000000000003E-5</v>
      </c>
      <c r="K109" s="137">
        <f t="shared" si="5"/>
        <v>7.0181358944000009E-6</v>
      </c>
      <c r="L109" s="137">
        <f t="shared" si="7"/>
        <v>2.5854898352000003E-6</v>
      </c>
      <c r="M109" s="137"/>
      <c r="Q109" s="108">
        <v>54</v>
      </c>
    </row>
    <row r="110" spans="1:17" x14ac:dyDescent="0.15">
      <c r="A110" s="108">
        <v>107</v>
      </c>
      <c r="B110" s="136">
        <v>0.91200000047683716</v>
      </c>
      <c r="C110" s="108">
        <f t="shared" si="4"/>
        <v>56</v>
      </c>
      <c r="D110" s="108" t="s">
        <v>98</v>
      </c>
      <c r="E110" s="108">
        <v>5771</v>
      </c>
      <c r="F110" s="108" t="s">
        <v>162</v>
      </c>
      <c r="G110" s="152">
        <v>9016</v>
      </c>
      <c r="H110" s="108">
        <v>0.91200000047683716</v>
      </c>
      <c r="I110" s="108">
        <v>59</v>
      </c>
      <c r="J110" s="137">
        <f>E110*$U$6</f>
        <v>5.7710000000000003E-6</v>
      </c>
      <c r="K110" s="137">
        <f t="shared" si="5"/>
        <v>1.6872880456000001E-6</v>
      </c>
      <c r="L110" s="137"/>
      <c r="M110" s="137">
        <f t="shared" si="6"/>
        <v>5.1589191360000013E-7</v>
      </c>
      <c r="Q110" s="108">
        <v>54</v>
      </c>
    </row>
    <row r="111" spans="1:17" x14ac:dyDescent="0.15">
      <c r="A111" s="108">
        <v>108</v>
      </c>
      <c r="B111" s="136">
        <v>0.91200000047683716</v>
      </c>
      <c r="C111" s="108">
        <f t="shared" si="4"/>
        <v>56</v>
      </c>
      <c r="D111" s="108" t="s">
        <v>90</v>
      </c>
      <c r="E111" s="108">
        <v>35380</v>
      </c>
      <c r="F111" s="108" t="s">
        <v>158</v>
      </c>
      <c r="G111" s="108">
        <v>104272</v>
      </c>
      <c r="H111" s="108">
        <v>0.91200000047683716</v>
      </c>
      <c r="I111" s="108">
        <v>59</v>
      </c>
      <c r="J111" s="137">
        <f>E111*$U$6</f>
        <v>3.5380000000000003E-5</v>
      </c>
      <c r="K111" s="137">
        <f t="shared" si="5"/>
        <v>1.0344177968000001E-5</v>
      </c>
      <c r="L111" s="137">
        <f t="shared" si="7"/>
        <v>7.7327385296E-6</v>
      </c>
      <c r="M111" s="137"/>
      <c r="Q111" s="108">
        <v>54</v>
      </c>
    </row>
    <row r="112" spans="1:17" x14ac:dyDescent="0.15">
      <c r="A112" s="108">
        <v>109</v>
      </c>
      <c r="B112" s="136">
        <v>0.91200000047683716</v>
      </c>
      <c r="C112" s="108">
        <f t="shared" si="4"/>
        <v>56</v>
      </c>
      <c r="D112" s="108" t="s">
        <v>90</v>
      </c>
      <c r="E112" s="108">
        <v>24255</v>
      </c>
      <c r="F112" s="108" t="s">
        <v>161</v>
      </c>
      <c r="G112" s="152">
        <v>392</v>
      </c>
      <c r="H112" s="108">
        <v>0.91200000047683716</v>
      </c>
      <c r="I112" s="108">
        <v>59</v>
      </c>
      <c r="J112" s="137">
        <f>E112*$U$6</f>
        <v>2.4255000000000001E-5</v>
      </c>
      <c r="K112" s="137">
        <f t="shared" si="5"/>
        <v>7.0915216680000009E-6</v>
      </c>
      <c r="L112" s="137"/>
      <c r="M112" s="137">
        <f t="shared" si="6"/>
        <v>2.2430083200000003E-8</v>
      </c>
      <c r="Q112" s="108">
        <v>54</v>
      </c>
    </row>
    <row r="113" spans="1:17" x14ac:dyDescent="0.15">
      <c r="A113" s="108">
        <v>110</v>
      </c>
      <c r="B113" s="136">
        <v>0.91200000047683716</v>
      </c>
      <c r="C113" s="108">
        <f t="shared" si="4"/>
        <v>56</v>
      </c>
      <c r="D113" s="108" t="s">
        <v>98</v>
      </c>
      <c r="E113" s="108">
        <v>6022</v>
      </c>
      <c r="F113" s="108" t="s">
        <v>160</v>
      </c>
      <c r="G113" s="108">
        <v>9408</v>
      </c>
      <c r="H113" s="108">
        <v>0.91200000047683716</v>
      </c>
      <c r="I113" s="108">
        <v>59</v>
      </c>
      <c r="J113" s="137">
        <f>E113*$U$6</f>
        <v>6.0220000000000001E-6</v>
      </c>
      <c r="K113" s="137">
        <f t="shared" si="5"/>
        <v>1.7606738192000001E-6</v>
      </c>
      <c r="L113" s="137">
        <f t="shared" si="7"/>
        <v>6.9769069440000001E-7</v>
      </c>
      <c r="M113" s="137"/>
      <c r="Q113" s="108">
        <v>54</v>
      </c>
    </row>
    <row r="114" spans="1:17" x14ac:dyDescent="0.15">
      <c r="A114" s="108">
        <v>111</v>
      </c>
      <c r="B114" s="136">
        <v>0.91200000047683716</v>
      </c>
      <c r="C114" s="108">
        <f t="shared" si="4"/>
        <v>56</v>
      </c>
      <c r="D114" s="108" t="s">
        <v>90</v>
      </c>
      <c r="E114" s="108">
        <v>36916</v>
      </c>
      <c r="F114" s="108" t="s">
        <v>161</v>
      </c>
      <c r="G114" s="152">
        <v>1568</v>
      </c>
      <c r="H114" s="108">
        <v>0.91200000047683716</v>
      </c>
      <c r="I114" s="108">
        <v>59</v>
      </c>
      <c r="J114" s="137">
        <f>E114*$U$6</f>
        <v>3.6916000000000004E-5</v>
      </c>
      <c r="K114" s="137">
        <f t="shared" si="5"/>
        <v>1.0793263817600002E-5</v>
      </c>
      <c r="L114" s="137"/>
      <c r="M114" s="137">
        <f t="shared" si="6"/>
        <v>8.9720332800000012E-8</v>
      </c>
      <c r="Q114" s="108">
        <v>54</v>
      </c>
    </row>
    <row r="115" spans="1:17" x14ac:dyDescent="0.15">
      <c r="A115" s="108">
        <v>112</v>
      </c>
      <c r="B115" s="136">
        <v>0.91333335638046265</v>
      </c>
      <c r="C115" s="108">
        <f t="shared" si="4"/>
        <v>54</v>
      </c>
      <c r="D115" s="108" t="s">
        <v>90</v>
      </c>
      <c r="E115" s="108">
        <v>24506</v>
      </c>
      <c r="F115" s="108" t="s">
        <v>158</v>
      </c>
      <c r="G115" s="108">
        <v>35648</v>
      </c>
      <c r="H115" s="108">
        <v>0.91200000047683716</v>
      </c>
      <c r="I115" s="108">
        <v>59</v>
      </c>
      <c r="J115" s="137">
        <f>E115*$U$6</f>
        <v>2.4506000000000002E-5</v>
      </c>
      <c r="K115" s="137">
        <f t="shared" si="5"/>
        <v>6.7960235247999998E-6</v>
      </c>
      <c r="L115" s="137">
        <f t="shared" si="7"/>
        <v>2.4146255978547839E-6</v>
      </c>
      <c r="M115" s="137"/>
      <c r="Q115" s="108">
        <v>54</v>
      </c>
    </row>
    <row r="116" spans="1:17" x14ac:dyDescent="0.15">
      <c r="A116" s="108">
        <v>113</v>
      </c>
      <c r="B116" s="136">
        <v>0.91333335638046265</v>
      </c>
      <c r="C116" s="108">
        <f t="shared" si="4"/>
        <v>54</v>
      </c>
      <c r="D116" s="108" t="s">
        <v>98</v>
      </c>
      <c r="E116" s="108">
        <v>6272</v>
      </c>
      <c r="F116" s="108" t="s">
        <v>162</v>
      </c>
      <c r="G116" s="152">
        <v>9800</v>
      </c>
      <c r="H116" s="108">
        <v>0.91200000047683716</v>
      </c>
      <c r="I116" s="108">
        <v>59</v>
      </c>
      <c r="J116" s="137">
        <f>E116*$U$6</f>
        <v>6.2720000000000003E-6</v>
      </c>
      <c r="K116" s="137">
        <f t="shared" si="5"/>
        <v>1.7393560576E-6</v>
      </c>
      <c r="L116" s="137"/>
      <c r="M116" s="137">
        <f t="shared" si="6"/>
        <v>5.0066697333660007E-7</v>
      </c>
      <c r="Q116" s="108">
        <v>54</v>
      </c>
    </row>
    <row r="117" spans="1:17" x14ac:dyDescent="0.15">
      <c r="A117" s="108">
        <v>114</v>
      </c>
      <c r="B117" s="136">
        <v>0.91200000047683716</v>
      </c>
      <c r="C117" s="108">
        <f t="shared" si="4"/>
        <v>56</v>
      </c>
      <c r="D117" s="108" t="s">
        <v>90</v>
      </c>
      <c r="E117" s="108">
        <v>38452</v>
      </c>
      <c r="F117" s="108" t="s">
        <v>158</v>
      </c>
      <c r="G117" s="108">
        <v>111328</v>
      </c>
      <c r="H117" s="108">
        <v>0.91200000047683716</v>
      </c>
      <c r="I117" s="108">
        <v>59</v>
      </c>
      <c r="J117" s="137">
        <f>E117*$U$6</f>
        <v>3.8452000000000004E-5</v>
      </c>
      <c r="K117" s="137">
        <f t="shared" si="5"/>
        <v>1.1242349667200002E-5</v>
      </c>
      <c r="L117" s="137">
        <f t="shared" si="7"/>
        <v>8.2560065503999999E-6</v>
      </c>
      <c r="M117" s="137"/>
      <c r="Q117" s="108">
        <v>54</v>
      </c>
    </row>
    <row r="118" spans="1:17" x14ac:dyDescent="0.15">
      <c r="A118" s="108">
        <v>115</v>
      </c>
      <c r="B118" s="136">
        <v>0.91200000047683716</v>
      </c>
      <c r="C118" s="108">
        <f t="shared" si="4"/>
        <v>56</v>
      </c>
      <c r="D118" s="108" t="s">
        <v>90</v>
      </c>
      <c r="E118" s="108">
        <v>24756</v>
      </c>
      <c r="F118" s="108" t="s">
        <v>161</v>
      </c>
      <c r="G118" s="152">
        <v>392</v>
      </c>
      <c r="H118" s="108">
        <v>0.91200000047683716</v>
      </c>
      <c r="I118" s="108">
        <v>59</v>
      </c>
      <c r="J118" s="137">
        <f>E118*$U$6</f>
        <v>2.4756000000000002E-5</v>
      </c>
      <c r="K118" s="137">
        <f t="shared" si="5"/>
        <v>7.2380008416000008E-6</v>
      </c>
      <c r="L118" s="137"/>
      <c r="M118" s="137">
        <f t="shared" si="6"/>
        <v>2.2430083200000003E-8</v>
      </c>
      <c r="Q118" s="108">
        <v>54</v>
      </c>
    </row>
    <row r="119" spans="1:17" x14ac:dyDescent="0.15">
      <c r="A119" s="108">
        <v>116</v>
      </c>
      <c r="B119" s="136">
        <v>0.91200000047683716</v>
      </c>
      <c r="C119" s="108">
        <f t="shared" si="4"/>
        <v>56</v>
      </c>
      <c r="D119" s="108" t="s">
        <v>98</v>
      </c>
      <c r="E119" s="108">
        <v>6523</v>
      </c>
      <c r="F119" s="108" t="s">
        <v>160</v>
      </c>
      <c r="G119" s="108">
        <v>10192</v>
      </c>
      <c r="H119" s="108">
        <v>0.91200000047683716</v>
      </c>
      <c r="I119" s="108">
        <v>59</v>
      </c>
      <c r="J119" s="137">
        <f>E119*$U$6</f>
        <v>6.5230000000000001E-6</v>
      </c>
      <c r="K119" s="137">
        <f t="shared" si="5"/>
        <v>1.9071529928E-6</v>
      </c>
      <c r="L119" s="137">
        <f t="shared" si="7"/>
        <v>7.5583158559999996E-7</v>
      </c>
      <c r="M119" s="137"/>
      <c r="Q119" s="108">
        <v>54</v>
      </c>
    </row>
    <row r="120" spans="1:17" x14ac:dyDescent="0.15">
      <c r="A120" s="108">
        <v>117</v>
      </c>
      <c r="B120" s="136">
        <v>0.91200000047683716</v>
      </c>
      <c r="C120" s="108">
        <f t="shared" si="4"/>
        <v>56</v>
      </c>
      <c r="D120" s="108" t="s">
        <v>90</v>
      </c>
      <c r="E120" s="108">
        <v>39988</v>
      </c>
      <c r="F120" s="108" t="s">
        <v>161</v>
      </c>
      <c r="G120" s="152">
        <v>1568</v>
      </c>
      <c r="H120" s="108">
        <v>0.91200000047683716</v>
      </c>
      <c r="I120" s="108">
        <v>59</v>
      </c>
      <c r="J120" s="137">
        <f>E120*$U$6</f>
        <v>3.9988000000000004E-5</v>
      </c>
      <c r="K120" s="137">
        <f t="shared" si="5"/>
        <v>1.1691435516800002E-5</v>
      </c>
      <c r="L120" s="137"/>
      <c r="M120" s="137">
        <f t="shared" si="6"/>
        <v>8.9720332800000012E-8</v>
      </c>
      <c r="Q120" s="108">
        <v>54</v>
      </c>
    </row>
    <row r="121" spans="1:17" x14ac:dyDescent="0.15">
      <c r="A121" s="108">
        <v>118</v>
      </c>
      <c r="B121" s="136">
        <v>0.91200000047683716</v>
      </c>
      <c r="C121" s="108">
        <f t="shared" si="4"/>
        <v>56</v>
      </c>
      <c r="D121" s="108" t="s">
        <v>90</v>
      </c>
      <c r="E121" s="108">
        <v>25007</v>
      </c>
      <c r="F121" s="108" t="s">
        <v>158</v>
      </c>
      <c r="G121" s="108">
        <v>36432</v>
      </c>
      <c r="H121" s="108">
        <v>0.91200000047683716</v>
      </c>
      <c r="I121" s="108">
        <v>59</v>
      </c>
      <c r="J121" s="137">
        <f>E121*$U$6</f>
        <v>2.5007000000000003E-5</v>
      </c>
      <c r="K121" s="137">
        <f t="shared" si="5"/>
        <v>7.3113866152000008E-6</v>
      </c>
      <c r="L121" s="137">
        <f t="shared" si="7"/>
        <v>2.7017716176E-6</v>
      </c>
      <c r="M121" s="137"/>
      <c r="Q121" s="108">
        <v>54</v>
      </c>
    </row>
    <row r="122" spans="1:17" x14ac:dyDescent="0.15">
      <c r="A122" s="108">
        <v>119</v>
      </c>
      <c r="B122" s="136">
        <v>0.91200000047683716</v>
      </c>
      <c r="C122" s="108">
        <f t="shared" si="4"/>
        <v>56</v>
      </c>
      <c r="D122" s="108" t="s">
        <v>98</v>
      </c>
      <c r="E122" s="108">
        <v>6774</v>
      </c>
      <c r="F122" s="108" t="s">
        <v>162</v>
      </c>
      <c r="G122" s="152">
        <v>10584</v>
      </c>
      <c r="H122" s="108">
        <v>0.91200000047683716</v>
      </c>
      <c r="I122" s="108">
        <v>59</v>
      </c>
      <c r="J122" s="137">
        <f>E122*$U$6</f>
        <v>6.7740000000000007E-6</v>
      </c>
      <c r="K122" s="137">
        <f t="shared" si="5"/>
        <v>1.9805387664000005E-6</v>
      </c>
      <c r="L122" s="137"/>
      <c r="M122" s="137">
        <f>_xlfn.SWITCH(C122+$U$2,54,$Z$12,55,$Y$12,56,$X$12,57,$W$12,58,$V$12,59,$U$12,$U$19)*G122*$U$6</f>
        <v>6.0561224640000001E-7</v>
      </c>
      <c r="Q122" s="108">
        <v>54</v>
      </c>
    </row>
    <row r="123" spans="1:17" x14ac:dyDescent="0.15">
      <c r="A123" s="108">
        <v>120</v>
      </c>
      <c r="B123" s="136">
        <v>0.91200000047683716</v>
      </c>
      <c r="C123" s="108">
        <f t="shared" si="4"/>
        <v>56</v>
      </c>
      <c r="D123" s="108" t="s">
        <v>90</v>
      </c>
      <c r="E123" s="108">
        <v>41524</v>
      </c>
      <c r="F123" s="108" t="s">
        <v>158</v>
      </c>
      <c r="G123" s="108">
        <v>118384</v>
      </c>
      <c r="H123" s="108">
        <v>0.91200000047683716</v>
      </c>
      <c r="I123" s="108">
        <v>59</v>
      </c>
      <c r="J123" s="137">
        <f>E123*$U$6</f>
        <v>4.1524000000000004E-5</v>
      </c>
      <c r="K123" s="137">
        <f t="shared" si="5"/>
        <v>1.2140521366400001E-5</v>
      </c>
      <c r="L123" s="137">
        <f t="shared" si="7"/>
        <v>8.7792745711999999E-6</v>
      </c>
      <c r="M123" s="137"/>
      <c r="Q123" s="108">
        <v>54</v>
      </c>
    </row>
    <row r="124" spans="1:17" x14ac:dyDescent="0.15">
      <c r="A124" s="108">
        <v>121</v>
      </c>
      <c r="B124" s="136">
        <v>0.91333335638046265</v>
      </c>
      <c r="C124" s="108">
        <f t="shared" si="4"/>
        <v>54</v>
      </c>
      <c r="D124" s="108" t="s">
        <v>90</v>
      </c>
      <c r="E124" s="108">
        <v>25258</v>
      </c>
      <c r="F124" s="108" t="s">
        <v>161</v>
      </c>
      <c r="G124" s="152">
        <v>392</v>
      </c>
      <c r="H124" s="108">
        <v>0.91200000047683716</v>
      </c>
      <c r="I124" s="108">
        <v>59</v>
      </c>
      <c r="J124" s="137">
        <f>E124*$U$6</f>
        <v>2.5258000000000001E-5</v>
      </c>
      <c r="K124" s="137">
        <f t="shared" si="5"/>
        <v>7.0045687663999997E-6</v>
      </c>
      <c r="L124" s="137"/>
      <c r="M124" s="137">
        <f t="shared" si="6"/>
        <v>2.0026678933464002E-8</v>
      </c>
      <c r="Q124" s="108">
        <v>54</v>
      </c>
    </row>
    <row r="125" spans="1:17" x14ac:dyDescent="0.15">
      <c r="A125" s="108">
        <v>122</v>
      </c>
      <c r="B125" s="136">
        <v>0.91200000047683716</v>
      </c>
      <c r="C125" s="108">
        <f t="shared" si="4"/>
        <v>56</v>
      </c>
      <c r="D125" s="108" t="s">
        <v>98</v>
      </c>
      <c r="E125" s="108">
        <v>7025</v>
      </c>
      <c r="F125" s="108" t="s">
        <v>160</v>
      </c>
      <c r="G125" s="108">
        <v>10976</v>
      </c>
      <c r="H125" s="108">
        <v>0.91200000047683716</v>
      </c>
      <c r="I125" s="108">
        <v>59</v>
      </c>
      <c r="J125" s="137">
        <f>E125*$U$6</f>
        <v>7.0250000000000005E-6</v>
      </c>
      <c r="K125" s="137">
        <f t="shared" si="5"/>
        <v>2.05392454E-6</v>
      </c>
      <c r="L125" s="137">
        <f t="shared" si="7"/>
        <v>8.1397247680000002E-7</v>
      </c>
      <c r="M125" s="137"/>
      <c r="Q125" s="108">
        <v>54</v>
      </c>
    </row>
    <row r="126" spans="1:17" x14ac:dyDescent="0.15">
      <c r="A126" s="108">
        <v>123</v>
      </c>
      <c r="B126" s="136">
        <v>0.91333335638046265</v>
      </c>
      <c r="C126" s="108">
        <f t="shared" si="4"/>
        <v>54</v>
      </c>
      <c r="D126" s="108" t="s">
        <v>90</v>
      </c>
      <c r="E126" s="108">
        <v>43060</v>
      </c>
      <c r="F126" s="108" t="s">
        <v>161</v>
      </c>
      <c r="G126" s="152">
        <v>1568</v>
      </c>
      <c r="H126" s="108">
        <v>0.91200000047683716</v>
      </c>
      <c r="I126" s="108">
        <v>59</v>
      </c>
      <c r="J126" s="137">
        <f>E126*$U$6</f>
        <v>4.3060000000000004E-5</v>
      </c>
      <c r="K126" s="137">
        <f t="shared" si="5"/>
        <v>1.1941433648000001E-5</v>
      </c>
      <c r="L126" s="137"/>
      <c r="M126" s="137">
        <f t="shared" si="6"/>
        <v>8.0106715733856007E-8</v>
      </c>
      <c r="Q126" s="108">
        <v>54</v>
      </c>
    </row>
    <row r="127" spans="1:17" x14ac:dyDescent="0.15">
      <c r="A127" s="108">
        <v>124</v>
      </c>
      <c r="B127" s="136">
        <v>0.91200000047683716</v>
      </c>
      <c r="C127" s="108">
        <f t="shared" si="4"/>
        <v>56</v>
      </c>
      <c r="D127" s="108" t="s">
        <v>90</v>
      </c>
      <c r="E127" s="108">
        <v>25509</v>
      </c>
      <c r="F127" s="108" t="s">
        <v>158</v>
      </c>
      <c r="G127" s="108">
        <v>37216</v>
      </c>
      <c r="H127" s="108">
        <v>0.91200000047683716</v>
      </c>
      <c r="I127" s="108">
        <v>59</v>
      </c>
      <c r="J127" s="137">
        <f>E127*$U$6</f>
        <v>2.5509000000000003E-5</v>
      </c>
      <c r="K127" s="137">
        <f t="shared" si="5"/>
        <v>7.4581581624000008E-6</v>
      </c>
      <c r="L127" s="137">
        <f t="shared" si="7"/>
        <v>2.7599125088000003E-6</v>
      </c>
      <c r="M127" s="137"/>
      <c r="Q127" s="108">
        <v>54</v>
      </c>
    </row>
    <row r="128" spans="1:17" x14ac:dyDescent="0.15">
      <c r="A128" s="108">
        <v>125</v>
      </c>
      <c r="B128" s="136">
        <v>0.91200000047683716</v>
      </c>
      <c r="C128" s="108">
        <f t="shared" si="4"/>
        <v>56</v>
      </c>
      <c r="D128" s="108" t="s">
        <v>98</v>
      </c>
      <c r="E128" s="108">
        <v>7276</v>
      </c>
      <c r="F128" s="108" t="s">
        <v>162</v>
      </c>
      <c r="G128" s="152">
        <v>11368</v>
      </c>
      <c r="H128" s="108">
        <v>0.91200000047683716</v>
      </c>
      <c r="I128" s="108">
        <v>59</v>
      </c>
      <c r="J128" s="137">
        <f>E128*$U$6</f>
        <v>7.2760000000000003E-6</v>
      </c>
      <c r="K128" s="137">
        <f t="shared" si="5"/>
        <v>2.1273103136E-6</v>
      </c>
      <c r="L128" s="137"/>
      <c r="M128" s="137">
        <f t="shared" si="6"/>
        <v>6.5047241280000011E-7</v>
      </c>
      <c r="Q128" s="108">
        <v>54</v>
      </c>
    </row>
    <row r="129" spans="1:17" x14ac:dyDescent="0.15">
      <c r="A129" s="108">
        <v>126</v>
      </c>
      <c r="B129" s="136">
        <v>0.91200000047683716</v>
      </c>
      <c r="C129" s="108">
        <f t="shared" si="4"/>
        <v>56</v>
      </c>
      <c r="D129" s="108" t="s">
        <v>90</v>
      </c>
      <c r="E129" s="108">
        <v>44596</v>
      </c>
      <c r="F129" s="108" t="s">
        <v>158</v>
      </c>
      <c r="G129" s="108">
        <v>125440</v>
      </c>
      <c r="H129" s="108">
        <v>0.91200000047683716</v>
      </c>
      <c r="I129" s="108">
        <v>59</v>
      </c>
      <c r="J129" s="137">
        <f>E129*$U$6</f>
        <v>4.4596000000000005E-5</v>
      </c>
      <c r="K129" s="137">
        <f t="shared" si="5"/>
        <v>1.3038693065600002E-5</v>
      </c>
      <c r="L129" s="137">
        <f t="shared" si="7"/>
        <v>9.3025425919999998E-6</v>
      </c>
      <c r="M129" s="137"/>
      <c r="Q129" s="108">
        <v>54</v>
      </c>
    </row>
    <row r="130" spans="1:17" x14ac:dyDescent="0.15">
      <c r="A130" s="108">
        <v>127</v>
      </c>
      <c r="B130" s="136">
        <v>0.91200000047683716</v>
      </c>
      <c r="C130" s="108">
        <f t="shared" si="4"/>
        <v>56</v>
      </c>
      <c r="D130" s="108" t="s">
        <v>90</v>
      </c>
      <c r="E130" s="108">
        <v>25760</v>
      </c>
      <c r="F130" s="108" t="s">
        <v>161</v>
      </c>
      <c r="G130" s="152">
        <v>392</v>
      </c>
      <c r="H130" s="108">
        <v>0.91200000047683716</v>
      </c>
      <c r="I130" s="108">
        <v>59</v>
      </c>
      <c r="J130" s="137">
        <f>E130*$U$6</f>
        <v>2.5760000000000001E-5</v>
      </c>
      <c r="K130" s="137">
        <f t="shared" si="5"/>
        <v>7.5315439360000008E-6</v>
      </c>
      <c r="L130" s="137"/>
      <c r="M130" s="137">
        <f t="shared" si="6"/>
        <v>2.2430083200000003E-8</v>
      </c>
      <c r="Q130" s="108">
        <v>54</v>
      </c>
    </row>
    <row r="131" spans="1:17" x14ac:dyDescent="0.15">
      <c r="A131" s="108">
        <v>128</v>
      </c>
      <c r="B131" s="136">
        <v>0.91200000047683716</v>
      </c>
      <c r="C131" s="108">
        <f t="shared" ref="C131:C190" si="8">_xlfn.SWITCH(Q131,60,60,59,60,58,60,57,58,56,58,55,56,54,IF(B131&gt;$R$2,54,56))</f>
        <v>56</v>
      </c>
      <c r="D131" s="108" t="s">
        <v>98</v>
      </c>
      <c r="E131" s="108">
        <v>7527</v>
      </c>
      <c r="F131" s="108" t="s">
        <v>160</v>
      </c>
      <c r="G131" s="108">
        <v>11760</v>
      </c>
      <c r="H131" s="108">
        <v>0.91200000047683716</v>
      </c>
      <c r="I131" s="108">
        <v>59</v>
      </c>
      <c r="J131" s="137">
        <f>E131*$U$6</f>
        <v>7.5270000000000001E-6</v>
      </c>
      <c r="K131" s="137">
        <f t="shared" ref="K131:K189" si="9">_xlfn.SWITCH(C131+$U$2,54,$Z$10,55,$Y$10,56,$X$10,57,$W$10,58,$V$10,59,$U$10,$U$17)*J131</f>
        <v>2.2006960872E-6</v>
      </c>
      <c r="L131" s="137">
        <f t="shared" si="7"/>
        <v>8.7211336799999998E-7</v>
      </c>
      <c r="M131" s="137"/>
      <c r="Q131" s="108">
        <v>54</v>
      </c>
    </row>
    <row r="132" spans="1:17" x14ac:dyDescent="0.15">
      <c r="A132" s="108">
        <v>129</v>
      </c>
      <c r="B132" s="136">
        <v>0.91200000047683716</v>
      </c>
      <c r="C132" s="108">
        <f t="shared" si="8"/>
        <v>56</v>
      </c>
      <c r="D132" s="108" t="s">
        <v>90</v>
      </c>
      <c r="E132" s="108">
        <v>46132</v>
      </c>
      <c r="F132" s="108" t="s">
        <v>161</v>
      </c>
      <c r="G132" s="152">
        <v>1568</v>
      </c>
      <c r="H132" s="108">
        <v>0.91200000047683716</v>
      </c>
      <c r="I132" s="108">
        <v>59</v>
      </c>
      <c r="J132" s="137">
        <f>E132*$U$6</f>
        <v>4.6132000000000005E-5</v>
      </c>
      <c r="K132" s="137">
        <f t="shared" si="9"/>
        <v>1.3487778915200002E-5</v>
      </c>
      <c r="L132" s="137"/>
      <c r="M132" s="137">
        <f t="shared" ref="M131:M189" si="10">_xlfn.SWITCH(C132+$U$2,54,$Z$12,55,$Y$12,56,$X$12,57,$W$12,58,$V$12,59,$U$12,$U$19)*G132*$U$6</f>
        <v>8.9720332800000012E-8</v>
      </c>
      <c r="Q132" s="108">
        <v>54</v>
      </c>
    </row>
    <row r="133" spans="1:17" x14ac:dyDescent="0.15">
      <c r="A133" s="108">
        <v>130</v>
      </c>
      <c r="B133" s="136">
        <v>0.91200000047683716</v>
      </c>
      <c r="C133" s="108">
        <f t="shared" si="8"/>
        <v>56</v>
      </c>
      <c r="D133" s="108" t="s">
        <v>90</v>
      </c>
      <c r="E133" s="108">
        <v>26011</v>
      </c>
      <c r="F133" s="108" t="s">
        <v>158</v>
      </c>
      <c r="G133" s="108">
        <v>38000</v>
      </c>
      <c r="H133" s="108">
        <v>0.91200000047683716</v>
      </c>
      <c r="I133" s="108">
        <v>59</v>
      </c>
      <c r="J133" s="137">
        <f>E133*$U$6</f>
        <v>2.6011000000000002E-5</v>
      </c>
      <c r="K133" s="137">
        <f t="shared" si="9"/>
        <v>7.6049297096000008E-6</v>
      </c>
      <c r="L133" s="137">
        <f t="shared" ref="L132:L190" si="11">_xlfn.SWITCH(C133+$U$2,54,$Z$11,55,$Y$11,56,$X$11,57,$W$11,58,$V$11,59,$U$11,$U$18)*G133*$U$6</f>
        <v>2.8180534000000001E-6</v>
      </c>
      <c r="M133" s="137"/>
      <c r="Q133" s="108">
        <v>54</v>
      </c>
    </row>
    <row r="134" spans="1:17" x14ac:dyDescent="0.15">
      <c r="A134" s="108">
        <v>131</v>
      </c>
      <c r="B134" s="136">
        <v>0.91200000047683716</v>
      </c>
      <c r="C134" s="108">
        <f t="shared" si="8"/>
        <v>56</v>
      </c>
      <c r="D134" s="108" t="s">
        <v>98</v>
      </c>
      <c r="E134" s="108">
        <v>7778</v>
      </c>
      <c r="F134" s="108" t="s">
        <v>162</v>
      </c>
      <c r="G134" s="152">
        <v>12152</v>
      </c>
      <c r="H134" s="108">
        <v>0.91200000047683716</v>
      </c>
      <c r="I134" s="108">
        <v>59</v>
      </c>
      <c r="J134" s="137">
        <f>E134*$U$6</f>
        <v>7.7780000000000007E-6</v>
      </c>
      <c r="K134" s="137">
        <f t="shared" si="9"/>
        <v>2.2740818608000004E-6</v>
      </c>
      <c r="L134" s="137"/>
      <c r="M134" s="137">
        <f t="shared" si="10"/>
        <v>6.953325792000001E-7</v>
      </c>
      <c r="Q134" s="108">
        <v>54</v>
      </c>
    </row>
    <row r="135" spans="1:17" x14ac:dyDescent="0.15">
      <c r="A135" s="108">
        <v>132</v>
      </c>
      <c r="B135" s="136">
        <v>0.91200000047683716</v>
      </c>
      <c r="C135" s="108">
        <f t="shared" si="8"/>
        <v>56</v>
      </c>
      <c r="D135" s="108" t="s">
        <v>90</v>
      </c>
      <c r="E135" s="108">
        <v>47668</v>
      </c>
      <c r="F135" s="108" t="s">
        <v>158</v>
      </c>
      <c r="G135" s="108">
        <v>132496</v>
      </c>
      <c r="H135" s="108">
        <v>0.91200000047683716</v>
      </c>
      <c r="I135" s="108">
        <v>59</v>
      </c>
      <c r="J135" s="137">
        <f>E135*$U$6</f>
        <v>4.7668000000000005E-5</v>
      </c>
      <c r="K135" s="137">
        <f t="shared" si="9"/>
        <v>1.3936864764800002E-5</v>
      </c>
      <c r="L135" s="137">
        <f t="shared" si="11"/>
        <v>9.8258106127999997E-6</v>
      </c>
      <c r="M135" s="137"/>
      <c r="Q135" s="108">
        <v>54</v>
      </c>
    </row>
    <row r="136" spans="1:17" x14ac:dyDescent="0.15">
      <c r="A136" s="108">
        <v>133</v>
      </c>
      <c r="B136" s="136">
        <v>0.91200000047683716</v>
      </c>
      <c r="C136" s="108">
        <f t="shared" si="8"/>
        <v>56</v>
      </c>
      <c r="D136" s="108" t="s">
        <v>90</v>
      </c>
      <c r="E136" s="108">
        <v>26262</v>
      </c>
      <c r="F136" s="108" t="s">
        <v>161</v>
      </c>
      <c r="G136" s="152">
        <v>392</v>
      </c>
      <c r="H136" s="108">
        <v>0.91200000047683716</v>
      </c>
      <c r="I136" s="108">
        <v>59</v>
      </c>
      <c r="J136" s="137">
        <f>E136*$U$6</f>
        <v>2.6262E-5</v>
      </c>
      <c r="K136" s="137">
        <f t="shared" si="9"/>
        <v>7.6783154832000008E-6</v>
      </c>
      <c r="L136" s="137"/>
      <c r="M136" s="137">
        <f t="shared" si="10"/>
        <v>2.2430083200000003E-8</v>
      </c>
      <c r="Q136" s="108">
        <v>54</v>
      </c>
    </row>
    <row r="137" spans="1:17" x14ac:dyDescent="0.15">
      <c r="A137" s="108">
        <v>134</v>
      </c>
      <c r="B137" s="136">
        <v>0.91200000047683716</v>
      </c>
      <c r="C137" s="108">
        <f t="shared" si="8"/>
        <v>56</v>
      </c>
      <c r="D137" s="108" t="s">
        <v>98</v>
      </c>
      <c r="E137" s="108">
        <v>8029</v>
      </c>
      <c r="F137" s="108" t="s">
        <v>160</v>
      </c>
      <c r="G137" s="108">
        <v>12544</v>
      </c>
      <c r="H137" s="108">
        <v>0.91200000047683716</v>
      </c>
      <c r="I137" s="108">
        <v>59</v>
      </c>
      <c r="J137" s="137">
        <f>E137*$U$6</f>
        <v>8.0290000000000005E-6</v>
      </c>
      <c r="K137" s="137">
        <f t="shared" si="9"/>
        <v>2.3474676344000004E-6</v>
      </c>
      <c r="L137" s="137">
        <f t="shared" si="11"/>
        <v>9.3025425920000004E-7</v>
      </c>
      <c r="M137" s="137"/>
      <c r="Q137" s="108">
        <v>54</v>
      </c>
    </row>
    <row r="138" spans="1:17" x14ac:dyDescent="0.15">
      <c r="A138" s="108">
        <v>135</v>
      </c>
      <c r="B138" s="136">
        <v>0.91200000047683716</v>
      </c>
      <c r="C138" s="108">
        <f t="shared" si="8"/>
        <v>56</v>
      </c>
      <c r="D138" s="108" t="s">
        <v>90</v>
      </c>
      <c r="E138" s="108">
        <v>172084</v>
      </c>
      <c r="F138" s="108" t="s">
        <v>161</v>
      </c>
      <c r="G138" s="152">
        <v>6272</v>
      </c>
      <c r="H138" s="108">
        <v>0.91200000047683716</v>
      </c>
      <c r="I138" s="108">
        <v>59</v>
      </c>
      <c r="J138" s="137">
        <f>E138*$U$6</f>
        <v>1.72084E-4</v>
      </c>
      <c r="K138" s="137">
        <f t="shared" si="9"/>
        <v>5.03128185824E-5</v>
      </c>
      <c r="L138" s="137"/>
      <c r="M138" s="137">
        <f t="shared" si="10"/>
        <v>3.5888133120000005E-7</v>
      </c>
      <c r="Q138" s="108">
        <v>54</v>
      </c>
    </row>
    <row r="139" spans="1:17" x14ac:dyDescent="0.15">
      <c r="A139" s="108">
        <v>136</v>
      </c>
      <c r="B139" s="136">
        <v>0.91200000047683716</v>
      </c>
      <c r="C139" s="108">
        <f t="shared" si="8"/>
        <v>56</v>
      </c>
      <c r="D139" s="108" t="s">
        <v>100</v>
      </c>
      <c r="E139" s="108">
        <v>1004</v>
      </c>
      <c r="F139" s="108" t="s">
        <v>163</v>
      </c>
      <c r="G139" s="108">
        <v>6272</v>
      </c>
      <c r="H139" s="108">
        <v>0.91200000047683716</v>
      </c>
      <c r="I139" s="108">
        <v>59</v>
      </c>
      <c r="J139" s="137">
        <f>E139*$U$6</f>
        <v>1.004E-6</v>
      </c>
      <c r="K139" s="137">
        <f t="shared" si="9"/>
        <v>2.935430944E-7</v>
      </c>
      <c r="L139" s="137">
        <f t="shared" si="11"/>
        <v>4.6512712960000002E-7</v>
      </c>
      <c r="M139" s="137"/>
      <c r="Q139" s="108">
        <v>54</v>
      </c>
    </row>
    <row r="140" spans="1:17" x14ac:dyDescent="0.15">
      <c r="A140" s="108">
        <v>137</v>
      </c>
      <c r="B140" s="136">
        <v>0.91200000047683716</v>
      </c>
      <c r="C140" s="108">
        <f t="shared" si="8"/>
        <v>56</v>
      </c>
      <c r="D140" s="108" t="s">
        <v>98</v>
      </c>
      <c r="E140" s="108">
        <v>1004</v>
      </c>
      <c r="F140" s="108" t="s">
        <v>162</v>
      </c>
      <c r="G140" s="152">
        <v>1568</v>
      </c>
      <c r="H140" s="108">
        <v>0.91200000047683716</v>
      </c>
      <c r="I140" s="108">
        <v>59</v>
      </c>
      <c r="J140" s="137">
        <f>E140*$U$6</f>
        <v>1.004E-6</v>
      </c>
      <c r="K140" s="137">
        <f t="shared" si="9"/>
        <v>2.935430944E-7</v>
      </c>
      <c r="L140" s="137"/>
      <c r="M140" s="137">
        <f t="shared" si="10"/>
        <v>8.9720332800000012E-8</v>
      </c>
      <c r="Q140" s="108">
        <v>54</v>
      </c>
    </row>
    <row r="141" spans="1:17" x14ac:dyDescent="0.15">
      <c r="A141" s="108">
        <v>138</v>
      </c>
      <c r="B141" s="136">
        <v>0.91200000047683716</v>
      </c>
      <c r="C141" s="108">
        <f t="shared" si="8"/>
        <v>56</v>
      </c>
      <c r="D141" s="108" t="s">
        <v>90</v>
      </c>
      <c r="E141" s="108">
        <v>6196</v>
      </c>
      <c r="F141" s="108" t="s">
        <v>158</v>
      </c>
      <c r="G141" s="108">
        <v>56448</v>
      </c>
      <c r="H141" s="108">
        <v>0.91200000047683716</v>
      </c>
      <c r="I141" s="108">
        <v>59</v>
      </c>
      <c r="J141" s="137">
        <f>E141*$U$6</f>
        <v>6.1960000000000005E-6</v>
      </c>
      <c r="K141" s="137">
        <f t="shared" si="9"/>
        <v>1.8115468256000003E-6</v>
      </c>
      <c r="L141" s="137">
        <f t="shared" si="11"/>
        <v>4.1861441663999994E-6</v>
      </c>
      <c r="M141" s="137"/>
      <c r="Q141" s="108">
        <v>54</v>
      </c>
    </row>
    <row r="142" spans="1:17" x14ac:dyDescent="0.15">
      <c r="A142" s="108">
        <v>139</v>
      </c>
      <c r="B142" s="136">
        <v>0.91200000047683716</v>
      </c>
      <c r="C142" s="108">
        <f t="shared" si="8"/>
        <v>56</v>
      </c>
      <c r="D142" s="108" t="s">
        <v>90</v>
      </c>
      <c r="E142" s="108">
        <v>5664</v>
      </c>
      <c r="F142" s="108" t="s">
        <v>161</v>
      </c>
      <c r="G142" s="152">
        <v>98</v>
      </c>
      <c r="H142" s="108">
        <v>0.91200000047683716</v>
      </c>
      <c r="I142" s="108">
        <v>59</v>
      </c>
      <c r="J142" s="137">
        <f>E142*$U$6</f>
        <v>5.6640000000000003E-6</v>
      </c>
      <c r="K142" s="137">
        <f t="shared" si="9"/>
        <v>1.6560040704000001E-6</v>
      </c>
      <c r="L142" s="137"/>
      <c r="M142" s="137">
        <f t="shared" si="10"/>
        <v>5.6075208000000008E-9</v>
      </c>
      <c r="Q142" s="108">
        <v>54</v>
      </c>
    </row>
    <row r="143" spans="1:17" x14ac:dyDescent="0.15">
      <c r="A143" s="108">
        <v>140</v>
      </c>
      <c r="B143" s="136">
        <v>0.91200000047683716</v>
      </c>
      <c r="C143" s="108">
        <f t="shared" si="8"/>
        <v>56</v>
      </c>
      <c r="D143" s="108" t="s">
        <v>98</v>
      </c>
      <c r="E143" s="108">
        <v>1067</v>
      </c>
      <c r="F143" s="108" t="s">
        <v>160</v>
      </c>
      <c r="G143" s="108">
        <v>1666</v>
      </c>
      <c r="H143" s="108">
        <v>0.91200000047683716</v>
      </c>
      <c r="I143" s="108">
        <v>59</v>
      </c>
      <c r="J143" s="137">
        <f>E143*$U$6</f>
        <v>1.0670000000000001E-6</v>
      </c>
      <c r="K143" s="137">
        <f t="shared" si="9"/>
        <v>3.1196263120000005E-7</v>
      </c>
      <c r="L143" s="137">
        <f t="shared" si="11"/>
        <v>1.235493938E-7</v>
      </c>
      <c r="M143" s="137"/>
      <c r="Q143" s="108">
        <v>54</v>
      </c>
    </row>
    <row r="144" spans="1:17" x14ac:dyDescent="0.15">
      <c r="A144" s="108">
        <v>141</v>
      </c>
      <c r="B144" s="136">
        <v>0.91200000047683716</v>
      </c>
      <c r="C144" s="108">
        <f t="shared" si="8"/>
        <v>56</v>
      </c>
      <c r="D144" s="108" t="s">
        <v>90</v>
      </c>
      <c r="E144" s="108">
        <v>6580</v>
      </c>
      <c r="F144" s="108" t="s">
        <v>161</v>
      </c>
      <c r="G144" s="152">
        <v>392</v>
      </c>
      <c r="H144" s="108">
        <v>0.91200000047683716</v>
      </c>
      <c r="I144" s="108">
        <v>59</v>
      </c>
      <c r="J144" s="137">
        <f>E144*$U$6</f>
        <v>6.5800000000000005E-6</v>
      </c>
      <c r="K144" s="137">
        <f t="shared" si="9"/>
        <v>1.9238182880000004E-6</v>
      </c>
      <c r="L144" s="137"/>
      <c r="M144" s="137">
        <f t="shared" si="10"/>
        <v>2.2430083200000003E-8</v>
      </c>
      <c r="Q144" s="108">
        <v>54</v>
      </c>
    </row>
    <row r="145" spans="1:17" x14ac:dyDescent="0.15">
      <c r="A145" s="108">
        <v>142</v>
      </c>
      <c r="B145" s="136">
        <v>0.91200000047683716</v>
      </c>
      <c r="C145" s="108">
        <f t="shared" si="8"/>
        <v>56</v>
      </c>
      <c r="D145" s="108" t="s">
        <v>90</v>
      </c>
      <c r="E145" s="108">
        <v>5727</v>
      </c>
      <c r="F145" s="108" t="s">
        <v>158</v>
      </c>
      <c r="G145" s="108">
        <v>42634</v>
      </c>
      <c r="H145" s="108">
        <v>0.91200000047683716</v>
      </c>
      <c r="I145" s="108">
        <v>59</v>
      </c>
      <c r="J145" s="137">
        <f>E145*$U$6</f>
        <v>5.7270000000000004E-6</v>
      </c>
      <c r="K145" s="137">
        <f t="shared" si="9"/>
        <v>1.6744236072000001E-6</v>
      </c>
      <c r="L145" s="137">
        <f t="shared" si="11"/>
        <v>3.1617075961999999E-6</v>
      </c>
      <c r="M145" s="137"/>
      <c r="Q145" s="108">
        <v>54</v>
      </c>
    </row>
    <row r="146" spans="1:17" x14ac:dyDescent="0.15">
      <c r="A146" s="108">
        <v>143</v>
      </c>
      <c r="B146" s="136">
        <v>0.91200000047683716</v>
      </c>
      <c r="C146" s="108">
        <f t="shared" si="8"/>
        <v>56</v>
      </c>
      <c r="D146" s="108" t="s">
        <v>98</v>
      </c>
      <c r="E146" s="108">
        <v>1129</v>
      </c>
      <c r="F146" s="108" t="s">
        <v>162</v>
      </c>
      <c r="G146" s="152">
        <v>1764</v>
      </c>
      <c r="H146" s="108">
        <v>0.91200000047683716</v>
      </c>
      <c r="I146" s="108">
        <v>59</v>
      </c>
      <c r="J146" s="137">
        <f>E146*$U$6</f>
        <v>1.1290000000000001E-6</v>
      </c>
      <c r="K146" s="137">
        <f t="shared" si="9"/>
        <v>3.3008979440000004E-7</v>
      </c>
      <c r="L146" s="137"/>
      <c r="M146" s="137">
        <f t="shared" si="10"/>
        <v>1.0093537440000001E-7</v>
      </c>
      <c r="Q146" s="108">
        <v>54</v>
      </c>
    </row>
    <row r="147" spans="1:17" x14ac:dyDescent="0.15">
      <c r="A147" s="108">
        <v>144</v>
      </c>
      <c r="B147" s="136">
        <v>0.91200000047683716</v>
      </c>
      <c r="C147" s="108">
        <f t="shared" si="8"/>
        <v>56</v>
      </c>
      <c r="D147" s="108" t="s">
        <v>90</v>
      </c>
      <c r="E147" s="108">
        <v>6964</v>
      </c>
      <c r="F147" s="108" t="s">
        <v>158</v>
      </c>
      <c r="G147" s="108">
        <v>56154</v>
      </c>
      <c r="H147" s="108">
        <v>0.91200000047683716</v>
      </c>
      <c r="I147" s="108">
        <v>59</v>
      </c>
      <c r="J147" s="137">
        <f>E147*$U$6</f>
        <v>6.9640000000000006E-6</v>
      </c>
      <c r="K147" s="137">
        <f t="shared" si="9"/>
        <v>2.0360897504E-6</v>
      </c>
      <c r="L147" s="137">
        <f t="shared" si="11"/>
        <v>4.1643413322000002E-6</v>
      </c>
      <c r="M147" s="137"/>
      <c r="Q147" s="108">
        <v>54</v>
      </c>
    </row>
    <row r="148" spans="1:17" x14ac:dyDescent="0.15">
      <c r="A148" s="108">
        <v>145</v>
      </c>
      <c r="B148" s="136">
        <v>0.91200000047683716</v>
      </c>
      <c r="C148" s="108">
        <f t="shared" si="8"/>
        <v>56</v>
      </c>
      <c r="D148" s="108" t="s">
        <v>90</v>
      </c>
      <c r="E148" s="108">
        <v>5789</v>
      </c>
      <c r="F148" s="108" t="s">
        <v>161</v>
      </c>
      <c r="G148" s="152">
        <v>98</v>
      </c>
      <c r="H148" s="108">
        <v>0.91200000047683716</v>
      </c>
      <c r="I148" s="108">
        <v>59</v>
      </c>
      <c r="J148" s="137">
        <f>E148*$U$6</f>
        <v>5.789E-6</v>
      </c>
      <c r="K148" s="137">
        <f t="shared" si="9"/>
        <v>1.6925507704000001E-6</v>
      </c>
      <c r="L148" s="137"/>
      <c r="M148" s="137">
        <f t="shared" si="10"/>
        <v>5.6075208000000008E-9</v>
      </c>
      <c r="Q148" s="108">
        <v>54</v>
      </c>
    </row>
    <row r="149" spans="1:17" x14ac:dyDescent="0.15">
      <c r="A149" s="108">
        <v>146</v>
      </c>
      <c r="B149" s="136">
        <v>0.91200000047683716</v>
      </c>
      <c r="C149" s="108">
        <f t="shared" si="8"/>
        <v>56</v>
      </c>
      <c r="D149" s="108" t="s">
        <v>98</v>
      </c>
      <c r="E149" s="108">
        <v>1192</v>
      </c>
      <c r="F149" s="108" t="s">
        <v>160</v>
      </c>
      <c r="G149" s="108">
        <v>1862</v>
      </c>
      <c r="H149" s="108">
        <v>0.91200000047683716</v>
      </c>
      <c r="I149" s="108">
        <v>59</v>
      </c>
      <c r="J149" s="137">
        <f>E149*$U$6</f>
        <v>1.192E-6</v>
      </c>
      <c r="K149" s="137">
        <f t="shared" si="9"/>
        <v>3.4850933119999999E-7</v>
      </c>
      <c r="L149" s="137">
        <f t="shared" si="11"/>
        <v>1.3808461660000002E-7</v>
      </c>
      <c r="M149" s="137"/>
      <c r="Q149" s="108">
        <v>54</v>
      </c>
    </row>
    <row r="150" spans="1:17" x14ac:dyDescent="0.15">
      <c r="A150" s="108">
        <v>147</v>
      </c>
      <c r="B150" s="136">
        <v>0.91200000047683716</v>
      </c>
      <c r="C150" s="108">
        <f t="shared" si="8"/>
        <v>56</v>
      </c>
      <c r="D150" s="108" t="s">
        <v>90</v>
      </c>
      <c r="E150" s="108">
        <v>7348</v>
      </c>
      <c r="F150" s="108" t="s">
        <v>161</v>
      </c>
      <c r="G150" s="152">
        <v>392</v>
      </c>
      <c r="H150" s="108">
        <v>0.91200000047683716</v>
      </c>
      <c r="I150" s="108">
        <v>59</v>
      </c>
      <c r="J150" s="137">
        <f>E150*$U$6</f>
        <v>7.3480000000000006E-6</v>
      </c>
      <c r="K150" s="137">
        <f t="shared" si="9"/>
        <v>2.1483612128000001E-6</v>
      </c>
      <c r="L150" s="137"/>
      <c r="M150" s="137">
        <f t="shared" si="10"/>
        <v>2.2430083200000003E-8</v>
      </c>
      <c r="Q150" s="108">
        <v>54</v>
      </c>
    </row>
    <row r="151" spans="1:17" x14ac:dyDescent="0.15">
      <c r="A151" s="108">
        <v>148</v>
      </c>
      <c r="B151" s="136">
        <v>0.91200000047683716</v>
      </c>
      <c r="C151" s="108">
        <f t="shared" si="8"/>
        <v>56</v>
      </c>
      <c r="D151" s="108" t="s">
        <v>90</v>
      </c>
      <c r="E151" s="108">
        <v>5852</v>
      </c>
      <c r="F151" s="108" t="s">
        <v>158</v>
      </c>
      <c r="G151" s="108">
        <v>42438</v>
      </c>
      <c r="H151" s="108">
        <v>0.91200000047683716</v>
      </c>
      <c r="I151" s="108">
        <v>59</v>
      </c>
      <c r="J151" s="137">
        <f>E151*$U$6</f>
        <v>5.852E-6</v>
      </c>
      <c r="K151" s="137">
        <f t="shared" si="9"/>
        <v>1.7109703072000001E-6</v>
      </c>
      <c r="L151" s="137">
        <f t="shared" si="11"/>
        <v>3.1471723734E-6</v>
      </c>
      <c r="M151" s="137"/>
      <c r="Q151" s="108">
        <v>54</v>
      </c>
    </row>
    <row r="152" spans="1:17" x14ac:dyDescent="0.15">
      <c r="A152" s="108">
        <v>149</v>
      </c>
      <c r="B152" s="136">
        <v>0.91200000047683716</v>
      </c>
      <c r="C152" s="108">
        <f t="shared" si="8"/>
        <v>56</v>
      </c>
      <c r="D152" s="108" t="s">
        <v>98</v>
      </c>
      <c r="E152" s="108">
        <v>1255</v>
      </c>
      <c r="F152" s="108" t="s">
        <v>162</v>
      </c>
      <c r="G152" s="152">
        <v>1960</v>
      </c>
      <c r="H152" s="108">
        <v>0.91200000047683716</v>
      </c>
      <c r="I152" s="108">
        <v>59</v>
      </c>
      <c r="J152" s="137">
        <f>E152*$U$6</f>
        <v>1.2550000000000001E-6</v>
      </c>
      <c r="K152" s="137">
        <f t="shared" si="9"/>
        <v>3.6692886800000004E-7</v>
      </c>
      <c r="L152" s="137"/>
      <c r="M152" s="137">
        <f t="shared" si="10"/>
        <v>1.1215041600000001E-7</v>
      </c>
      <c r="Q152" s="108">
        <v>54</v>
      </c>
    </row>
    <row r="153" spans="1:17" x14ac:dyDescent="0.15">
      <c r="A153" s="108">
        <v>150</v>
      </c>
      <c r="B153" s="136">
        <v>0.91200000047683716</v>
      </c>
      <c r="C153" s="108">
        <f t="shared" si="8"/>
        <v>56</v>
      </c>
      <c r="D153" s="108" t="s">
        <v>90</v>
      </c>
      <c r="E153" s="108">
        <v>7732</v>
      </c>
      <c r="F153" s="108" t="s">
        <v>158</v>
      </c>
      <c r="G153" s="108">
        <v>57526</v>
      </c>
      <c r="H153" s="108">
        <v>0.91200000047683716</v>
      </c>
      <c r="I153" s="108">
        <v>59</v>
      </c>
      <c r="J153" s="137">
        <f>E153*$U$6</f>
        <v>7.7319999999999998E-6</v>
      </c>
      <c r="K153" s="137">
        <f t="shared" si="9"/>
        <v>2.2606326752000002E-6</v>
      </c>
      <c r="L153" s="137">
        <f t="shared" si="11"/>
        <v>4.2660878918000005E-6</v>
      </c>
      <c r="M153" s="137"/>
      <c r="Q153" s="108">
        <v>54</v>
      </c>
    </row>
    <row r="154" spans="1:17" x14ac:dyDescent="0.15">
      <c r="A154" s="108">
        <v>151</v>
      </c>
      <c r="B154" s="136">
        <v>0.91200000047683716</v>
      </c>
      <c r="C154" s="108">
        <f t="shared" si="8"/>
        <v>56</v>
      </c>
      <c r="D154" s="108" t="s">
        <v>90</v>
      </c>
      <c r="E154" s="108">
        <v>5915</v>
      </c>
      <c r="F154" s="108" t="s">
        <v>161</v>
      </c>
      <c r="G154" s="152">
        <v>98</v>
      </c>
      <c r="H154" s="108">
        <v>0.91200000047683716</v>
      </c>
      <c r="I154" s="108">
        <v>59</v>
      </c>
      <c r="J154" s="137">
        <f>E154*$U$6</f>
        <v>5.9150000000000001E-6</v>
      </c>
      <c r="K154" s="137">
        <f t="shared" si="9"/>
        <v>1.7293898440000001E-6</v>
      </c>
      <c r="L154" s="137"/>
      <c r="M154" s="137">
        <f t="shared" si="10"/>
        <v>5.6075208000000008E-9</v>
      </c>
      <c r="Q154" s="108">
        <v>54</v>
      </c>
    </row>
    <row r="155" spans="1:17" x14ac:dyDescent="0.15">
      <c r="A155" s="108">
        <v>152</v>
      </c>
      <c r="B155" s="136">
        <v>0.91200000047683716</v>
      </c>
      <c r="C155" s="108">
        <f t="shared" si="8"/>
        <v>56</v>
      </c>
      <c r="D155" s="108" t="s">
        <v>98</v>
      </c>
      <c r="E155" s="108">
        <v>1318</v>
      </c>
      <c r="F155" s="108" t="s">
        <v>160</v>
      </c>
      <c r="G155" s="108">
        <v>2058</v>
      </c>
      <c r="H155" s="108">
        <v>0.91200000047683716</v>
      </c>
      <c r="I155" s="108">
        <v>59</v>
      </c>
      <c r="J155" s="137">
        <f>E155*$U$6</f>
        <v>1.3180000000000001E-6</v>
      </c>
      <c r="K155" s="137">
        <f t="shared" si="9"/>
        <v>3.8534840480000004E-7</v>
      </c>
      <c r="L155" s="137">
        <f t="shared" si="11"/>
        <v>1.526198394E-7</v>
      </c>
      <c r="M155" s="137"/>
      <c r="Q155" s="108">
        <v>54</v>
      </c>
    </row>
    <row r="156" spans="1:17" x14ac:dyDescent="0.15">
      <c r="A156" s="108">
        <v>153</v>
      </c>
      <c r="B156" s="136">
        <v>0.91200000047683716</v>
      </c>
      <c r="C156" s="108">
        <f t="shared" si="8"/>
        <v>56</v>
      </c>
      <c r="D156" s="108" t="s">
        <v>90</v>
      </c>
      <c r="E156" s="108">
        <v>8116</v>
      </c>
      <c r="F156" s="108" t="s">
        <v>161</v>
      </c>
      <c r="G156" s="152">
        <v>392</v>
      </c>
      <c r="H156" s="108">
        <v>0.91200000047683716</v>
      </c>
      <c r="I156" s="108">
        <v>59</v>
      </c>
      <c r="J156" s="137">
        <f>E156*$U$6</f>
        <v>8.1159999999999999E-6</v>
      </c>
      <c r="K156" s="137">
        <f t="shared" si="9"/>
        <v>2.3729041375999999E-6</v>
      </c>
      <c r="L156" s="137"/>
      <c r="M156" s="137">
        <f t="shared" si="10"/>
        <v>2.2430083200000003E-8</v>
      </c>
      <c r="Q156" s="108">
        <v>54</v>
      </c>
    </row>
    <row r="157" spans="1:17" x14ac:dyDescent="0.15">
      <c r="A157" s="108">
        <v>154</v>
      </c>
      <c r="B157" s="136">
        <v>0.91200000047683716</v>
      </c>
      <c r="C157" s="108">
        <f t="shared" si="8"/>
        <v>56</v>
      </c>
      <c r="D157" s="108" t="s">
        <v>90</v>
      </c>
      <c r="E157" s="108">
        <v>5978</v>
      </c>
      <c r="F157" s="108" t="s">
        <v>158</v>
      </c>
      <c r="G157" s="108">
        <v>42242</v>
      </c>
      <c r="H157" s="108">
        <v>0.91200000047683716</v>
      </c>
      <c r="I157" s="108">
        <v>59</v>
      </c>
      <c r="J157" s="137">
        <f>E157*$U$6</f>
        <v>5.9780000000000002E-6</v>
      </c>
      <c r="K157" s="137">
        <f t="shared" si="9"/>
        <v>1.7478093808000001E-6</v>
      </c>
      <c r="L157" s="137">
        <f t="shared" si="11"/>
        <v>3.1326371506000002E-6</v>
      </c>
      <c r="M157" s="137"/>
      <c r="Q157" s="108">
        <v>54</v>
      </c>
    </row>
    <row r="158" spans="1:17" x14ac:dyDescent="0.15">
      <c r="A158" s="108">
        <v>155</v>
      </c>
      <c r="B158" s="136">
        <v>0.91200000047683716</v>
      </c>
      <c r="C158" s="108">
        <f t="shared" si="8"/>
        <v>56</v>
      </c>
      <c r="D158" s="108" t="s">
        <v>98</v>
      </c>
      <c r="E158" s="108">
        <v>1380</v>
      </c>
      <c r="F158" s="108" t="s">
        <v>162</v>
      </c>
      <c r="G158" s="152">
        <v>2156</v>
      </c>
      <c r="H158" s="108">
        <v>0.91200000047683716</v>
      </c>
      <c r="I158" s="108">
        <v>59</v>
      </c>
      <c r="J158" s="137">
        <f>E158*$U$6</f>
        <v>1.3800000000000001E-6</v>
      </c>
      <c r="K158" s="137">
        <f t="shared" si="9"/>
        <v>4.0347556800000003E-7</v>
      </c>
      <c r="L158" s="137"/>
      <c r="M158" s="137">
        <f t="shared" si="10"/>
        <v>1.2336545760000001E-7</v>
      </c>
      <c r="Q158" s="108">
        <v>54</v>
      </c>
    </row>
    <row r="159" spans="1:17" x14ac:dyDescent="0.15">
      <c r="A159" s="108">
        <v>156</v>
      </c>
      <c r="B159" s="136">
        <v>0.91200000047683716</v>
      </c>
      <c r="C159" s="108">
        <f t="shared" si="8"/>
        <v>56</v>
      </c>
      <c r="D159" s="108" t="s">
        <v>90</v>
      </c>
      <c r="E159" s="108">
        <v>8500</v>
      </c>
      <c r="F159" s="108" t="s">
        <v>158</v>
      </c>
      <c r="G159" s="108">
        <v>58898</v>
      </c>
      <c r="H159" s="108">
        <v>0.91200000047683716</v>
      </c>
      <c r="I159" s="108">
        <v>59</v>
      </c>
      <c r="J159" s="137">
        <f>E159*$U$6</f>
        <v>8.4999999999999999E-6</v>
      </c>
      <c r="K159" s="137">
        <f t="shared" si="9"/>
        <v>2.4851755999999999E-6</v>
      </c>
      <c r="L159" s="137">
        <f t="shared" si="11"/>
        <v>4.3678344513999999E-6</v>
      </c>
      <c r="M159" s="137"/>
      <c r="Q159" s="108">
        <v>54</v>
      </c>
    </row>
    <row r="160" spans="1:17" x14ac:dyDescent="0.15">
      <c r="A160" s="108">
        <v>157</v>
      </c>
      <c r="B160" s="136">
        <v>0.91200000047683716</v>
      </c>
      <c r="C160" s="108">
        <f t="shared" si="8"/>
        <v>56</v>
      </c>
      <c r="D160" s="108" t="s">
        <v>90</v>
      </c>
      <c r="E160" s="108">
        <v>6040</v>
      </c>
      <c r="F160" s="108" t="s">
        <v>161</v>
      </c>
      <c r="G160" s="152">
        <v>98</v>
      </c>
      <c r="H160" s="108">
        <v>0.91200000047683716</v>
      </c>
      <c r="I160" s="108">
        <v>59</v>
      </c>
      <c r="J160" s="137">
        <f>E160*$U$6</f>
        <v>6.0400000000000006E-6</v>
      </c>
      <c r="K160" s="137">
        <f t="shared" si="9"/>
        <v>1.7659365440000003E-6</v>
      </c>
      <c r="L160" s="137"/>
      <c r="M160" s="137">
        <f t="shared" si="10"/>
        <v>5.6075208000000008E-9</v>
      </c>
      <c r="Q160" s="108">
        <v>54</v>
      </c>
    </row>
    <row r="161" spans="1:17" x14ac:dyDescent="0.15">
      <c r="A161" s="108">
        <v>158</v>
      </c>
      <c r="B161" s="136">
        <v>0.91200000047683716</v>
      </c>
      <c r="C161" s="108">
        <f t="shared" si="8"/>
        <v>56</v>
      </c>
      <c r="D161" s="108" t="s">
        <v>98</v>
      </c>
      <c r="E161" s="108">
        <v>1443</v>
      </c>
      <c r="F161" s="108" t="s">
        <v>160</v>
      </c>
      <c r="G161" s="108">
        <v>2254</v>
      </c>
      <c r="H161" s="108">
        <v>0.91200000047683716</v>
      </c>
      <c r="I161" s="108">
        <v>59</v>
      </c>
      <c r="J161" s="137">
        <f>E161*$U$6</f>
        <v>1.443E-6</v>
      </c>
      <c r="K161" s="137">
        <f t="shared" si="9"/>
        <v>4.2189510480000003E-7</v>
      </c>
      <c r="L161" s="137">
        <f t="shared" si="11"/>
        <v>1.6715506220000002E-7</v>
      </c>
      <c r="M161" s="137"/>
      <c r="Q161" s="108">
        <v>54</v>
      </c>
    </row>
    <row r="162" spans="1:17" x14ac:dyDescent="0.15">
      <c r="A162" s="108">
        <v>159</v>
      </c>
      <c r="B162" s="136">
        <v>0.91200000047683716</v>
      </c>
      <c r="C162" s="108">
        <f t="shared" si="8"/>
        <v>56</v>
      </c>
      <c r="D162" s="108" t="s">
        <v>90</v>
      </c>
      <c r="E162" s="108">
        <v>8884</v>
      </c>
      <c r="F162" s="108" t="s">
        <v>161</v>
      </c>
      <c r="G162" s="152">
        <v>392</v>
      </c>
      <c r="H162" s="108">
        <v>0.91200000047683716</v>
      </c>
      <c r="I162" s="108">
        <v>59</v>
      </c>
      <c r="J162" s="137">
        <f>E162*$U$6</f>
        <v>8.884E-6</v>
      </c>
      <c r="K162" s="137">
        <f t="shared" si="9"/>
        <v>2.5974470624E-6</v>
      </c>
      <c r="L162" s="137"/>
      <c r="M162" s="137">
        <f t="shared" si="10"/>
        <v>2.2430083200000003E-8</v>
      </c>
      <c r="Q162" s="108">
        <v>54</v>
      </c>
    </row>
    <row r="163" spans="1:17" x14ac:dyDescent="0.15">
      <c r="A163" s="108">
        <v>160</v>
      </c>
      <c r="B163" s="136">
        <v>0.91200000047683716</v>
      </c>
      <c r="C163" s="108">
        <f t="shared" si="8"/>
        <v>56</v>
      </c>
      <c r="D163" s="108" t="s">
        <v>90</v>
      </c>
      <c r="E163" s="108">
        <v>6103</v>
      </c>
      <c r="F163" s="108" t="s">
        <v>158</v>
      </c>
      <c r="G163" s="108">
        <v>42046</v>
      </c>
      <c r="H163" s="108">
        <v>0.91200000047683716</v>
      </c>
      <c r="I163" s="108">
        <v>59</v>
      </c>
      <c r="J163" s="137">
        <f>E163*$U$6</f>
        <v>6.1030000000000007E-6</v>
      </c>
      <c r="K163" s="137">
        <f t="shared" si="9"/>
        <v>1.7843560808000003E-6</v>
      </c>
      <c r="L163" s="137">
        <f t="shared" si="11"/>
        <v>3.1181019277999999E-6</v>
      </c>
      <c r="M163" s="137"/>
      <c r="Q163" s="108">
        <v>54</v>
      </c>
    </row>
    <row r="164" spans="1:17" x14ac:dyDescent="0.15">
      <c r="A164" s="108">
        <v>161</v>
      </c>
      <c r="B164" s="136">
        <v>0.91200000047683716</v>
      </c>
      <c r="C164" s="108">
        <f t="shared" si="8"/>
        <v>56</v>
      </c>
      <c r="D164" s="108" t="s">
        <v>98</v>
      </c>
      <c r="E164" s="108">
        <v>1506</v>
      </c>
      <c r="F164" s="108" t="s">
        <v>162</v>
      </c>
      <c r="G164" s="152">
        <v>2352</v>
      </c>
      <c r="H164" s="108">
        <v>0.91200000047683716</v>
      </c>
      <c r="I164" s="108">
        <v>59</v>
      </c>
      <c r="J164" s="137">
        <f>E164*$U$6</f>
        <v>1.5060000000000001E-6</v>
      </c>
      <c r="K164" s="137">
        <f t="shared" si="9"/>
        <v>4.4031464160000003E-7</v>
      </c>
      <c r="L164" s="137"/>
      <c r="M164" s="137">
        <f t="shared" si="10"/>
        <v>1.3458049920000003E-7</v>
      </c>
      <c r="Q164" s="108">
        <v>54</v>
      </c>
    </row>
    <row r="165" spans="1:17" x14ac:dyDescent="0.15">
      <c r="A165" s="108">
        <v>162</v>
      </c>
      <c r="B165" s="136">
        <v>0.91200000047683716</v>
      </c>
      <c r="C165" s="108">
        <f t="shared" si="8"/>
        <v>56</v>
      </c>
      <c r="D165" s="108" t="s">
        <v>90</v>
      </c>
      <c r="E165" s="108">
        <v>9268</v>
      </c>
      <c r="F165" s="108" t="s">
        <v>158</v>
      </c>
      <c r="G165" s="108">
        <v>60270</v>
      </c>
      <c r="H165" s="108">
        <v>0.91200000047683716</v>
      </c>
      <c r="I165" s="108">
        <v>59</v>
      </c>
      <c r="J165" s="137">
        <f>E165*$U$6</f>
        <v>9.268E-6</v>
      </c>
      <c r="K165" s="137">
        <f t="shared" si="9"/>
        <v>2.7097185248000001E-6</v>
      </c>
      <c r="L165" s="137">
        <f t="shared" si="11"/>
        <v>4.4695810110000002E-6</v>
      </c>
      <c r="M165" s="137"/>
      <c r="Q165" s="108">
        <v>54</v>
      </c>
    </row>
    <row r="166" spans="1:17" x14ac:dyDescent="0.15">
      <c r="A166" s="108">
        <v>163</v>
      </c>
      <c r="B166" s="136">
        <v>0.91200000047683716</v>
      </c>
      <c r="C166" s="108">
        <f t="shared" si="8"/>
        <v>56</v>
      </c>
      <c r="D166" s="108" t="s">
        <v>90</v>
      </c>
      <c r="E166" s="108">
        <v>6166</v>
      </c>
      <c r="F166" s="108" t="s">
        <v>161</v>
      </c>
      <c r="G166" s="152">
        <v>98</v>
      </c>
      <c r="H166" s="108">
        <v>0.91200000047683716</v>
      </c>
      <c r="I166" s="108">
        <v>59</v>
      </c>
      <c r="J166" s="137">
        <f>E166*$U$6</f>
        <v>6.1660000000000008E-6</v>
      </c>
      <c r="K166" s="137">
        <f t="shared" si="9"/>
        <v>1.8027756176000003E-6</v>
      </c>
      <c r="L166" s="137"/>
      <c r="M166" s="137">
        <f t="shared" si="10"/>
        <v>5.6075208000000008E-9</v>
      </c>
      <c r="Q166" s="108">
        <v>54</v>
      </c>
    </row>
    <row r="167" spans="1:17" x14ac:dyDescent="0.15">
      <c r="A167" s="108">
        <v>164</v>
      </c>
      <c r="B167" s="136">
        <v>0.91200000047683716</v>
      </c>
      <c r="C167" s="108">
        <f t="shared" si="8"/>
        <v>56</v>
      </c>
      <c r="D167" s="108" t="s">
        <v>98</v>
      </c>
      <c r="E167" s="108">
        <v>1568</v>
      </c>
      <c r="F167" s="108" t="s">
        <v>160</v>
      </c>
      <c r="G167" s="108">
        <v>2450</v>
      </c>
      <c r="H167" s="108">
        <v>0.91200000047683716</v>
      </c>
      <c r="I167" s="108">
        <v>59</v>
      </c>
      <c r="J167" s="137">
        <f>E167*$U$6</f>
        <v>1.5680000000000001E-6</v>
      </c>
      <c r="K167" s="137">
        <f t="shared" si="9"/>
        <v>4.5844180480000001E-7</v>
      </c>
      <c r="L167" s="137">
        <f t="shared" si="11"/>
        <v>1.8169028500000001E-7</v>
      </c>
      <c r="M167" s="137"/>
      <c r="Q167" s="108">
        <v>54</v>
      </c>
    </row>
    <row r="168" spans="1:17" x14ac:dyDescent="0.15">
      <c r="A168" s="108">
        <v>165</v>
      </c>
      <c r="B168" s="136">
        <v>0.91200000047683716</v>
      </c>
      <c r="C168" s="108">
        <f t="shared" si="8"/>
        <v>56</v>
      </c>
      <c r="D168" s="108" t="s">
        <v>90</v>
      </c>
      <c r="E168" s="108">
        <v>9652</v>
      </c>
      <c r="F168" s="108" t="s">
        <v>161</v>
      </c>
      <c r="G168" s="152">
        <v>392</v>
      </c>
      <c r="H168" s="108">
        <v>0.91200000047683716</v>
      </c>
      <c r="I168" s="108">
        <v>59</v>
      </c>
      <c r="J168" s="137">
        <f>E168*$U$6</f>
        <v>9.6520000000000001E-6</v>
      </c>
      <c r="K168" s="137">
        <f t="shared" si="9"/>
        <v>2.8219899872000002E-6</v>
      </c>
      <c r="L168" s="137"/>
      <c r="M168" s="137">
        <f t="shared" si="10"/>
        <v>2.2430083200000003E-8</v>
      </c>
      <c r="Q168" s="108">
        <v>54</v>
      </c>
    </row>
    <row r="169" spans="1:17" x14ac:dyDescent="0.15">
      <c r="A169" s="108">
        <v>166</v>
      </c>
      <c r="B169" s="136">
        <v>0.91200000047683716</v>
      </c>
      <c r="C169" s="108">
        <f t="shared" si="8"/>
        <v>56</v>
      </c>
      <c r="D169" s="108" t="s">
        <v>90</v>
      </c>
      <c r="E169" s="108">
        <v>6228</v>
      </c>
      <c r="F169" s="108" t="s">
        <v>158</v>
      </c>
      <c r="G169" s="108">
        <v>41850</v>
      </c>
      <c r="H169" s="108">
        <v>0.91200000047683716</v>
      </c>
      <c r="I169" s="108">
        <v>59</v>
      </c>
      <c r="J169" s="137">
        <f>E169*$U$6</f>
        <v>6.2280000000000003E-6</v>
      </c>
      <c r="K169" s="137">
        <f t="shared" si="9"/>
        <v>1.8209027808000001E-6</v>
      </c>
      <c r="L169" s="137">
        <f t="shared" si="11"/>
        <v>3.1035667050000001E-6</v>
      </c>
      <c r="M169" s="137"/>
      <c r="Q169" s="108">
        <v>54</v>
      </c>
    </row>
    <row r="170" spans="1:17" x14ac:dyDescent="0.15">
      <c r="A170" s="108">
        <v>167</v>
      </c>
      <c r="B170" s="136">
        <v>0.91200000047683716</v>
      </c>
      <c r="C170" s="108">
        <f t="shared" si="8"/>
        <v>56</v>
      </c>
      <c r="D170" s="108" t="s">
        <v>98</v>
      </c>
      <c r="E170" s="108">
        <v>1631</v>
      </c>
      <c r="F170" s="108" t="s">
        <v>162</v>
      </c>
      <c r="G170" s="152">
        <v>2548</v>
      </c>
      <c r="H170" s="108">
        <v>0.91200000047683716</v>
      </c>
      <c r="I170" s="108">
        <v>59</v>
      </c>
      <c r="J170" s="137">
        <f>E170*$U$6</f>
        <v>1.6310000000000001E-6</v>
      </c>
      <c r="K170" s="137">
        <f t="shared" si="9"/>
        <v>4.7686134160000001E-7</v>
      </c>
      <c r="L170" s="137"/>
      <c r="M170" s="137">
        <f t="shared" si="10"/>
        <v>1.457955408E-7</v>
      </c>
      <c r="Q170" s="108">
        <v>54</v>
      </c>
    </row>
    <row r="171" spans="1:17" x14ac:dyDescent="0.15">
      <c r="A171" s="108">
        <v>168</v>
      </c>
      <c r="B171" s="136">
        <v>0.91200000047683716</v>
      </c>
      <c r="C171" s="108">
        <f t="shared" si="8"/>
        <v>56</v>
      </c>
      <c r="D171" s="108" t="s">
        <v>90</v>
      </c>
      <c r="E171" s="108">
        <v>10036</v>
      </c>
      <c r="F171" s="108" t="s">
        <v>158</v>
      </c>
      <c r="G171" s="108">
        <v>61642</v>
      </c>
      <c r="H171" s="108">
        <v>0.91200000047683716</v>
      </c>
      <c r="I171" s="108">
        <v>59</v>
      </c>
      <c r="J171" s="137">
        <f>E171*$U$6</f>
        <v>1.0036E-5</v>
      </c>
      <c r="K171" s="137">
        <f t="shared" si="9"/>
        <v>2.9342614496000003E-6</v>
      </c>
      <c r="L171" s="137">
        <f t="shared" si="11"/>
        <v>4.5713275705999996E-6</v>
      </c>
      <c r="M171" s="137"/>
      <c r="Q171" s="108">
        <v>54</v>
      </c>
    </row>
    <row r="172" spans="1:17" x14ac:dyDescent="0.15">
      <c r="A172" s="108">
        <v>169</v>
      </c>
      <c r="B172" s="136">
        <v>0.91200000047683716</v>
      </c>
      <c r="C172" s="108">
        <f t="shared" si="8"/>
        <v>56</v>
      </c>
      <c r="D172" s="108" t="s">
        <v>90</v>
      </c>
      <c r="E172" s="108">
        <v>6291</v>
      </c>
      <c r="F172" s="108" t="s">
        <v>161</v>
      </c>
      <c r="G172" s="152">
        <v>98</v>
      </c>
      <c r="H172" s="108">
        <v>0.91200000047683716</v>
      </c>
      <c r="I172" s="108">
        <v>59</v>
      </c>
      <c r="J172" s="137">
        <f>E172*$U$6</f>
        <v>6.2910000000000004E-6</v>
      </c>
      <c r="K172" s="137">
        <f t="shared" si="9"/>
        <v>1.8393223176000001E-6</v>
      </c>
      <c r="L172" s="137"/>
      <c r="M172" s="137">
        <f t="shared" si="10"/>
        <v>5.6075208000000008E-9</v>
      </c>
      <c r="Q172" s="108">
        <v>54</v>
      </c>
    </row>
    <row r="173" spans="1:17" x14ac:dyDescent="0.15">
      <c r="A173" s="108">
        <v>170</v>
      </c>
      <c r="B173" s="136">
        <v>0.91200000047683716</v>
      </c>
      <c r="C173" s="108">
        <f t="shared" si="8"/>
        <v>56</v>
      </c>
      <c r="D173" s="108" t="s">
        <v>98</v>
      </c>
      <c r="E173" s="108">
        <v>1694</v>
      </c>
      <c r="F173" s="108" t="s">
        <v>160</v>
      </c>
      <c r="G173" s="108">
        <v>2646</v>
      </c>
      <c r="H173" s="108">
        <v>0.91200000047683716</v>
      </c>
      <c r="I173" s="108">
        <v>59</v>
      </c>
      <c r="J173" s="137">
        <f>E173*$U$6</f>
        <v>1.694E-6</v>
      </c>
      <c r="K173" s="137">
        <f t="shared" si="9"/>
        <v>4.9528087840000001E-7</v>
      </c>
      <c r="L173" s="137">
        <f t="shared" si="11"/>
        <v>1.9622550780000002E-7</v>
      </c>
      <c r="M173" s="137"/>
      <c r="Q173" s="108">
        <v>54</v>
      </c>
    </row>
    <row r="174" spans="1:17" x14ac:dyDescent="0.15">
      <c r="A174" s="108">
        <v>171</v>
      </c>
      <c r="B174" s="136">
        <v>0.91200000047683716</v>
      </c>
      <c r="C174" s="108">
        <f t="shared" si="8"/>
        <v>56</v>
      </c>
      <c r="D174" s="108" t="s">
        <v>90</v>
      </c>
      <c r="E174" s="108">
        <v>10420</v>
      </c>
      <c r="F174" s="108" t="s">
        <v>161</v>
      </c>
      <c r="G174" s="152">
        <v>392</v>
      </c>
      <c r="H174" s="108">
        <v>0.91200000047683716</v>
      </c>
      <c r="I174" s="108">
        <v>59</v>
      </c>
      <c r="J174" s="137">
        <f>E174*$U$6</f>
        <v>1.042E-5</v>
      </c>
      <c r="K174" s="137">
        <f t="shared" si="9"/>
        <v>3.0465329120000003E-6</v>
      </c>
      <c r="L174" s="137"/>
      <c r="M174" s="137">
        <f t="shared" si="10"/>
        <v>2.2430083200000003E-8</v>
      </c>
      <c r="Q174" s="108">
        <v>54</v>
      </c>
    </row>
    <row r="175" spans="1:17" x14ac:dyDescent="0.15">
      <c r="A175" s="108">
        <v>172</v>
      </c>
      <c r="B175" s="136">
        <v>0.91200000047683716</v>
      </c>
      <c r="C175" s="108">
        <f t="shared" si="8"/>
        <v>56</v>
      </c>
      <c r="D175" s="108" t="s">
        <v>90</v>
      </c>
      <c r="E175" s="108">
        <v>6354</v>
      </c>
      <c r="F175" s="108" t="s">
        <v>158</v>
      </c>
      <c r="G175" s="108">
        <v>41654</v>
      </c>
      <c r="H175" s="108">
        <v>0.91200000047683716</v>
      </c>
      <c r="I175" s="108">
        <v>59</v>
      </c>
      <c r="J175" s="137">
        <f>E175*$U$6</f>
        <v>6.3540000000000005E-6</v>
      </c>
      <c r="K175" s="137">
        <f t="shared" si="9"/>
        <v>1.8577418544000003E-6</v>
      </c>
      <c r="L175" s="137">
        <f t="shared" si="11"/>
        <v>3.0890314822000002E-6</v>
      </c>
      <c r="M175" s="137"/>
      <c r="Q175" s="108">
        <v>54</v>
      </c>
    </row>
    <row r="176" spans="1:17" x14ac:dyDescent="0.15">
      <c r="A176" s="108">
        <v>173</v>
      </c>
      <c r="B176" s="136">
        <v>0.91200000047683716</v>
      </c>
      <c r="C176" s="108">
        <f t="shared" si="8"/>
        <v>56</v>
      </c>
      <c r="D176" s="108" t="s">
        <v>98</v>
      </c>
      <c r="E176" s="108">
        <v>1757</v>
      </c>
      <c r="F176" s="108" t="s">
        <v>162</v>
      </c>
      <c r="G176" s="152">
        <v>2744</v>
      </c>
      <c r="H176" s="108">
        <v>0.91200000047683716</v>
      </c>
      <c r="I176" s="108">
        <v>59</v>
      </c>
      <c r="J176" s="137">
        <f>E176*$U$6</f>
        <v>1.7570000000000001E-6</v>
      </c>
      <c r="K176" s="137">
        <f t="shared" si="9"/>
        <v>5.1370041520000001E-7</v>
      </c>
      <c r="L176" s="137"/>
      <c r="M176" s="137">
        <f t="shared" si="10"/>
        <v>1.570105824E-7</v>
      </c>
      <c r="Q176" s="108">
        <v>54</v>
      </c>
    </row>
    <row r="177" spans="1:17" x14ac:dyDescent="0.15">
      <c r="A177" s="108">
        <v>174</v>
      </c>
      <c r="B177" s="136">
        <v>0.91200000047683716</v>
      </c>
      <c r="C177" s="108">
        <f t="shared" si="8"/>
        <v>56</v>
      </c>
      <c r="D177" s="108" t="s">
        <v>90</v>
      </c>
      <c r="E177" s="108">
        <v>10804</v>
      </c>
      <c r="F177" s="108" t="s">
        <v>158</v>
      </c>
      <c r="G177" s="108">
        <v>63014</v>
      </c>
      <c r="H177" s="108">
        <v>0.91200000047683716</v>
      </c>
      <c r="I177" s="108">
        <v>59</v>
      </c>
      <c r="J177" s="137">
        <f>E177*$U$6</f>
        <v>1.0804E-5</v>
      </c>
      <c r="K177" s="137">
        <f t="shared" si="9"/>
        <v>3.1588043744E-6</v>
      </c>
      <c r="L177" s="137">
        <f t="shared" si="11"/>
        <v>4.6730741301999999E-6</v>
      </c>
      <c r="M177" s="137"/>
      <c r="Q177" s="108">
        <v>54</v>
      </c>
    </row>
    <row r="178" spans="1:17" x14ac:dyDescent="0.15">
      <c r="A178" s="108">
        <v>175</v>
      </c>
      <c r="B178" s="136">
        <v>0.91200000047683716</v>
      </c>
      <c r="C178" s="108">
        <f t="shared" si="8"/>
        <v>56</v>
      </c>
      <c r="D178" s="108" t="s">
        <v>90</v>
      </c>
      <c r="E178" s="108">
        <v>6417</v>
      </c>
      <c r="F178" s="108" t="s">
        <v>161</v>
      </c>
      <c r="G178" s="152">
        <v>98</v>
      </c>
      <c r="H178" s="108">
        <v>0.91200000047683716</v>
      </c>
      <c r="I178" s="108">
        <v>59</v>
      </c>
      <c r="J178" s="137">
        <f>E178*$U$6</f>
        <v>6.4170000000000006E-6</v>
      </c>
      <c r="K178" s="137">
        <f t="shared" si="9"/>
        <v>1.8761613912000003E-6</v>
      </c>
      <c r="L178" s="137"/>
      <c r="M178" s="137">
        <f t="shared" si="10"/>
        <v>5.6075208000000008E-9</v>
      </c>
      <c r="Q178" s="108">
        <v>54</v>
      </c>
    </row>
    <row r="179" spans="1:17" x14ac:dyDescent="0.15">
      <c r="A179" s="108">
        <v>176</v>
      </c>
      <c r="B179" s="136">
        <v>0.91200000047683716</v>
      </c>
      <c r="C179" s="108">
        <f t="shared" si="8"/>
        <v>56</v>
      </c>
      <c r="D179" s="108" t="s">
        <v>98</v>
      </c>
      <c r="E179" s="108">
        <v>1819</v>
      </c>
      <c r="F179" s="108" t="s">
        <v>160</v>
      </c>
      <c r="G179" s="108">
        <v>2842</v>
      </c>
      <c r="H179" s="108">
        <v>0.91200000047683716</v>
      </c>
      <c r="I179" s="108">
        <v>59</v>
      </c>
      <c r="J179" s="137">
        <f>E179*$U$6</f>
        <v>1.8190000000000001E-6</v>
      </c>
      <c r="K179" s="137">
        <f t="shared" si="9"/>
        <v>5.318275784E-7</v>
      </c>
      <c r="L179" s="137">
        <f t="shared" si="11"/>
        <v>2.1076073060000001E-7</v>
      </c>
      <c r="M179" s="137"/>
      <c r="Q179" s="108">
        <v>54</v>
      </c>
    </row>
    <row r="180" spans="1:17" x14ac:dyDescent="0.15">
      <c r="A180" s="108">
        <v>177</v>
      </c>
      <c r="B180" s="136">
        <v>0.91200000047683716</v>
      </c>
      <c r="C180" s="108">
        <f t="shared" si="8"/>
        <v>56</v>
      </c>
      <c r="D180" s="108" t="s">
        <v>90</v>
      </c>
      <c r="E180" s="108">
        <v>11188</v>
      </c>
      <c r="F180" s="108" t="s">
        <v>161</v>
      </c>
      <c r="G180" s="152">
        <v>392</v>
      </c>
      <c r="H180" s="108">
        <v>0.91200000047683716</v>
      </c>
      <c r="I180" s="108">
        <v>59</v>
      </c>
      <c r="J180" s="137">
        <f>E180*$U$6</f>
        <v>1.1188E-5</v>
      </c>
      <c r="K180" s="137">
        <f t="shared" si="9"/>
        <v>3.2710758368000001E-6</v>
      </c>
      <c r="L180" s="137"/>
      <c r="M180" s="137">
        <f t="shared" si="10"/>
        <v>2.2430083200000003E-8</v>
      </c>
      <c r="Q180" s="108">
        <v>54</v>
      </c>
    </row>
    <row r="181" spans="1:17" x14ac:dyDescent="0.15">
      <c r="A181" s="108">
        <v>178</v>
      </c>
      <c r="B181" s="136">
        <v>0.91200000047683716</v>
      </c>
      <c r="C181" s="108">
        <f t="shared" si="8"/>
        <v>56</v>
      </c>
      <c r="D181" s="108" t="s">
        <v>90</v>
      </c>
      <c r="E181" s="108">
        <v>6479</v>
      </c>
      <c r="F181" s="108" t="s">
        <v>158</v>
      </c>
      <c r="G181" s="108">
        <v>41458</v>
      </c>
      <c r="H181" s="108">
        <v>0.91200000047683716</v>
      </c>
      <c r="I181" s="108">
        <v>59</v>
      </c>
      <c r="J181" s="137">
        <f>E181*$U$6</f>
        <v>6.4790000000000001E-6</v>
      </c>
      <c r="K181" s="137">
        <f t="shared" si="9"/>
        <v>1.8942885544000001E-6</v>
      </c>
      <c r="L181" s="137">
        <f t="shared" si="11"/>
        <v>3.0744962593999999E-6</v>
      </c>
      <c r="M181" s="137"/>
      <c r="Q181" s="108">
        <v>54</v>
      </c>
    </row>
    <row r="182" spans="1:17" x14ac:dyDescent="0.15">
      <c r="A182" s="108">
        <v>179</v>
      </c>
      <c r="B182" s="136">
        <v>0.91200000047683716</v>
      </c>
      <c r="C182" s="108">
        <f t="shared" si="8"/>
        <v>56</v>
      </c>
      <c r="D182" s="108" t="s">
        <v>98</v>
      </c>
      <c r="E182" s="108">
        <v>1882</v>
      </c>
      <c r="F182" s="108" t="s">
        <v>162</v>
      </c>
      <c r="G182" s="152">
        <v>2940</v>
      </c>
      <c r="H182" s="108">
        <v>0.91200000047683716</v>
      </c>
      <c r="I182" s="108">
        <v>59</v>
      </c>
      <c r="J182" s="137">
        <f>E182*$U$6</f>
        <v>1.8820000000000001E-6</v>
      </c>
      <c r="K182" s="137">
        <f t="shared" si="9"/>
        <v>5.5024711520000011E-7</v>
      </c>
      <c r="L182" s="137"/>
      <c r="M182" s="137">
        <f t="shared" si="10"/>
        <v>1.6822562400000003E-7</v>
      </c>
      <c r="Q182" s="108">
        <v>54</v>
      </c>
    </row>
    <row r="183" spans="1:17" x14ac:dyDescent="0.15">
      <c r="A183" s="108">
        <v>180</v>
      </c>
      <c r="B183" s="136">
        <v>0.91200000047683716</v>
      </c>
      <c r="C183" s="108">
        <f t="shared" si="8"/>
        <v>56</v>
      </c>
      <c r="D183" s="108" t="s">
        <v>90</v>
      </c>
      <c r="E183" s="108">
        <v>11572</v>
      </c>
      <c r="F183" s="108" t="s">
        <v>158</v>
      </c>
      <c r="G183" s="108">
        <v>64386</v>
      </c>
      <c r="H183" s="108">
        <v>0.91200000047683716</v>
      </c>
      <c r="I183" s="108">
        <v>59</v>
      </c>
      <c r="J183" s="137">
        <f>E183*$U$6</f>
        <v>1.1572E-5</v>
      </c>
      <c r="K183" s="137">
        <f t="shared" si="9"/>
        <v>3.3833472992000002E-6</v>
      </c>
      <c r="L183" s="137">
        <f t="shared" si="11"/>
        <v>4.7748206898000002E-6</v>
      </c>
      <c r="M183" s="137"/>
      <c r="Q183" s="108">
        <v>54</v>
      </c>
    </row>
    <row r="184" spans="1:17" x14ac:dyDescent="0.15">
      <c r="A184" s="108">
        <v>181</v>
      </c>
      <c r="B184" s="136">
        <v>0.91200000047683716</v>
      </c>
      <c r="C184" s="108">
        <f t="shared" si="8"/>
        <v>56</v>
      </c>
      <c r="D184" s="108" t="s">
        <v>90</v>
      </c>
      <c r="E184" s="108">
        <v>6542</v>
      </c>
      <c r="F184" s="108" t="s">
        <v>161</v>
      </c>
      <c r="G184" s="152">
        <v>98</v>
      </c>
      <c r="H184" s="108">
        <v>0.91200000047683716</v>
      </c>
      <c r="I184" s="108">
        <v>59</v>
      </c>
      <c r="J184" s="137">
        <f>E184*$U$6</f>
        <v>6.5420000000000002E-6</v>
      </c>
      <c r="K184" s="137">
        <f t="shared" si="9"/>
        <v>1.9127080912000003E-6</v>
      </c>
      <c r="L184" s="137"/>
      <c r="M184" s="137">
        <f t="shared" si="10"/>
        <v>5.6075208000000008E-9</v>
      </c>
      <c r="Q184" s="108">
        <v>54</v>
      </c>
    </row>
    <row r="185" spans="1:17" x14ac:dyDescent="0.15">
      <c r="A185" s="108">
        <v>182</v>
      </c>
      <c r="B185" s="136">
        <v>0.91200000047683716</v>
      </c>
      <c r="C185" s="108">
        <f t="shared" si="8"/>
        <v>56</v>
      </c>
      <c r="D185" s="108" t="s">
        <v>98</v>
      </c>
      <c r="E185" s="108">
        <v>1945</v>
      </c>
      <c r="F185" s="108" t="s">
        <v>160</v>
      </c>
      <c r="G185" s="108">
        <v>3038</v>
      </c>
      <c r="H185" s="108">
        <v>0.91200000047683716</v>
      </c>
      <c r="I185" s="108">
        <v>59</v>
      </c>
      <c r="J185" s="137">
        <f>E185*$U$6</f>
        <v>1.945E-6</v>
      </c>
      <c r="K185" s="137">
        <f t="shared" si="9"/>
        <v>5.68666652E-7</v>
      </c>
      <c r="L185" s="137">
        <f t="shared" si="11"/>
        <v>2.252959534E-7</v>
      </c>
      <c r="M185" s="137"/>
      <c r="Q185" s="108">
        <v>54</v>
      </c>
    </row>
    <row r="186" spans="1:17" x14ac:dyDescent="0.15">
      <c r="A186" s="108">
        <v>183</v>
      </c>
      <c r="B186" s="136">
        <v>0.91200000047683716</v>
      </c>
      <c r="C186" s="108">
        <f t="shared" si="8"/>
        <v>56</v>
      </c>
      <c r="D186" s="108" t="s">
        <v>90</v>
      </c>
      <c r="E186" s="108">
        <v>11956</v>
      </c>
      <c r="F186" s="108" t="s">
        <v>161</v>
      </c>
      <c r="G186" s="152">
        <v>392</v>
      </c>
      <c r="H186" s="108">
        <v>0.91200000047683716</v>
      </c>
      <c r="I186" s="108">
        <v>59</v>
      </c>
      <c r="J186" s="137">
        <f>E186*$U$6</f>
        <v>1.1956E-5</v>
      </c>
      <c r="K186" s="137">
        <f t="shared" si="9"/>
        <v>3.4956187616000003E-6</v>
      </c>
      <c r="L186" s="137"/>
      <c r="M186" s="137">
        <f t="shared" si="10"/>
        <v>2.2430083200000003E-8</v>
      </c>
      <c r="Q186" s="108">
        <v>54</v>
      </c>
    </row>
    <row r="187" spans="1:17" x14ac:dyDescent="0.15">
      <c r="A187" s="108">
        <v>184</v>
      </c>
      <c r="B187" s="136">
        <v>0.91200000047683716</v>
      </c>
      <c r="C187" s="108">
        <f t="shared" si="8"/>
        <v>56</v>
      </c>
      <c r="D187" s="108" t="s">
        <v>90</v>
      </c>
      <c r="E187" s="108">
        <v>6605</v>
      </c>
      <c r="F187" s="108" t="s">
        <v>158</v>
      </c>
      <c r="G187" s="108">
        <v>41262</v>
      </c>
      <c r="H187" s="108">
        <v>0.91200000047683716</v>
      </c>
      <c r="I187" s="108">
        <v>59</v>
      </c>
      <c r="J187" s="137">
        <f>E187*$U$6</f>
        <v>6.6050000000000003E-6</v>
      </c>
      <c r="K187" s="137">
        <f t="shared" si="9"/>
        <v>1.9311276280000003E-6</v>
      </c>
      <c r="L187" s="137">
        <f t="shared" si="11"/>
        <v>3.0599610366000001E-6</v>
      </c>
      <c r="M187" s="137"/>
      <c r="Q187" s="108">
        <v>54</v>
      </c>
    </row>
    <row r="188" spans="1:17" x14ac:dyDescent="0.15">
      <c r="A188" s="108">
        <v>185</v>
      </c>
      <c r="B188" s="136">
        <v>0.91200000047683716</v>
      </c>
      <c r="C188" s="108">
        <f t="shared" si="8"/>
        <v>56</v>
      </c>
      <c r="D188" s="108" t="s">
        <v>98</v>
      </c>
      <c r="E188" s="108">
        <v>2008</v>
      </c>
      <c r="F188" s="108" t="s">
        <v>162</v>
      </c>
      <c r="G188" s="152">
        <v>3136</v>
      </c>
      <c r="H188" s="108">
        <v>0.91200000047683716</v>
      </c>
      <c r="I188" s="108">
        <v>59</v>
      </c>
      <c r="J188" s="137">
        <f>E188*$U$6</f>
        <v>2.0080000000000001E-6</v>
      </c>
      <c r="K188" s="137">
        <f t="shared" si="9"/>
        <v>5.870861888E-7</v>
      </c>
      <c r="L188" s="137"/>
      <c r="M188" s="137">
        <f t="shared" si="10"/>
        <v>1.7944066560000002E-7</v>
      </c>
      <c r="Q188" s="108">
        <v>54</v>
      </c>
    </row>
    <row r="189" spans="1:17" x14ac:dyDescent="0.15">
      <c r="A189" s="108">
        <v>186</v>
      </c>
      <c r="B189" s="136">
        <v>0.91200000047683716</v>
      </c>
      <c r="C189" s="108">
        <f t="shared" si="8"/>
        <v>56</v>
      </c>
      <c r="D189" s="108" t="s">
        <v>94</v>
      </c>
      <c r="E189" s="108">
        <v>41</v>
      </c>
      <c r="F189" s="108" t="s">
        <v>166</v>
      </c>
      <c r="G189" s="108">
        <v>3136</v>
      </c>
      <c r="H189" s="108">
        <v>0.91200000047683716</v>
      </c>
      <c r="I189" s="108">
        <v>59</v>
      </c>
      <c r="J189" s="137">
        <f>E189*$U$6</f>
        <v>4.1000000000000003E-8</v>
      </c>
      <c r="K189" s="137">
        <f t="shared" si="9"/>
        <v>1.1987317600000002E-8</v>
      </c>
      <c r="L189" s="137">
        <f t="shared" si="11"/>
        <v>2.3256356480000001E-7</v>
      </c>
      <c r="M189" s="137"/>
      <c r="Q189" s="108">
        <v>54</v>
      </c>
    </row>
    <row r="190" spans="1:17" x14ac:dyDescent="0.15">
      <c r="A190" s="108">
        <v>187</v>
      </c>
      <c r="B190" s="136">
        <v>0.91200000047683716</v>
      </c>
      <c r="C190" s="108">
        <f t="shared" si="8"/>
        <v>56</v>
      </c>
      <c r="D190" s="108" t="s">
        <v>93</v>
      </c>
      <c r="E190" s="108">
        <v>1026</v>
      </c>
      <c r="F190" s="108" t="s">
        <v>167</v>
      </c>
      <c r="G190" s="152">
        <v>0.5</v>
      </c>
      <c r="I190" s="108" t="s">
        <v>154</v>
      </c>
      <c r="J190" s="137"/>
      <c r="K190" s="108">
        <f>SUM(K2:K189)</f>
        <v>2.0134689570872008E-3</v>
      </c>
      <c r="L190" s="108">
        <f t="shared" ref="L190:M190" si="12">SUM(L2:L189)</f>
        <v>4.0542132707349296E-4</v>
      </c>
      <c r="M190" s="108">
        <f t="shared" si="12"/>
        <v>3.0548928244709477E-5</v>
      </c>
      <c r="Q190" s="108">
        <v>54</v>
      </c>
    </row>
    <row r="191" spans="1:17" x14ac:dyDescent="0.15">
      <c r="D191" s="108" t="s">
        <v>165</v>
      </c>
      <c r="E191" s="108">
        <f>SUM(E2:E190)</f>
        <v>6937351</v>
      </c>
    </row>
    <row r="192" spans="1:17" x14ac:dyDescent="0.15">
      <c r="N192" s="164" t="s">
        <v>172</v>
      </c>
      <c r="O192" s="164">
        <f>SUM(K190:M190)</f>
        <v>2.449439212405403E-3</v>
      </c>
    </row>
    <row r="193" spans="2:15" x14ac:dyDescent="0.15">
      <c r="N193" s="164"/>
      <c r="O193" s="164"/>
    </row>
    <row r="194" spans="2:15" x14ac:dyDescent="0.15">
      <c r="N194" s="164" t="s">
        <v>174</v>
      </c>
      <c r="O194" s="164">
        <f>SUM('[2]Hoja 1'!L66:Q66)</f>
        <v>2.2116540070513998E-3</v>
      </c>
    </row>
    <row r="195" spans="2:15" x14ac:dyDescent="0.15">
      <c r="F195" s="108" t="s">
        <v>184</v>
      </c>
      <c r="G195" s="108" t="e">
        <f ca="1">+Sumarcolor_fuente(G190,G2:G190)</f>
        <v>#NAME?</v>
      </c>
      <c r="H195" s="108">
        <v>1</v>
      </c>
    </row>
    <row r="196" spans="2:15" x14ac:dyDescent="0.15">
      <c r="B196" s="108" t="s">
        <v>199</v>
      </c>
      <c r="F196" s="108" t="s">
        <v>185</v>
      </c>
      <c r="G196" s="209">
        <f>+'[2]Hoja 1'!F48</f>
        <v>544096.5</v>
      </c>
    </row>
    <row r="197" spans="2:15" x14ac:dyDescent="0.15">
      <c r="B197" s="108">
        <v>54</v>
      </c>
      <c r="C197" s="108">
        <f>COUNTIF(C2:C190,54)</f>
        <v>25</v>
      </c>
      <c r="F197" s="108" t="s">
        <v>82</v>
      </c>
      <c r="G197" s="205" t="e">
        <f ca="1">+Sumarcolor_fuente(G189,G3:G190)</f>
        <v>#NAME?</v>
      </c>
      <c r="H197" s="208" t="e">
        <f ca="1">+G197/G198</f>
        <v>#NAME?</v>
      </c>
    </row>
    <row r="198" spans="2:15" x14ac:dyDescent="0.15">
      <c r="B198" s="108">
        <v>56</v>
      </c>
      <c r="C198" s="108">
        <f>COUNTIF(C2:C190,56)</f>
        <v>160</v>
      </c>
      <c r="F198" s="108" t="s">
        <v>185</v>
      </c>
      <c r="G198" s="108">
        <f>+'[2]Hoja 1'!D48</f>
        <v>2146840</v>
      </c>
    </row>
    <row r="199" spans="2:15" x14ac:dyDescent="0.15">
      <c r="B199" s="108">
        <v>58</v>
      </c>
      <c r="C199" s="108">
        <f>COUNTIF(C2:C190,58)</f>
        <v>4</v>
      </c>
    </row>
    <row r="200" spans="2:15" x14ac:dyDescent="0.15">
      <c r="B200" s="108">
        <v>60</v>
      </c>
      <c r="C200" s="108">
        <f>COUNTIF(C2:C190,60)</f>
        <v>0</v>
      </c>
    </row>
    <row r="203" spans="2:15" x14ac:dyDescent="0.15">
      <c r="F203" s="108">
        <f>SUM(G203:G390)+G2</f>
        <v>544096.5</v>
      </c>
      <c r="G203" s="108">
        <f>G3*MOD(A3,2)</f>
        <v>0</v>
      </c>
    </row>
    <row r="204" spans="2:15" x14ac:dyDescent="0.15">
      <c r="F204" s="108">
        <f>SUM(G2:G190)-F203</f>
        <v>5571887.9375</v>
      </c>
      <c r="G204" s="108">
        <f t="shared" ref="G204:G267" si="13">G4*MOD(A4,2)</f>
        <v>12544</v>
      </c>
    </row>
    <row r="205" spans="2:15" x14ac:dyDescent="0.15">
      <c r="G205" s="108">
        <f t="shared" si="13"/>
        <v>0</v>
      </c>
    </row>
    <row r="206" spans="2:15" x14ac:dyDescent="0.15">
      <c r="G206" s="108">
        <f t="shared" si="13"/>
        <v>25088</v>
      </c>
    </row>
    <row r="207" spans="2:15" x14ac:dyDescent="0.15">
      <c r="G207" s="108">
        <f t="shared" si="13"/>
        <v>0</v>
      </c>
    </row>
    <row r="208" spans="2:15" x14ac:dyDescent="0.15">
      <c r="G208" s="108">
        <f t="shared" si="13"/>
        <v>18816</v>
      </c>
    </row>
    <row r="209" spans="7:7" x14ac:dyDescent="0.15">
      <c r="G209" s="108">
        <f t="shared" si="13"/>
        <v>0</v>
      </c>
    </row>
    <row r="210" spans="7:7" x14ac:dyDescent="0.15">
      <c r="G210" s="108">
        <f t="shared" si="13"/>
        <v>6272</v>
      </c>
    </row>
    <row r="211" spans="7:7" x14ac:dyDescent="0.15">
      <c r="G211" s="108">
        <f t="shared" si="13"/>
        <v>0</v>
      </c>
    </row>
    <row r="212" spans="7:7" x14ac:dyDescent="0.15">
      <c r="G212" s="108">
        <f t="shared" si="13"/>
        <v>25088</v>
      </c>
    </row>
    <row r="213" spans="7:7" x14ac:dyDescent="0.15">
      <c r="G213" s="108">
        <f t="shared" si="13"/>
        <v>0</v>
      </c>
    </row>
    <row r="214" spans="7:7" x14ac:dyDescent="0.15">
      <c r="G214" s="108">
        <f t="shared" si="13"/>
        <v>31360</v>
      </c>
    </row>
    <row r="215" spans="7:7" x14ac:dyDescent="0.15">
      <c r="G215" s="108">
        <f t="shared" si="13"/>
        <v>0</v>
      </c>
    </row>
    <row r="216" spans="7:7" x14ac:dyDescent="0.15">
      <c r="G216" s="108">
        <f t="shared" si="13"/>
        <v>6272</v>
      </c>
    </row>
    <row r="217" spans="7:7" x14ac:dyDescent="0.15">
      <c r="G217" s="108">
        <f t="shared" si="13"/>
        <v>0</v>
      </c>
    </row>
    <row r="218" spans="7:7" x14ac:dyDescent="0.15">
      <c r="G218" s="108">
        <f t="shared" si="13"/>
        <v>25088</v>
      </c>
    </row>
    <row r="219" spans="7:7" x14ac:dyDescent="0.15">
      <c r="G219" s="108">
        <f t="shared" si="13"/>
        <v>0</v>
      </c>
    </row>
    <row r="220" spans="7:7" x14ac:dyDescent="0.15">
      <c r="G220" s="108">
        <f t="shared" si="13"/>
        <v>43904</v>
      </c>
    </row>
    <row r="221" spans="7:7" x14ac:dyDescent="0.15">
      <c r="G221" s="108">
        <f t="shared" si="13"/>
        <v>0</v>
      </c>
    </row>
    <row r="222" spans="7:7" x14ac:dyDescent="0.15">
      <c r="G222" s="108">
        <f t="shared" si="13"/>
        <v>6272</v>
      </c>
    </row>
    <row r="223" spans="7:7" x14ac:dyDescent="0.15">
      <c r="G223" s="108">
        <f t="shared" si="13"/>
        <v>0</v>
      </c>
    </row>
    <row r="224" spans="7:7" x14ac:dyDescent="0.15">
      <c r="G224" s="108">
        <f t="shared" si="13"/>
        <v>25088</v>
      </c>
    </row>
    <row r="225" spans="7:7" x14ac:dyDescent="0.15">
      <c r="G225" s="108">
        <f t="shared" si="13"/>
        <v>0</v>
      </c>
    </row>
    <row r="226" spans="7:7" x14ac:dyDescent="0.15">
      <c r="G226" s="108">
        <f t="shared" si="13"/>
        <v>6272</v>
      </c>
    </row>
    <row r="227" spans="7:7" x14ac:dyDescent="0.15">
      <c r="G227" s="108">
        <f t="shared" si="13"/>
        <v>0</v>
      </c>
    </row>
    <row r="228" spans="7:7" x14ac:dyDescent="0.15">
      <c r="G228" s="108">
        <f t="shared" si="13"/>
        <v>1568</v>
      </c>
    </row>
    <row r="229" spans="7:7" x14ac:dyDescent="0.15">
      <c r="G229" s="108">
        <f t="shared" si="13"/>
        <v>0</v>
      </c>
    </row>
    <row r="230" spans="7:7" x14ac:dyDescent="0.15">
      <c r="G230" s="108">
        <f t="shared" si="13"/>
        <v>6272</v>
      </c>
    </row>
    <row r="231" spans="7:7" x14ac:dyDescent="0.15">
      <c r="G231" s="108">
        <f t="shared" si="13"/>
        <v>0</v>
      </c>
    </row>
    <row r="232" spans="7:7" x14ac:dyDescent="0.15">
      <c r="G232" s="108">
        <f t="shared" si="13"/>
        <v>9408</v>
      </c>
    </row>
    <row r="233" spans="7:7" x14ac:dyDescent="0.15">
      <c r="G233" s="108">
        <f t="shared" si="13"/>
        <v>0</v>
      </c>
    </row>
    <row r="234" spans="7:7" x14ac:dyDescent="0.15">
      <c r="G234" s="108">
        <f t="shared" si="13"/>
        <v>1568</v>
      </c>
    </row>
    <row r="235" spans="7:7" x14ac:dyDescent="0.15">
      <c r="G235" s="108">
        <f t="shared" si="13"/>
        <v>0</v>
      </c>
    </row>
    <row r="236" spans="7:7" x14ac:dyDescent="0.15">
      <c r="G236" s="108">
        <f t="shared" si="13"/>
        <v>6272</v>
      </c>
    </row>
    <row r="237" spans="7:7" x14ac:dyDescent="0.15">
      <c r="G237" s="108">
        <f t="shared" si="13"/>
        <v>0</v>
      </c>
    </row>
    <row r="238" spans="7:7" x14ac:dyDescent="0.15">
      <c r="G238" s="108">
        <f t="shared" si="13"/>
        <v>12544</v>
      </c>
    </row>
    <row r="239" spans="7:7" x14ac:dyDescent="0.15">
      <c r="G239" s="108">
        <f t="shared" si="13"/>
        <v>0</v>
      </c>
    </row>
    <row r="240" spans="7:7" x14ac:dyDescent="0.15">
      <c r="G240" s="108">
        <f t="shared" si="13"/>
        <v>1568</v>
      </c>
    </row>
    <row r="241" spans="7:7" x14ac:dyDescent="0.15">
      <c r="G241" s="108">
        <f t="shared" si="13"/>
        <v>0</v>
      </c>
    </row>
    <row r="242" spans="7:7" x14ac:dyDescent="0.15">
      <c r="G242" s="108">
        <f t="shared" si="13"/>
        <v>6272</v>
      </c>
    </row>
    <row r="243" spans="7:7" x14ac:dyDescent="0.15">
      <c r="G243" s="108">
        <f t="shared" si="13"/>
        <v>0</v>
      </c>
    </row>
    <row r="244" spans="7:7" x14ac:dyDescent="0.15">
      <c r="G244" s="108">
        <f t="shared" si="13"/>
        <v>15680</v>
      </c>
    </row>
    <row r="245" spans="7:7" x14ac:dyDescent="0.15">
      <c r="G245" s="108">
        <f t="shared" si="13"/>
        <v>0</v>
      </c>
    </row>
    <row r="246" spans="7:7" x14ac:dyDescent="0.15">
      <c r="G246" s="108">
        <f t="shared" si="13"/>
        <v>1568</v>
      </c>
    </row>
    <row r="247" spans="7:7" x14ac:dyDescent="0.15">
      <c r="G247" s="108">
        <f t="shared" si="13"/>
        <v>0</v>
      </c>
    </row>
    <row r="248" spans="7:7" x14ac:dyDescent="0.15">
      <c r="G248" s="108">
        <f t="shared" si="13"/>
        <v>6272</v>
      </c>
    </row>
    <row r="249" spans="7:7" x14ac:dyDescent="0.15">
      <c r="G249" s="108">
        <f t="shared" si="13"/>
        <v>0</v>
      </c>
    </row>
    <row r="250" spans="7:7" x14ac:dyDescent="0.15">
      <c r="G250" s="108">
        <f t="shared" si="13"/>
        <v>18816</v>
      </c>
    </row>
    <row r="251" spans="7:7" x14ac:dyDescent="0.15">
      <c r="G251" s="108">
        <f t="shared" si="13"/>
        <v>0</v>
      </c>
    </row>
    <row r="252" spans="7:7" x14ac:dyDescent="0.15">
      <c r="G252" s="108">
        <f t="shared" si="13"/>
        <v>1568</v>
      </c>
    </row>
    <row r="253" spans="7:7" x14ac:dyDescent="0.15">
      <c r="G253" s="108">
        <f t="shared" si="13"/>
        <v>0</v>
      </c>
    </row>
    <row r="254" spans="7:7" x14ac:dyDescent="0.15">
      <c r="G254" s="108">
        <f t="shared" si="13"/>
        <v>6272</v>
      </c>
    </row>
    <row r="255" spans="7:7" x14ac:dyDescent="0.15">
      <c r="G255" s="108">
        <f t="shared" si="13"/>
        <v>0</v>
      </c>
    </row>
    <row r="256" spans="7:7" x14ac:dyDescent="0.15">
      <c r="G256" s="108">
        <f t="shared" si="13"/>
        <v>21952</v>
      </c>
    </row>
    <row r="257" spans="7:7" x14ac:dyDescent="0.15">
      <c r="G257" s="108">
        <f t="shared" si="13"/>
        <v>0</v>
      </c>
    </row>
    <row r="258" spans="7:7" x14ac:dyDescent="0.15">
      <c r="G258" s="108">
        <f t="shared" si="13"/>
        <v>1568</v>
      </c>
    </row>
    <row r="259" spans="7:7" x14ac:dyDescent="0.15">
      <c r="G259" s="108">
        <f t="shared" si="13"/>
        <v>0</v>
      </c>
    </row>
    <row r="260" spans="7:7" x14ac:dyDescent="0.15">
      <c r="G260" s="108">
        <f t="shared" si="13"/>
        <v>6272</v>
      </c>
    </row>
    <row r="261" spans="7:7" x14ac:dyDescent="0.15">
      <c r="G261" s="108">
        <f t="shared" si="13"/>
        <v>0</v>
      </c>
    </row>
    <row r="262" spans="7:7" x14ac:dyDescent="0.15">
      <c r="G262" s="108">
        <f t="shared" si="13"/>
        <v>25088</v>
      </c>
    </row>
    <row r="263" spans="7:7" x14ac:dyDescent="0.15">
      <c r="G263" s="108">
        <f t="shared" si="13"/>
        <v>0</v>
      </c>
    </row>
    <row r="264" spans="7:7" x14ac:dyDescent="0.15">
      <c r="G264" s="108">
        <f t="shared" si="13"/>
        <v>3136</v>
      </c>
    </row>
    <row r="265" spans="7:7" x14ac:dyDescent="0.15">
      <c r="G265" s="108">
        <f t="shared" si="13"/>
        <v>0</v>
      </c>
    </row>
    <row r="266" spans="7:7" x14ac:dyDescent="0.15">
      <c r="G266" s="108">
        <f t="shared" si="13"/>
        <v>1568</v>
      </c>
    </row>
    <row r="267" spans="7:7" x14ac:dyDescent="0.15">
      <c r="G267" s="108">
        <f t="shared" si="13"/>
        <v>0</v>
      </c>
    </row>
    <row r="268" spans="7:7" x14ac:dyDescent="0.15">
      <c r="G268" s="108">
        <f t="shared" ref="G268:G331" si="14">G68*MOD(A68,2)</f>
        <v>3528</v>
      </c>
    </row>
    <row r="269" spans="7:7" x14ac:dyDescent="0.15">
      <c r="G269" s="108">
        <f t="shared" si="14"/>
        <v>0</v>
      </c>
    </row>
    <row r="270" spans="7:7" x14ac:dyDescent="0.15">
      <c r="G270" s="108">
        <f t="shared" si="14"/>
        <v>392</v>
      </c>
    </row>
    <row r="271" spans="7:7" x14ac:dyDescent="0.15">
      <c r="G271" s="108">
        <f t="shared" si="14"/>
        <v>0</v>
      </c>
    </row>
    <row r="272" spans="7:7" x14ac:dyDescent="0.15">
      <c r="G272" s="108">
        <f t="shared" si="14"/>
        <v>1568</v>
      </c>
    </row>
    <row r="273" spans="7:7" x14ac:dyDescent="0.15">
      <c r="G273" s="108">
        <f t="shared" si="14"/>
        <v>0</v>
      </c>
    </row>
    <row r="274" spans="7:7" x14ac:dyDescent="0.15">
      <c r="G274" s="108">
        <f t="shared" si="14"/>
        <v>4312</v>
      </c>
    </row>
    <row r="275" spans="7:7" x14ac:dyDescent="0.15">
      <c r="G275" s="108">
        <f t="shared" si="14"/>
        <v>0</v>
      </c>
    </row>
    <row r="276" spans="7:7" x14ac:dyDescent="0.15">
      <c r="G276" s="108">
        <f t="shared" si="14"/>
        <v>392</v>
      </c>
    </row>
    <row r="277" spans="7:7" x14ac:dyDescent="0.15">
      <c r="G277" s="108">
        <f t="shared" si="14"/>
        <v>0</v>
      </c>
    </row>
    <row r="278" spans="7:7" x14ac:dyDescent="0.15">
      <c r="G278" s="108">
        <f t="shared" si="14"/>
        <v>1568</v>
      </c>
    </row>
    <row r="279" spans="7:7" x14ac:dyDescent="0.15">
      <c r="G279" s="108">
        <f t="shared" si="14"/>
        <v>0</v>
      </c>
    </row>
    <row r="280" spans="7:7" x14ac:dyDescent="0.15">
      <c r="G280" s="108">
        <f t="shared" si="14"/>
        <v>5096</v>
      </c>
    </row>
    <row r="281" spans="7:7" x14ac:dyDescent="0.15">
      <c r="G281" s="108">
        <f t="shared" si="14"/>
        <v>0</v>
      </c>
    </row>
    <row r="282" spans="7:7" x14ac:dyDescent="0.15">
      <c r="G282" s="108">
        <f t="shared" si="14"/>
        <v>392</v>
      </c>
    </row>
    <row r="283" spans="7:7" x14ac:dyDescent="0.15">
      <c r="G283" s="108">
        <f t="shared" si="14"/>
        <v>0</v>
      </c>
    </row>
    <row r="284" spans="7:7" x14ac:dyDescent="0.15">
      <c r="G284" s="108">
        <f t="shared" si="14"/>
        <v>1568</v>
      </c>
    </row>
    <row r="285" spans="7:7" x14ac:dyDescent="0.15">
      <c r="G285" s="108">
        <f t="shared" si="14"/>
        <v>0</v>
      </c>
    </row>
    <row r="286" spans="7:7" x14ac:dyDescent="0.15">
      <c r="G286" s="108">
        <f t="shared" si="14"/>
        <v>5880</v>
      </c>
    </row>
    <row r="287" spans="7:7" x14ac:dyDescent="0.15">
      <c r="G287" s="108">
        <f t="shared" si="14"/>
        <v>0</v>
      </c>
    </row>
    <row r="288" spans="7:7" x14ac:dyDescent="0.15">
      <c r="G288" s="108">
        <f t="shared" si="14"/>
        <v>392</v>
      </c>
    </row>
    <row r="289" spans="7:7" x14ac:dyDescent="0.15">
      <c r="G289" s="108">
        <f t="shared" si="14"/>
        <v>0</v>
      </c>
    </row>
    <row r="290" spans="7:7" x14ac:dyDescent="0.15">
      <c r="G290" s="108">
        <f t="shared" si="14"/>
        <v>1568</v>
      </c>
    </row>
    <row r="291" spans="7:7" x14ac:dyDescent="0.15">
      <c r="G291" s="108">
        <f t="shared" si="14"/>
        <v>0</v>
      </c>
    </row>
    <row r="292" spans="7:7" x14ac:dyDescent="0.15">
      <c r="G292" s="108">
        <f t="shared" si="14"/>
        <v>6664</v>
      </c>
    </row>
    <row r="293" spans="7:7" x14ac:dyDescent="0.15">
      <c r="G293" s="108">
        <f t="shared" si="14"/>
        <v>0</v>
      </c>
    </row>
    <row r="294" spans="7:7" x14ac:dyDescent="0.15">
      <c r="G294" s="108">
        <f t="shared" si="14"/>
        <v>392</v>
      </c>
    </row>
    <row r="295" spans="7:7" x14ac:dyDescent="0.15">
      <c r="G295" s="108">
        <f t="shared" si="14"/>
        <v>0</v>
      </c>
    </row>
    <row r="296" spans="7:7" x14ac:dyDescent="0.15">
      <c r="G296" s="108">
        <f t="shared" si="14"/>
        <v>1568</v>
      </c>
    </row>
    <row r="297" spans="7:7" x14ac:dyDescent="0.15">
      <c r="G297" s="108">
        <f t="shared" si="14"/>
        <v>0</v>
      </c>
    </row>
    <row r="298" spans="7:7" x14ac:dyDescent="0.15">
      <c r="G298" s="108">
        <f t="shared" si="14"/>
        <v>7448</v>
      </c>
    </row>
    <row r="299" spans="7:7" x14ac:dyDescent="0.15">
      <c r="G299" s="108">
        <f t="shared" si="14"/>
        <v>0</v>
      </c>
    </row>
    <row r="300" spans="7:7" x14ac:dyDescent="0.15">
      <c r="G300" s="108">
        <f t="shared" si="14"/>
        <v>392</v>
      </c>
    </row>
    <row r="301" spans="7:7" x14ac:dyDescent="0.15">
      <c r="G301" s="108">
        <f t="shared" si="14"/>
        <v>0</v>
      </c>
    </row>
    <row r="302" spans="7:7" x14ac:dyDescent="0.15">
      <c r="G302" s="108">
        <f t="shared" si="14"/>
        <v>1568</v>
      </c>
    </row>
    <row r="303" spans="7:7" x14ac:dyDescent="0.15">
      <c r="G303" s="108">
        <f t="shared" si="14"/>
        <v>0</v>
      </c>
    </row>
    <row r="304" spans="7:7" x14ac:dyDescent="0.15">
      <c r="G304" s="108">
        <f t="shared" si="14"/>
        <v>8232</v>
      </c>
    </row>
    <row r="305" spans="7:7" x14ac:dyDescent="0.15">
      <c r="G305" s="108">
        <f t="shared" si="14"/>
        <v>0</v>
      </c>
    </row>
    <row r="306" spans="7:7" x14ac:dyDescent="0.15">
      <c r="G306" s="108">
        <f t="shared" si="14"/>
        <v>392</v>
      </c>
    </row>
    <row r="307" spans="7:7" x14ac:dyDescent="0.15">
      <c r="G307" s="108">
        <f t="shared" si="14"/>
        <v>0</v>
      </c>
    </row>
    <row r="308" spans="7:7" x14ac:dyDescent="0.15">
      <c r="G308" s="108">
        <f t="shared" si="14"/>
        <v>1568</v>
      </c>
    </row>
    <row r="309" spans="7:7" x14ac:dyDescent="0.15">
      <c r="G309" s="108">
        <f t="shared" si="14"/>
        <v>0</v>
      </c>
    </row>
    <row r="310" spans="7:7" x14ac:dyDescent="0.15">
      <c r="G310" s="108">
        <f t="shared" si="14"/>
        <v>9016</v>
      </c>
    </row>
    <row r="311" spans="7:7" x14ac:dyDescent="0.15">
      <c r="G311" s="108">
        <f t="shared" si="14"/>
        <v>0</v>
      </c>
    </row>
    <row r="312" spans="7:7" x14ac:dyDescent="0.15">
      <c r="G312" s="108">
        <f t="shared" si="14"/>
        <v>392</v>
      </c>
    </row>
    <row r="313" spans="7:7" x14ac:dyDescent="0.15">
      <c r="G313" s="108">
        <f t="shared" si="14"/>
        <v>0</v>
      </c>
    </row>
    <row r="314" spans="7:7" x14ac:dyDescent="0.15">
      <c r="G314" s="108">
        <f t="shared" si="14"/>
        <v>1568</v>
      </c>
    </row>
    <row r="315" spans="7:7" x14ac:dyDescent="0.15">
      <c r="G315" s="108">
        <f t="shared" si="14"/>
        <v>0</v>
      </c>
    </row>
    <row r="316" spans="7:7" x14ac:dyDescent="0.15">
      <c r="G316" s="108">
        <f t="shared" si="14"/>
        <v>9800</v>
      </c>
    </row>
    <row r="317" spans="7:7" x14ac:dyDescent="0.15">
      <c r="G317" s="108">
        <f t="shared" si="14"/>
        <v>0</v>
      </c>
    </row>
    <row r="318" spans="7:7" x14ac:dyDescent="0.15">
      <c r="G318" s="108">
        <f t="shared" si="14"/>
        <v>392</v>
      </c>
    </row>
    <row r="319" spans="7:7" x14ac:dyDescent="0.15">
      <c r="G319" s="108">
        <f t="shared" si="14"/>
        <v>0</v>
      </c>
    </row>
    <row r="320" spans="7:7" x14ac:dyDescent="0.15">
      <c r="G320" s="108">
        <f t="shared" si="14"/>
        <v>1568</v>
      </c>
    </row>
    <row r="321" spans="7:7" x14ac:dyDescent="0.15">
      <c r="G321" s="108">
        <f t="shared" si="14"/>
        <v>0</v>
      </c>
    </row>
    <row r="322" spans="7:7" x14ac:dyDescent="0.15">
      <c r="G322" s="108">
        <f t="shared" si="14"/>
        <v>10584</v>
      </c>
    </row>
    <row r="323" spans="7:7" x14ac:dyDescent="0.15">
      <c r="G323" s="108">
        <f t="shared" si="14"/>
        <v>0</v>
      </c>
    </row>
    <row r="324" spans="7:7" x14ac:dyDescent="0.15">
      <c r="G324" s="108">
        <f t="shared" si="14"/>
        <v>392</v>
      </c>
    </row>
    <row r="325" spans="7:7" x14ac:dyDescent="0.15">
      <c r="G325" s="108">
        <f t="shared" si="14"/>
        <v>0</v>
      </c>
    </row>
    <row r="326" spans="7:7" x14ac:dyDescent="0.15">
      <c r="G326" s="108">
        <f t="shared" si="14"/>
        <v>1568</v>
      </c>
    </row>
    <row r="327" spans="7:7" x14ac:dyDescent="0.15">
      <c r="G327" s="108">
        <f t="shared" si="14"/>
        <v>0</v>
      </c>
    </row>
    <row r="328" spans="7:7" x14ac:dyDescent="0.15">
      <c r="G328" s="108">
        <f t="shared" si="14"/>
        <v>11368</v>
      </c>
    </row>
    <row r="329" spans="7:7" x14ac:dyDescent="0.15">
      <c r="G329" s="108">
        <f t="shared" si="14"/>
        <v>0</v>
      </c>
    </row>
    <row r="330" spans="7:7" x14ac:dyDescent="0.15">
      <c r="G330" s="108">
        <f t="shared" si="14"/>
        <v>392</v>
      </c>
    </row>
    <row r="331" spans="7:7" x14ac:dyDescent="0.15">
      <c r="G331" s="108">
        <f t="shared" si="14"/>
        <v>0</v>
      </c>
    </row>
    <row r="332" spans="7:7" x14ac:dyDescent="0.15">
      <c r="G332" s="108">
        <f t="shared" ref="G332:G341" si="15">G132*MOD(A132,2)</f>
        <v>1568</v>
      </c>
    </row>
    <row r="333" spans="7:7" x14ac:dyDescent="0.15">
      <c r="G333" s="108">
        <f t="shared" si="15"/>
        <v>0</v>
      </c>
    </row>
    <row r="334" spans="7:7" x14ac:dyDescent="0.15">
      <c r="G334" s="108">
        <f t="shared" si="15"/>
        <v>12152</v>
      </c>
    </row>
    <row r="335" spans="7:7" x14ac:dyDescent="0.15">
      <c r="G335" s="108">
        <f t="shared" si="15"/>
        <v>0</v>
      </c>
    </row>
    <row r="336" spans="7:7" x14ac:dyDescent="0.15">
      <c r="G336" s="108">
        <f t="shared" si="15"/>
        <v>392</v>
      </c>
    </row>
    <row r="337" spans="7:7" x14ac:dyDescent="0.15">
      <c r="G337" s="108">
        <f t="shared" si="15"/>
        <v>0</v>
      </c>
    </row>
    <row r="338" spans="7:7" x14ac:dyDescent="0.15">
      <c r="G338" s="108">
        <f t="shared" si="15"/>
        <v>6272</v>
      </c>
    </row>
    <row r="339" spans="7:7" x14ac:dyDescent="0.15">
      <c r="G339" s="108">
        <f t="shared" si="15"/>
        <v>0</v>
      </c>
    </row>
    <row r="340" spans="7:7" x14ac:dyDescent="0.15">
      <c r="G340" s="108">
        <f t="shared" si="15"/>
        <v>1568</v>
      </c>
    </row>
    <row r="341" spans="7:7" x14ac:dyDescent="0.15">
      <c r="G341" s="108">
        <f t="shared" si="15"/>
        <v>0</v>
      </c>
    </row>
    <row r="342" spans="7:7" x14ac:dyDescent="0.15">
      <c r="G342" s="108">
        <f>G142*MOD(A142,2)</f>
        <v>98</v>
      </c>
    </row>
    <row r="343" spans="7:7" x14ac:dyDescent="0.15">
      <c r="G343" s="108">
        <f t="shared" ref="G343:G356" si="16">G143*MOD(A143,2)</f>
        <v>0</v>
      </c>
    </row>
    <row r="344" spans="7:7" x14ac:dyDescent="0.15">
      <c r="G344" s="108">
        <f t="shared" si="16"/>
        <v>392</v>
      </c>
    </row>
    <row r="345" spans="7:7" x14ac:dyDescent="0.15">
      <c r="G345" s="108">
        <f t="shared" si="16"/>
        <v>0</v>
      </c>
    </row>
    <row r="346" spans="7:7" x14ac:dyDescent="0.15">
      <c r="G346" s="108">
        <f t="shared" si="16"/>
        <v>1764</v>
      </c>
    </row>
    <row r="347" spans="7:7" x14ac:dyDescent="0.15">
      <c r="G347" s="108">
        <f t="shared" si="16"/>
        <v>0</v>
      </c>
    </row>
    <row r="348" spans="7:7" x14ac:dyDescent="0.15">
      <c r="G348" s="108">
        <f t="shared" si="16"/>
        <v>98</v>
      </c>
    </row>
    <row r="349" spans="7:7" x14ac:dyDescent="0.15">
      <c r="G349" s="108">
        <f t="shared" si="16"/>
        <v>0</v>
      </c>
    </row>
    <row r="350" spans="7:7" x14ac:dyDescent="0.15">
      <c r="G350" s="108">
        <f t="shared" si="16"/>
        <v>392</v>
      </c>
    </row>
    <row r="351" spans="7:7" x14ac:dyDescent="0.15">
      <c r="G351" s="108">
        <f t="shared" si="16"/>
        <v>0</v>
      </c>
    </row>
    <row r="352" spans="7:7" x14ac:dyDescent="0.15">
      <c r="G352" s="108">
        <f t="shared" si="16"/>
        <v>1960</v>
      </c>
    </row>
    <row r="353" spans="7:7" x14ac:dyDescent="0.15">
      <c r="G353" s="108">
        <f t="shared" si="16"/>
        <v>0</v>
      </c>
    </row>
    <row r="354" spans="7:7" x14ac:dyDescent="0.15">
      <c r="G354" s="108">
        <f t="shared" si="16"/>
        <v>98</v>
      </c>
    </row>
    <row r="355" spans="7:7" x14ac:dyDescent="0.15">
      <c r="G355" s="108">
        <f t="shared" si="16"/>
        <v>0</v>
      </c>
    </row>
    <row r="356" spans="7:7" x14ac:dyDescent="0.15">
      <c r="G356" s="108">
        <f t="shared" si="16"/>
        <v>392</v>
      </c>
    </row>
    <row r="357" spans="7:7" x14ac:dyDescent="0.15">
      <c r="G357" s="108">
        <f>G157*MOD(A157,2)</f>
        <v>0</v>
      </c>
    </row>
    <row r="358" spans="7:7" x14ac:dyDescent="0.15">
      <c r="G358" s="108">
        <f t="shared" ref="G358:G373" si="17">G158*MOD(A158,2)</f>
        <v>2156</v>
      </c>
    </row>
    <row r="359" spans="7:7" x14ac:dyDescent="0.15">
      <c r="G359" s="108">
        <f t="shared" si="17"/>
        <v>0</v>
      </c>
    </row>
    <row r="360" spans="7:7" x14ac:dyDescent="0.15">
      <c r="G360" s="108">
        <f t="shared" si="17"/>
        <v>98</v>
      </c>
    </row>
    <row r="361" spans="7:7" x14ac:dyDescent="0.15">
      <c r="G361" s="108">
        <f t="shared" si="17"/>
        <v>0</v>
      </c>
    </row>
    <row r="362" spans="7:7" x14ac:dyDescent="0.15">
      <c r="G362" s="108">
        <f t="shared" si="17"/>
        <v>392</v>
      </c>
    </row>
    <row r="363" spans="7:7" x14ac:dyDescent="0.15">
      <c r="G363" s="108">
        <f t="shared" si="17"/>
        <v>0</v>
      </c>
    </row>
    <row r="364" spans="7:7" x14ac:dyDescent="0.15">
      <c r="G364" s="108">
        <f t="shared" si="17"/>
        <v>2352</v>
      </c>
    </row>
    <row r="365" spans="7:7" x14ac:dyDescent="0.15">
      <c r="G365" s="108">
        <f t="shared" si="17"/>
        <v>0</v>
      </c>
    </row>
    <row r="366" spans="7:7" x14ac:dyDescent="0.15">
      <c r="G366" s="108">
        <f t="shared" si="17"/>
        <v>98</v>
      </c>
    </row>
    <row r="367" spans="7:7" x14ac:dyDescent="0.15">
      <c r="G367" s="108">
        <f t="shared" si="17"/>
        <v>0</v>
      </c>
    </row>
    <row r="368" spans="7:7" x14ac:dyDescent="0.15">
      <c r="G368" s="108">
        <f t="shared" si="17"/>
        <v>392</v>
      </c>
    </row>
    <row r="369" spans="7:7" x14ac:dyDescent="0.15">
      <c r="G369" s="108">
        <f t="shared" si="17"/>
        <v>0</v>
      </c>
    </row>
    <row r="370" spans="7:7" x14ac:dyDescent="0.15">
      <c r="G370" s="108">
        <f t="shared" si="17"/>
        <v>2548</v>
      </c>
    </row>
    <row r="371" spans="7:7" x14ac:dyDescent="0.15">
      <c r="G371" s="108">
        <f t="shared" si="17"/>
        <v>0</v>
      </c>
    </row>
    <row r="372" spans="7:7" x14ac:dyDescent="0.15">
      <c r="G372" s="108">
        <f t="shared" si="17"/>
        <v>98</v>
      </c>
    </row>
    <row r="373" spans="7:7" x14ac:dyDescent="0.15">
      <c r="G373" s="108">
        <f t="shared" si="17"/>
        <v>0</v>
      </c>
    </row>
    <row r="374" spans="7:7" x14ac:dyDescent="0.15">
      <c r="G374" s="108">
        <f>G174*MOD(A174,2)</f>
        <v>392</v>
      </c>
    </row>
    <row r="375" spans="7:7" x14ac:dyDescent="0.15">
      <c r="G375" s="108">
        <f t="shared" ref="G375:G390" si="18">G175*MOD(A175,2)</f>
        <v>0</v>
      </c>
    </row>
    <row r="376" spans="7:7" x14ac:dyDescent="0.15">
      <c r="G376" s="108">
        <f t="shared" si="18"/>
        <v>2744</v>
      </c>
    </row>
    <row r="377" spans="7:7" x14ac:dyDescent="0.15">
      <c r="G377" s="108">
        <f t="shared" si="18"/>
        <v>0</v>
      </c>
    </row>
    <row r="378" spans="7:7" x14ac:dyDescent="0.15">
      <c r="G378" s="108">
        <f t="shared" si="18"/>
        <v>98</v>
      </c>
    </row>
    <row r="379" spans="7:7" x14ac:dyDescent="0.15">
      <c r="G379" s="108">
        <f t="shared" si="18"/>
        <v>0</v>
      </c>
    </row>
    <row r="380" spans="7:7" x14ac:dyDescent="0.15">
      <c r="G380" s="108">
        <f t="shared" si="18"/>
        <v>392</v>
      </c>
    </row>
    <row r="381" spans="7:7" x14ac:dyDescent="0.15">
      <c r="G381" s="108">
        <f t="shared" si="18"/>
        <v>0</v>
      </c>
    </row>
    <row r="382" spans="7:7" x14ac:dyDescent="0.15">
      <c r="G382" s="108">
        <f t="shared" si="18"/>
        <v>2940</v>
      </c>
    </row>
    <row r="383" spans="7:7" x14ac:dyDescent="0.15">
      <c r="G383" s="108">
        <f t="shared" si="18"/>
        <v>0</v>
      </c>
    </row>
    <row r="384" spans="7:7" x14ac:dyDescent="0.15">
      <c r="G384" s="108">
        <f t="shared" si="18"/>
        <v>98</v>
      </c>
    </row>
    <row r="385" spans="7:7" x14ac:dyDescent="0.15">
      <c r="G385" s="108">
        <f t="shared" si="18"/>
        <v>0</v>
      </c>
    </row>
    <row r="386" spans="7:7" x14ac:dyDescent="0.15">
      <c r="G386" s="108">
        <f t="shared" si="18"/>
        <v>392</v>
      </c>
    </row>
    <row r="387" spans="7:7" x14ac:dyDescent="0.15">
      <c r="G387" s="108">
        <f t="shared" si="18"/>
        <v>0</v>
      </c>
    </row>
    <row r="388" spans="7:7" x14ac:dyDescent="0.15">
      <c r="G388" s="108">
        <f t="shared" si="18"/>
        <v>3136</v>
      </c>
    </row>
    <row r="389" spans="7:7" x14ac:dyDescent="0.15">
      <c r="G389" s="108">
        <f t="shared" si="18"/>
        <v>0</v>
      </c>
    </row>
    <row r="390" spans="7:7" x14ac:dyDescent="0.15">
      <c r="G390" s="108">
        <f t="shared" si="18"/>
        <v>0.5</v>
      </c>
    </row>
  </sheetData>
  <autoFilter ref="F1:F198" xr:uid="{16E0B89F-0586-7943-B830-8E5AE0D19B8A}"/>
  <conditionalFormatting sqref="C1 E1:F1 G2">
    <cfRule type="containsText" dxfId="9" priority="3" operator="containsText" text="write">
      <formula>NOT(ISERROR(SEARCH("write",C1)))</formula>
    </cfRule>
    <cfRule type="containsText" dxfId="8" priority="4" operator="containsText" text="write">
      <formula>NOT(ISERROR(SEARCH("write",C1)))</formula>
    </cfRule>
  </conditionalFormatting>
  <conditionalFormatting sqref="F2 F4 F8 F10 F12 F14 F16 F18 F20 F22 F26 F29 F32 F34 F36 F38 F40 F42 F44 F46">
    <cfRule type="containsText" dxfId="7" priority="2" stopIfTrue="1" operator="containsText" text="write">
      <formula>NOT(ISERROR(SEARCH("write",F2)))</formula>
    </cfRule>
  </conditionalFormatting>
  <conditionalFormatting sqref="F1:F65536">
    <cfRule type="containsText" dxfId="6" priority="1" stopIfTrue="1" operator="containsText" text="write">
      <formula>NOT(ISERROR(SEARCH("write",F1)))</formula>
    </cfRule>
  </conditionalFormatting>
  <pageMargins left="0.7" right="0.7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BDC6-7023-1444-AE7D-66FA8A678F9E}">
  <sheetPr codeName="Hoja19"/>
  <dimension ref="A1:Z66"/>
  <sheetViews>
    <sheetView workbookViewId="0">
      <selection activeCell="C66" sqref="C64:C66"/>
    </sheetView>
  </sheetViews>
  <sheetFormatPr baseColWidth="10" defaultRowHeight="13" x14ac:dyDescent="0.15"/>
  <cols>
    <col min="1" max="2" width="10.83203125" style="108"/>
    <col min="3" max="3" width="8.6640625" style="108" customWidth="1"/>
    <col min="4" max="4" width="20.5" style="221" bestFit="1" customWidth="1"/>
    <col min="5" max="5" width="10.83203125" style="221"/>
    <col min="6" max="6" width="21.33203125" style="108" bestFit="1" customWidth="1"/>
    <col min="7" max="7" width="15.5" style="108" bestFit="1" customWidth="1"/>
    <col min="8" max="8" width="10.83203125" style="108"/>
    <col min="9" max="11" width="12.33203125" style="108" bestFit="1" customWidth="1"/>
    <col min="12" max="19" width="10.83203125" style="108"/>
    <col min="20" max="25" width="14.33203125" style="108" customWidth="1"/>
    <col min="26" max="16384" width="10.83203125" style="108"/>
  </cols>
  <sheetData>
    <row r="1" spans="1:26" ht="15" x14ac:dyDescent="0.15">
      <c r="A1" s="207" t="s">
        <v>134</v>
      </c>
      <c r="B1" s="207" t="s">
        <v>135</v>
      </c>
      <c r="C1" s="212" t="s">
        <v>136</v>
      </c>
      <c r="D1" s="220" t="s">
        <v>87</v>
      </c>
      <c r="E1" s="220" t="s">
        <v>137</v>
      </c>
      <c r="F1" s="211" t="s">
        <v>188</v>
      </c>
      <c r="G1" s="207" t="s">
        <v>187</v>
      </c>
      <c r="H1" s="222" t="s">
        <v>151</v>
      </c>
      <c r="I1" s="222" t="s">
        <v>152</v>
      </c>
      <c r="J1" s="222" t="s">
        <v>82</v>
      </c>
      <c r="K1" s="222" t="s">
        <v>83</v>
      </c>
      <c r="Q1" s="108" t="s">
        <v>177</v>
      </c>
      <c r="R1" s="108" t="s">
        <v>178</v>
      </c>
      <c r="T1" s="140"/>
      <c r="U1" s="140"/>
      <c r="V1" s="140"/>
      <c r="W1" s="140"/>
      <c r="X1" s="140"/>
      <c r="Y1" s="140"/>
    </row>
    <row r="2" spans="1:26" x14ac:dyDescent="0.15">
      <c r="C2" s="108">
        <f>_xlfn.SWITCH(Q2,60,60,59,60,58,60,57,58,56,58,55,56,54,IF(B2&gt;$R$2,54,56))</f>
        <v>60</v>
      </c>
      <c r="D2" s="221" t="s">
        <v>157</v>
      </c>
      <c r="E2" s="221">
        <v>14400</v>
      </c>
      <c r="F2" s="108" t="s">
        <v>157</v>
      </c>
      <c r="G2" s="108">
        <v>4218.75</v>
      </c>
      <c r="H2" s="108">
        <f>E2*$U$6</f>
        <v>1.4400000000000001E-5</v>
      </c>
      <c r="I2" s="108">
        <f>_xlfn.SWITCH(C2+$U$2,54,$Z$10,55,$Y$10,56,$X$10,57,$W$10,58,$V$10,59,$U$10,$U$17)*H2</f>
        <v>4.5353203199999996E-6</v>
      </c>
      <c r="K2" s="108">
        <f>_xlfn.SWITCH(C2+$U$2,54,$Z$12,55,$Y$12,56,$X$12,57,$W$12,58,$V$12,59,$U$12,$U$19)*G2*$U$6</f>
        <v>2.8019376562500001E-7</v>
      </c>
      <c r="Q2" s="108">
        <v>60</v>
      </c>
      <c r="R2">
        <v>0.8119999</v>
      </c>
      <c r="T2" s="108" t="s">
        <v>171</v>
      </c>
      <c r="U2" s="108">
        <v>1</v>
      </c>
    </row>
    <row r="3" spans="1:26" x14ac:dyDescent="0.15">
      <c r="C3" s="108">
        <f t="shared" ref="C3:C58" si="0">_xlfn.SWITCH(Q3,60,60,59,60,58,60,57,58,56,58,55,56,54,IF(B3&gt;$R$2,54,56))</f>
        <v>60</v>
      </c>
      <c r="D3" s="221" t="s">
        <v>161</v>
      </c>
      <c r="E3" s="221">
        <v>99277</v>
      </c>
      <c r="F3" s="108" t="s">
        <v>161</v>
      </c>
      <c r="G3" s="108">
        <v>22500</v>
      </c>
      <c r="H3" s="108">
        <f t="shared" ref="H3:H58" si="1">E3*$U$6</f>
        <v>9.9277000000000005E-5</v>
      </c>
      <c r="I3" s="108">
        <f t="shared" ref="I3:I58" si="2">_xlfn.SWITCH(C3+$U$2,54,$Z$10,55,$Y$10,56,$X$10,57,$W$10,58,$V$10,59,$U$10,$U$17)*H3</f>
        <v>3.1267569125599997E-5</v>
      </c>
      <c r="K3" s="108">
        <f t="shared" ref="K3:K58" si="3">_xlfn.SWITCH(C3+$U$2,54,$Z$12,55,$Y$12,56,$X$12,57,$W$12,58,$V$12,59,$U$12,$U$19)*G3*$U$6</f>
        <v>1.4943667499999999E-6</v>
      </c>
      <c r="Q3" s="108">
        <v>60</v>
      </c>
    </row>
    <row r="4" spans="1:26" x14ac:dyDescent="0.15">
      <c r="A4" s="108">
        <v>0</v>
      </c>
      <c r="B4" s="108">
        <v>0.81199997663497925</v>
      </c>
      <c r="C4" s="108">
        <f t="shared" si="0"/>
        <v>54</v>
      </c>
      <c r="D4" s="221" t="s">
        <v>169</v>
      </c>
      <c r="E4" s="221">
        <v>3505</v>
      </c>
      <c r="F4" s="108" t="s">
        <v>169</v>
      </c>
      <c r="G4" s="108">
        <v>22500</v>
      </c>
      <c r="H4" s="108">
        <f t="shared" si="1"/>
        <v>3.5050000000000003E-6</v>
      </c>
      <c r="I4" s="108">
        <f t="shared" si="2"/>
        <v>9.7200940399999999E-7</v>
      </c>
      <c r="J4" s="108">
        <f>_xlfn.SWITCH(C4+$U$2,54,$Z$11,55,$Y$11,56,$X$11,57,$W$11,58,$V$11,59,$U$11,$U$18)*G4*$U$6</f>
        <v>1.5240427499925E-6</v>
      </c>
      <c r="Q4" s="108">
        <v>54</v>
      </c>
    </row>
    <row r="5" spans="1:26" x14ac:dyDescent="0.15">
      <c r="A5" s="108">
        <v>1</v>
      </c>
      <c r="B5" s="108">
        <v>0.81199997663497925</v>
      </c>
      <c r="C5" s="108">
        <f t="shared" si="0"/>
        <v>54</v>
      </c>
      <c r="D5" s="221" t="s">
        <v>161</v>
      </c>
      <c r="E5" s="221">
        <v>10612</v>
      </c>
      <c r="F5" s="108" t="s">
        <v>161</v>
      </c>
      <c r="G5" s="108">
        <v>5476</v>
      </c>
      <c r="H5" s="108">
        <f t="shared" si="1"/>
        <v>1.0612000000000001E-5</v>
      </c>
      <c r="I5" s="108">
        <f t="shared" si="2"/>
        <v>2.9429283296E-6</v>
      </c>
      <c r="K5" s="108">
        <f t="shared" si="3"/>
        <v>2.7976044346849205E-7</v>
      </c>
      <c r="Q5" s="108">
        <v>54</v>
      </c>
      <c r="T5" s="108" t="s">
        <v>57</v>
      </c>
      <c r="U5" s="108">
        <v>1</v>
      </c>
      <c r="V5" s="108" t="s">
        <v>58</v>
      </c>
    </row>
    <row r="6" spans="1:26" x14ac:dyDescent="0.15">
      <c r="A6" s="108">
        <v>2</v>
      </c>
      <c r="B6" s="108">
        <v>0.81199997663497925</v>
      </c>
      <c r="C6" s="108">
        <f t="shared" si="0"/>
        <v>54</v>
      </c>
      <c r="D6" s="221" t="s">
        <v>158</v>
      </c>
      <c r="E6" s="221">
        <v>95092</v>
      </c>
      <c r="F6" s="108" t="s">
        <v>158</v>
      </c>
      <c r="G6" s="108">
        <v>37760</v>
      </c>
      <c r="H6" s="108">
        <f t="shared" si="1"/>
        <v>9.5092000000000004E-5</v>
      </c>
      <c r="I6" s="108">
        <f t="shared" si="2"/>
        <v>2.6370989513599998E-5</v>
      </c>
      <c r="J6" s="108">
        <f t="shared" ref="J5:J58" si="4">_xlfn.SWITCH(C6+$U$2,54,$Z$11,55,$Y$11,56,$X$11,57,$W$11,58,$V$11,59,$U$11,$U$18)*G6*$U$6</f>
        <v>2.5576824106540801E-6</v>
      </c>
      <c r="Q6" s="108">
        <v>54</v>
      </c>
      <c r="U6" s="196">
        <f>U5/1000000000</f>
        <v>1.0000000000000001E-9</v>
      </c>
      <c r="V6" s="108" t="s">
        <v>153</v>
      </c>
    </row>
    <row r="7" spans="1:26" x14ac:dyDescent="0.15">
      <c r="A7" s="108">
        <v>3</v>
      </c>
      <c r="B7" s="108">
        <v>0.81199997663497925</v>
      </c>
      <c r="C7" s="108">
        <f t="shared" si="0"/>
        <v>54</v>
      </c>
      <c r="D7" s="221" t="s">
        <v>161</v>
      </c>
      <c r="E7" s="221">
        <v>38772</v>
      </c>
      <c r="F7" s="108" t="s">
        <v>161</v>
      </c>
      <c r="G7" s="108">
        <v>21904</v>
      </c>
      <c r="H7" s="108">
        <f t="shared" si="1"/>
        <v>3.8772000000000001E-5</v>
      </c>
      <c r="I7" s="108">
        <f t="shared" si="2"/>
        <v>1.07522820576E-5</v>
      </c>
      <c r="K7" s="108">
        <f t="shared" si="3"/>
        <v>1.1190417738739682E-6</v>
      </c>
      <c r="Q7" s="108">
        <v>54</v>
      </c>
    </row>
    <row r="8" spans="1:26" x14ac:dyDescent="0.15">
      <c r="A8" s="108">
        <v>4</v>
      </c>
      <c r="B8" s="108">
        <v>0.81199997663497925</v>
      </c>
      <c r="C8" s="108">
        <f t="shared" si="0"/>
        <v>54</v>
      </c>
      <c r="D8" s="221" t="s">
        <v>158</v>
      </c>
      <c r="E8" s="221">
        <v>38772</v>
      </c>
      <c r="F8" s="108" t="s">
        <v>158</v>
      </c>
      <c r="G8" s="108">
        <v>104640</v>
      </c>
      <c r="H8" s="108">
        <f t="shared" si="1"/>
        <v>3.8772000000000001E-5</v>
      </c>
      <c r="I8" s="108">
        <f t="shared" si="2"/>
        <v>1.07522820576E-5</v>
      </c>
      <c r="J8" s="108">
        <f t="shared" si="4"/>
        <v>7.0878148159651197E-6</v>
      </c>
      <c r="Q8" s="108">
        <v>54</v>
      </c>
    </row>
    <row r="9" spans="1:26" ht="14" x14ac:dyDescent="0.15">
      <c r="A9" s="108">
        <v>5</v>
      </c>
      <c r="B9" s="108">
        <v>0.81199997663497925</v>
      </c>
      <c r="C9" s="108">
        <f t="shared" si="0"/>
        <v>54</v>
      </c>
      <c r="D9" s="221" t="s">
        <v>161</v>
      </c>
      <c r="E9" s="221">
        <v>42292</v>
      </c>
      <c r="F9" s="108" t="s">
        <v>161</v>
      </c>
      <c r="G9" s="108">
        <v>5476</v>
      </c>
      <c r="H9" s="108">
        <f t="shared" si="1"/>
        <v>4.2292000000000001E-5</v>
      </c>
      <c r="I9" s="108">
        <f t="shared" si="2"/>
        <v>1.1728451273599999E-5</v>
      </c>
      <c r="K9" s="108">
        <f t="shared" si="3"/>
        <v>2.7976044346849205E-7</v>
      </c>
      <c r="Q9" s="108">
        <v>54</v>
      </c>
      <c r="T9" s="197"/>
      <c r="U9" s="197">
        <v>0.59</v>
      </c>
      <c r="V9" s="197">
        <v>0.57999999999999996</v>
      </c>
      <c r="W9" s="197">
        <v>0.56999999999999995</v>
      </c>
      <c r="X9" s="197">
        <v>0.56000000000000005</v>
      </c>
      <c r="Y9" s="197">
        <v>0.55000000000000004</v>
      </c>
      <c r="Z9" s="144">
        <v>0.54</v>
      </c>
    </row>
    <row r="10" spans="1:26" x14ac:dyDescent="0.15">
      <c r="A10" s="108">
        <v>6</v>
      </c>
      <c r="B10" s="108">
        <v>0.80800002813339233</v>
      </c>
      <c r="C10" s="108">
        <f t="shared" si="0"/>
        <v>58</v>
      </c>
      <c r="D10" s="221" t="s">
        <v>158</v>
      </c>
      <c r="E10" s="221">
        <v>95092</v>
      </c>
      <c r="F10" s="108" t="s">
        <v>158</v>
      </c>
      <c r="G10" s="108">
        <v>37760</v>
      </c>
      <c r="H10" s="108">
        <f t="shared" si="1"/>
        <v>9.5092000000000004E-5</v>
      </c>
      <c r="I10" s="108">
        <f t="shared" si="2"/>
        <v>2.9233791228800001E-5</v>
      </c>
      <c r="J10" s="108">
        <f t="shared" si="4"/>
        <v>3.0428279254592006E-6</v>
      </c>
      <c r="Q10" s="108">
        <v>57</v>
      </c>
      <c r="T10" s="197" t="s">
        <v>46</v>
      </c>
      <c r="U10" s="198">
        <v>0.30742639999999999</v>
      </c>
      <c r="V10" s="198">
        <v>0.2999</v>
      </c>
      <c r="W10" s="198">
        <v>0.29237360000000001</v>
      </c>
      <c r="X10" s="198">
        <v>0.28484720000000002</v>
      </c>
      <c r="Y10" s="198">
        <v>0.27732079999999998</v>
      </c>
      <c r="Z10" s="93">
        <v>0.26979439999999999</v>
      </c>
    </row>
    <row r="11" spans="1:26" x14ac:dyDescent="0.15">
      <c r="A11" s="108">
        <v>7</v>
      </c>
      <c r="B11" s="108">
        <v>0.80800002813339233</v>
      </c>
      <c r="C11" s="108">
        <f t="shared" si="0"/>
        <v>56</v>
      </c>
      <c r="D11" s="221" t="s">
        <v>161</v>
      </c>
      <c r="E11" s="221">
        <v>38772</v>
      </c>
      <c r="F11" s="108" t="s">
        <v>161</v>
      </c>
      <c r="G11" s="108">
        <v>21904</v>
      </c>
      <c r="H11" s="108">
        <f t="shared" si="1"/>
        <v>3.8772000000000001E-5</v>
      </c>
      <c r="I11" s="108">
        <f t="shared" si="2"/>
        <v>1.1335909219200001E-5</v>
      </c>
      <c r="K11" s="108">
        <f t="shared" si="3"/>
        <v>1.2533381184E-6</v>
      </c>
      <c r="Q11" s="108">
        <v>55</v>
      </c>
      <c r="T11" s="197" t="s">
        <v>48</v>
      </c>
      <c r="U11" s="198">
        <v>8.0583366670000003E-2</v>
      </c>
      <c r="V11" s="198">
        <v>7.737133333E-2</v>
      </c>
      <c r="W11" s="198">
        <v>7.4159299999999997E-2</v>
      </c>
      <c r="X11" s="198">
        <v>7.0947266667000006E-2</v>
      </c>
      <c r="Y11" s="198">
        <v>6.7735233332999994E-2</v>
      </c>
      <c r="Z11" s="93">
        <v>6.4523200000000003E-2</v>
      </c>
    </row>
    <row r="12" spans="1:26" x14ac:dyDescent="0.15">
      <c r="A12" s="108">
        <v>8</v>
      </c>
      <c r="B12" s="108">
        <v>0.80800002813339233</v>
      </c>
      <c r="C12" s="108">
        <f t="shared" si="0"/>
        <v>58</v>
      </c>
      <c r="D12" s="221" t="s">
        <v>158</v>
      </c>
      <c r="E12" s="221">
        <v>42292</v>
      </c>
      <c r="F12" s="108" t="s">
        <v>158</v>
      </c>
      <c r="G12" s="108">
        <v>104640</v>
      </c>
      <c r="H12" s="108">
        <f t="shared" si="1"/>
        <v>4.2292000000000001E-5</v>
      </c>
      <c r="I12" s="108">
        <f t="shared" si="2"/>
        <v>1.30016773088E-5</v>
      </c>
      <c r="J12" s="108">
        <f t="shared" si="4"/>
        <v>8.4322434883488002E-6</v>
      </c>
      <c r="Q12" s="108">
        <v>56</v>
      </c>
      <c r="T12" s="197" t="s">
        <v>49</v>
      </c>
      <c r="U12" s="198">
        <v>6.3350733330000006E-2</v>
      </c>
      <c r="V12" s="198">
        <v>6.0285166666700002E-2</v>
      </c>
      <c r="W12" s="198">
        <v>5.7219600000000002E-2</v>
      </c>
      <c r="X12" s="198">
        <v>5.4154033329999997E-2</v>
      </c>
      <c r="Y12" s="198">
        <v>5.1088466667000003E-2</v>
      </c>
      <c r="Z12" s="93">
        <v>4.80229E-2</v>
      </c>
    </row>
    <row r="13" spans="1:26" x14ac:dyDescent="0.15">
      <c r="A13" s="108">
        <v>9</v>
      </c>
      <c r="B13" s="108">
        <v>0.81199997663497925</v>
      </c>
      <c r="C13" s="108">
        <f t="shared" si="0"/>
        <v>54</v>
      </c>
      <c r="D13" s="221" t="s">
        <v>161</v>
      </c>
      <c r="E13" s="221">
        <v>95092</v>
      </c>
      <c r="F13" s="108" t="s">
        <v>161</v>
      </c>
      <c r="G13" s="108">
        <v>5476</v>
      </c>
      <c r="H13" s="108">
        <f t="shared" si="1"/>
        <v>9.5092000000000004E-5</v>
      </c>
      <c r="I13" s="108">
        <f t="shared" si="2"/>
        <v>2.6370989513599998E-5</v>
      </c>
      <c r="K13" s="108">
        <f t="shared" si="3"/>
        <v>2.7976044346849205E-7</v>
      </c>
      <c r="Q13" s="108">
        <v>54</v>
      </c>
    </row>
    <row r="14" spans="1:26" x14ac:dyDescent="0.15">
      <c r="A14" s="108">
        <v>10</v>
      </c>
      <c r="B14" s="108">
        <v>0.80800002813339233</v>
      </c>
      <c r="C14" s="108">
        <f t="shared" si="0"/>
        <v>56</v>
      </c>
      <c r="D14" s="221" t="s">
        <v>158</v>
      </c>
      <c r="E14" s="221">
        <v>38772</v>
      </c>
      <c r="F14" s="108" t="s">
        <v>158</v>
      </c>
      <c r="G14" s="108">
        <v>88212</v>
      </c>
      <c r="H14" s="108">
        <f t="shared" si="1"/>
        <v>3.8772000000000001E-5</v>
      </c>
      <c r="I14" s="108">
        <f t="shared" si="2"/>
        <v>1.1335909219200001E-5</v>
      </c>
      <c r="J14" s="108">
        <f t="shared" si="4"/>
        <v>6.5417401715999997E-6</v>
      </c>
      <c r="Q14" s="108">
        <v>55</v>
      </c>
    </row>
    <row r="15" spans="1:26" x14ac:dyDescent="0.15">
      <c r="A15" s="108">
        <v>11</v>
      </c>
      <c r="B15" s="108">
        <v>0.72399997711181641</v>
      </c>
      <c r="C15" s="108">
        <f t="shared" si="0"/>
        <v>56</v>
      </c>
      <c r="D15" s="221" t="s">
        <v>161</v>
      </c>
      <c r="E15" s="221">
        <v>23092</v>
      </c>
      <c r="F15" s="108" t="s">
        <v>161</v>
      </c>
      <c r="G15" s="108">
        <v>2888</v>
      </c>
      <c r="H15" s="108">
        <f t="shared" si="1"/>
        <v>2.3092000000000002E-5</v>
      </c>
      <c r="I15" s="108">
        <f t="shared" si="2"/>
        <v>6.7514911712000005E-6</v>
      </c>
      <c r="K15" s="108">
        <f t="shared" si="3"/>
        <v>1.6525020480000001E-7</v>
      </c>
      <c r="Q15" s="108">
        <v>54</v>
      </c>
      <c r="T15" s="108" t="s">
        <v>45</v>
      </c>
      <c r="U15" s="108" t="s">
        <v>9</v>
      </c>
    </row>
    <row r="16" spans="1:26" x14ac:dyDescent="0.15">
      <c r="A16" s="108">
        <v>12</v>
      </c>
      <c r="B16" s="108">
        <v>0.69199997186660767</v>
      </c>
      <c r="C16" s="108">
        <f t="shared" si="0"/>
        <v>56</v>
      </c>
      <c r="D16" s="221" t="s">
        <v>158</v>
      </c>
      <c r="E16" s="221">
        <v>103732</v>
      </c>
      <c r="F16" s="108" t="s">
        <v>158</v>
      </c>
      <c r="G16" s="108">
        <v>21908</v>
      </c>
      <c r="H16" s="108">
        <f t="shared" si="1"/>
        <v>1.03732E-4</v>
      </c>
      <c r="I16" s="108">
        <f t="shared" si="2"/>
        <v>3.0328498275200002E-5</v>
      </c>
      <c r="J16" s="108">
        <f t="shared" si="4"/>
        <v>1.6246819444000001E-6</v>
      </c>
      <c r="Q16" s="108">
        <v>55</v>
      </c>
      <c r="T16" s="108" t="s">
        <v>102</v>
      </c>
      <c r="U16" s="199">
        <v>3.1</v>
      </c>
    </row>
    <row r="17" spans="1:21" x14ac:dyDescent="0.15">
      <c r="A17" s="108">
        <v>13</v>
      </c>
      <c r="B17" s="108">
        <v>0.80400002002716064</v>
      </c>
      <c r="C17" s="108">
        <f t="shared" si="0"/>
        <v>56</v>
      </c>
      <c r="D17" s="221" t="s">
        <v>161</v>
      </c>
      <c r="E17" s="221">
        <v>40372</v>
      </c>
      <c r="F17" s="108" t="s">
        <v>161</v>
      </c>
      <c r="G17" s="108">
        <v>11552</v>
      </c>
      <c r="H17" s="108">
        <f t="shared" si="1"/>
        <v>4.0372000000000006E-5</v>
      </c>
      <c r="I17" s="108">
        <f t="shared" si="2"/>
        <v>1.1803706979200002E-5</v>
      </c>
      <c r="K17" s="108">
        <f t="shared" si="3"/>
        <v>6.6100081920000005E-7</v>
      </c>
      <c r="Q17" s="108">
        <v>55</v>
      </c>
      <c r="T17" s="108" t="s">
        <v>46</v>
      </c>
      <c r="U17" s="199">
        <v>0.31495279999999998</v>
      </c>
    </row>
    <row r="18" spans="1:21" x14ac:dyDescent="0.15">
      <c r="A18" s="108">
        <v>14</v>
      </c>
      <c r="B18" s="108">
        <v>0.81199997663497925</v>
      </c>
      <c r="C18" s="108">
        <f t="shared" si="0"/>
        <v>54</v>
      </c>
      <c r="D18" s="221" t="s">
        <v>158</v>
      </c>
      <c r="E18" s="221">
        <v>80692</v>
      </c>
      <c r="F18" s="108" t="s">
        <v>158</v>
      </c>
      <c r="G18" s="108">
        <v>739924</v>
      </c>
      <c r="H18" s="108">
        <f t="shared" si="1"/>
        <v>8.0692000000000006E-5</v>
      </c>
      <c r="I18" s="108">
        <f t="shared" si="2"/>
        <v>2.2377569993600001E-5</v>
      </c>
      <c r="J18" s="108">
        <f t="shared" si="4"/>
        <v>5.0118924788686693E-5</v>
      </c>
      <c r="Q18" s="108">
        <v>54</v>
      </c>
      <c r="T18" s="108" t="s">
        <v>48</v>
      </c>
      <c r="U18" s="199">
        <v>8.3795400000000006E-2</v>
      </c>
    </row>
    <row r="19" spans="1:21" x14ac:dyDescent="0.15">
      <c r="A19" s="108">
        <v>15</v>
      </c>
      <c r="B19" s="108">
        <v>0.81199997663497925</v>
      </c>
      <c r="C19" s="108">
        <f t="shared" si="0"/>
        <v>54</v>
      </c>
      <c r="D19" s="221" t="s">
        <v>161</v>
      </c>
      <c r="E19" s="221">
        <v>46132</v>
      </c>
      <c r="F19" s="108" t="s">
        <v>161</v>
      </c>
      <c r="G19" s="108">
        <v>2888</v>
      </c>
      <c r="H19" s="108">
        <f t="shared" si="1"/>
        <v>4.6132000000000005E-5</v>
      </c>
      <c r="I19" s="108">
        <f t="shared" si="2"/>
        <v>1.2793363145600001E-5</v>
      </c>
      <c r="K19" s="108">
        <f t="shared" si="3"/>
        <v>1.4754349173429601E-7</v>
      </c>
      <c r="Q19" s="108">
        <v>54</v>
      </c>
      <c r="T19" s="108" t="s">
        <v>49</v>
      </c>
      <c r="U19" s="199">
        <v>6.6416299999999998E-2</v>
      </c>
    </row>
    <row r="20" spans="1:21" x14ac:dyDescent="0.15">
      <c r="A20" s="108">
        <v>16</v>
      </c>
      <c r="B20" s="108">
        <v>0.81199997663497925</v>
      </c>
      <c r="C20" s="108">
        <f t="shared" si="0"/>
        <v>54</v>
      </c>
      <c r="D20" s="221" t="s">
        <v>158</v>
      </c>
      <c r="E20" s="221">
        <v>103732</v>
      </c>
      <c r="F20" s="108" t="s">
        <v>158</v>
      </c>
      <c r="G20" s="108">
        <v>21908</v>
      </c>
      <c r="H20" s="108">
        <f t="shared" si="1"/>
        <v>1.03732E-4</v>
      </c>
      <c r="I20" s="108">
        <f t="shared" si="2"/>
        <v>2.8767041225599998E-5</v>
      </c>
      <c r="J20" s="108">
        <f t="shared" si="4"/>
        <v>1.4839434918593638E-6</v>
      </c>
      <c r="Q20" s="108">
        <v>54</v>
      </c>
    </row>
    <row r="21" spans="1:21" x14ac:dyDescent="0.15">
      <c r="A21" s="108">
        <v>17</v>
      </c>
      <c r="B21" s="108">
        <v>0.81199997663497925</v>
      </c>
      <c r="C21" s="108">
        <f t="shared" si="0"/>
        <v>54</v>
      </c>
      <c r="D21" s="221" t="s">
        <v>161</v>
      </c>
      <c r="E21" s="221">
        <v>40372</v>
      </c>
      <c r="F21" s="108" t="s">
        <v>161</v>
      </c>
      <c r="G21" s="108">
        <v>11552</v>
      </c>
      <c r="H21" s="108">
        <f t="shared" si="1"/>
        <v>4.0372000000000006E-5</v>
      </c>
      <c r="I21" s="108">
        <f t="shared" si="2"/>
        <v>1.1195995337600001E-5</v>
      </c>
      <c r="K21" s="108">
        <f t="shared" si="3"/>
        <v>5.9017396693718402E-7</v>
      </c>
      <c r="Q21" s="108">
        <v>54</v>
      </c>
    </row>
    <row r="22" spans="1:21" x14ac:dyDescent="0.15">
      <c r="A22" s="108">
        <v>18</v>
      </c>
      <c r="B22" s="108">
        <v>0.81199997663497925</v>
      </c>
      <c r="C22" s="108">
        <f t="shared" si="0"/>
        <v>54</v>
      </c>
      <c r="D22" s="221" t="s">
        <v>158</v>
      </c>
      <c r="E22" s="221">
        <v>46132</v>
      </c>
      <c r="F22" s="108" t="s">
        <v>158</v>
      </c>
      <c r="G22" s="108">
        <v>93012</v>
      </c>
      <c r="H22" s="108">
        <f t="shared" si="1"/>
        <v>4.6132000000000005E-5</v>
      </c>
      <c r="I22" s="108">
        <f t="shared" si="2"/>
        <v>1.2793363145600001E-5</v>
      </c>
      <c r="J22" s="108">
        <f t="shared" si="4"/>
        <v>6.300189522768996E-6</v>
      </c>
      <c r="Q22" s="108">
        <v>54</v>
      </c>
    </row>
    <row r="23" spans="1:21" x14ac:dyDescent="0.15">
      <c r="A23" s="108">
        <v>19</v>
      </c>
      <c r="B23" s="108">
        <v>0.81199997663497925</v>
      </c>
      <c r="C23" s="108">
        <f t="shared" si="0"/>
        <v>54</v>
      </c>
      <c r="D23" s="221" t="s">
        <v>161</v>
      </c>
      <c r="E23" s="221">
        <v>103732</v>
      </c>
      <c r="F23" s="108" t="s">
        <v>161</v>
      </c>
      <c r="G23" s="108">
        <v>2888</v>
      </c>
      <c r="H23" s="108">
        <f t="shared" si="1"/>
        <v>1.03732E-4</v>
      </c>
      <c r="I23" s="108">
        <f t="shared" si="2"/>
        <v>2.8767041225599998E-5</v>
      </c>
      <c r="K23" s="108">
        <f t="shared" si="3"/>
        <v>1.4754349173429601E-7</v>
      </c>
      <c r="Q23" s="108">
        <v>54</v>
      </c>
    </row>
    <row r="24" spans="1:21" x14ac:dyDescent="0.15">
      <c r="A24" s="108">
        <v>20</v>
      </c>
      <c r="B24" s="108">
        <v>0.81199997663497925</v>
      </c>
      <c r="C24" s="108">
        <f t="shared" si="0"/>
        <v>54</v>
      </c>
      <c r="D24" s="221" t="s">
        <v>158</v>
      </c>
      <c r="E24" s="221">
        <v>40372</v>
      </c>
      <c r="F24" s="108" t="s">
        <v>158</v>
      </c>
      <c r="G24" s="108">
        <v>93012</v>
      </c>
      <c r="H24" s="108">
        <f t="shared" si="1"/>
        <v>4.0372000000000006E-5</v>
      </c>
      <c r="I24" s="108">
        <f t="shared" si="2"/>
        <v>1.1195995337600001E-5</v>
      </c>
      <c r="J24" s="108">
        <f t="shared" si="4"/>
        <v>6.300189522768996E-6</v>
      </c>
      <c r="Q24" s="108">
        <v>54</v>
      </c>
    </row>
    <row r="25" spans="1:21" x14ac:dyDescent="0.15">
      <c r="A25" s="108">
        <v>21</v>
      </c>
      <c r="B25" s="108">
        <v>0.81199997663497925</v>
      </c>
      <c r="C25" s="108">
        <f t="shared" si="0"/>
        <v>54</v>
      </c>
      <c r="D25" s="221" t="s">
        <v>161</v>
      </c>
      <c r="E25" s="221">
        <v>46132</v>
      </c>
      <c r="F25" s="108" t="s">
        <v>161</v>
      </c>
      <c r="G25" s="108">
        <v>2888</v>
      </c>
      <c r="H25" s="108">
        <f t="shared" si="1"/>
        <v>4.6132000000000005E-5</v>
      </c>
      <c r="I25" s="108">
        <f t="shared" si="2"/>
        <v>1.2793363145600001E-5</v>
      </c>
      <c r="K25" s="108">
        <f t="shared" si="3"/>
        <v>1.4754349173429601E-7</v>
      </c>
      <c r="Q25" s="108">
        <v>54</v>
      </c>
    </row>
    <row r="26" spans="1:21" x14ac:dyDescent="0.15">
      <c r="A26" s="108">
        <v>22</v>
      </c>
      <c r="B26" s="108">
        <v>0.81199997663497925</v>
      </c>
      <c r="C26" s="108">
        <f t="shared" si="0"/>
        <v>54</v>
      </c>
      <c r="D26" s="221" t="s">
        <v>158</v>
      </c>
      <c r="E26" s="221">
        <v>103732</v>
      </c>
      <c r="F26" s="108" t="s">
        <v>158</v>
      </c>
      <c r="G26" s="108">
        <v>21908</v>
      </c>
      <c r="H26" s="108">
        <f t="shared" si="1"/>
        <v>1.03732E-4</v>
      </c>
      <c r="I26" s="108">
        <f t="shared" si="2"/>
        <v>2.8767041225599998E-5</v>
      </c>
      <c r="J26" s="108">
        <f t="shared" si="4"/>
        <v>1.4839434918593638E-6</v>
      </c>
      <c r="Q26" s="108">
        <v>54</v>
      </c>
    </row>
    <row r="27" spans="1:21" x14ac:dyDescent="0.15">
      <c r="A27" s="108">
        <v>23</v>
      </c>
      <c r="B27" s="108">
        <v>0.81199997663497925</v>
      </c>
      <c r="C27" s="108">
        <f t="shared" si="0"/>
        <v>54</v>
      </c>
      <c r="D27" s="221" t="s">
        <v>161</v>
      </c>
      <c r="E27" s="221">
        <v>40372</v>
      </c>
      <c r="F27" s="108" t="s">
        <v>161</v>
      </c>
      <c r="G27" s="108">
        <v>11552</v>
      </c>
      <c r="H27" s="108">
        <f t="shared" si="1"/>
        <v>4.0372000000000006E-5</v>
      </c>
      <c r="I27" s="108">
        <f t="shared" si="2"/>
        <v>1.1195995337600001E-5</v>
      </c>
      <c r="K27" s="108">
        <f t="shared" si="3"/>
        <v>5.9017396693718402E-7</v>
      </c>
      <c r="Q27" s="108">
        <v>54</v>
      </c>
    </row>
    <row r="28" spans="1:21" x14ac:dyDescent="0.15">
      <c r="A28" s="108">
        <v>24</v>
      </c>
      <c r="B28" s="108">
        <v>0.81199997663497925</v>
      </c>
      <c r="C28" s="108">
        <f t="shared" si="0"/>
        <v>54</v>
      </c>
      <c r="D28" s="221" t="s">
        <v>158</v>
      </c>
      <c r="E28" s="221">
        <v>22580</v>
      </c>
      <c r="F28" s="108" t="s">
        <v>158</v>
      </c>
      <c r="G28" s="108">
        <v>205396</v>
      </c>
      <c r="H28" s="108">
        <f t="shared" si="1"/>
        <v>2.2580000000000001E-5</v>
      </c>
      <c r="I28" s="108">
        <f t="shared" si="2"/>
        <v>6.2619036639999999E-6</v>
      </c>
      <c r="J28" s="108">
        <f t="shared" si="4"/>
        <v>1.3912545985664867E-5</v>
      </c>
      <c r="Q28" s="108">
        <v>54</v>
      </c>
    </row>
    <row r="29" spans="1:21" x14ac:dyDescent="0.15">
      <c r="A29" s="108">
        <v>25</v>
      </c>
      <c r="B29" s="108">
        <v>0.81199997663497925</v>
      </c>
      <c r="C29" s="108">
        <f t="shared" si="0"/>
        <v>54</v>
      </c>
      <c r="D29" s="221" t="s">
        <v>161</v>
      </c>
      <c r="E29" s="221">
        <v>101428</v>
      </c>
      <c r="F29" s="108" t="s">
        <v>161</v>
      </c>
      <c r="G29" s="108">
        <v>1600</v>
      </c>
      <c r="H29" s="108">
        <f t="shared" si="1"/>
        <v>1.0142800000000001E-4</v>
      </c>
      <c r="I29" s="108">
        <f t="shared" si="2"/>
        <v>2.8128094102399998E-5</v>
      </c>
      <c r="K29" s="108">
        <f t="shared" si="3"/>
        <v>8.1741546667200003E-8</v>
      </c>
      <c r="Q29" s="108">
        <v>54</v>
      </c>
    </row>
    <row r="30" spans="1:21" x14ac:dyDescent="0.15">
      <c r="A30" s="108">
        <v>26</v>
      </c>
      <c r="B30" s="108">
        <v>0.81199997663497925</v>
      </c>
      <c r="C30" s="108">
        <f t="shared" si="0"/>
        <v>54</v>
      </c>
      <c r="D30" s="221" t="s">
        <v>158</v>
      </c>
      <c r="E30" s="221">
        <v>42036</v>
      </c>
      <c r="F30" s="108" t="s">
        <v>158</v>
      </c>
      <c r="G30" s="108">
        <v>102996</v>
      </c>
      <c r="H30" s="108">
        <f t="shared" si="1"/>
        <v>4.2036000000000002E-5</v>
      </c>
      <c r="I30" s="108">
        <f t="shared" si="2"/>
        <v>1.16574571488E-5</v>
      </c>
      <c r="J30" s="108">
        <f t="shared" si="4"/>
        <v>6.9764580923656684E-6</v>
      </c>
      <c r="Q30" s="108">
        <v>54</v>
      </c>
    </row>
    <row r="31" spans="1:21" x14ac:dyDescent="0.15">
      <c r="A31" s="108">
        <v>27</v>
      </c>
      <c r="B31" s="108">
        <v>0.81199997663497925</v>
      </c>
      <c r="C31" s="108">
        <f t="shared" si="0"/>
        <v>54</v>
      </c>
      <c r="D31" s="221" t="s">
        <v>161</v>
      </c>
      <c r="E31" s="221">
        <v>84020</v>
      </c>
      <c r="F31" s="108" t="s">
        <v>161</v>
      </c>
      <c r="G31" s="108">
        <v>6400</v>
      </c>
      <c r="H31" s="108">
        <f t="shared" si="1"/>
        <v>8.4019999999999999E-5</v>
      </c>
      <c r="I31" s="108">
        <f t="shared" si="2"/>
        <v>2.3300493615999997E-5</v>
      </c>
      <c r="K31" s="108">
        <f t="shared" si="3"/>
        <v>3.2696618666880001E-7</v>
      </c>
      <c r="Q31" s="108">
        <v>54</v>
      </c>
    </row>
    <row r="32" spans="1:21" x14ac:dyDescent="0.15">
      <c r="A32" s="108">
        <v>28</v>
      </c>
      <c r="B32" s="108">
        <v>0.81199997663497925</v>
      </c>
      <c r="C32" s="108">
        <f t="shared" si="0"/>
        <v>54</v>
      </c>
      <c r="D32" s="221" t="s">
        <v>158</v>
      </c>
      <c r="E32" s="221">
        <v>45108</v>
      </c>
      <c r="F32" s="108" t="s">
        <v>158</v>
      </c>
      <c r="G32" s="108">
        <v>102996</v>
      </c>
      <c r="H32" s="108">
        <f t="shared" si="1"/>
        <v>4.5108000000000002E-5</v>
      </c>
      <c r="I32" s="108">
        <f t="shared" si="2"/>
        <v>1.25093866464E-5</v>
      </c>
      <c r="J32" s="108">
        <f t="shared" si="4"/>
        <v>6.9764580923656684E-6</v>
      </c>
      <c r="Q32" s="108">
        <v>54</v>
      </c>
    </row>
    <row r="33" spans="1:17" x14ac:dyDescent="0.15">
      <c r="A33" s="108">
        <v>29</v>
      </c>
      <c r="B33" s="108">
        <v>0.81199997663497925</v>
      </c>
      <c r="C33" s="108">
        <f t="shared" si="0"/>
        <v>54</v>
      </c>
      <c r="D33" s="221" t="s">
        <v>161</v>
      </c>
      <c r="E33" s="221">
        <v>101428</v>
      </c>
      <c r="F33" s="108" t="s">
        <v>161</v>
      </c>
      <c r="G33" s="108">
        <v>1600</v>
      </c>
      <c r="H33" s="108">
        <f t="shared" si="1"/>
        <v>1.0142800000000001E-4</v>
      </c>
      <c r="I33" s="108">
        <f t="shared" si="2"/>
        <v>2.8128094102399998E-5</v>
      </c>
      <c r="K33" s="108">
        <f t="shared" si="3"/>
        <v>8.1741546667200003E-8</v>
      </c>
      <c r="Q33" s="108">
        <v>54</v>
      </c>
    </row>
    <row r="34" spans="1:17" x14ac:dyDescent="0.15">
      <c r="A34" s="108">
        <v>30</v>
      </c>
      <c r="B34" s="108">
        <v>0.81199997663497925</v>
      </c>
      <c r="C34" s="108">
        <f t="shared" si="0"/>
        <v>54</v>
      </c>
      <c r="D34" s="221" t="s">
        <v>158</v>
      </c>
      <c r="E34" s="221">
        <v>42036</v>
      </c>
      <c r="F34" s="108" t="s">
        <v>158</v>
      </c>
      <c r="G34" s="108">
        <v>102996</v>
      </c>
      <c r="H34" s="108">
        <f t="shared" si="1"/>
        <v>4.2036000000000002E-5</v>
      </c>
      <c r="I34" s="108">
        <f t="shared" si="2"/>
        <v>1.16574571488E-5</v>
      </c>
      <c r="J34" s="108">
        <f t="shared" si="4"/>
        <v>6.9764580923656684E-6</v>
      </c>
      <c r="Q34" s="108">
        <v>54</v>
      </c>
    </row>
    <row r="35" spans="1:17" x14ac:dyDescent="0.15">
      <c r="A35" s="108">
        <v>31</v>
      </c>
      <c r="B35" s="108">
        <v>0.81199997663497925</v>
      </c>
      <c r="C35" s="108">
        <f t="shared" si="0"/>
        <v>54</v>
      </c>
      <c r="D35" s="221" t="s">
        <v>161</v>
      </c>
      <c r="E35" s="221">
        <v>45108</v>
      </c>
      <c r="F35" s="108" t="s">
        <v>161</v>
      </c>
      <c r="G35" s="108">
        <v>1600</v>
      </c>
      <c r="H35" s="108">
        <f t="shared" si="1"/>
        <v>4.5108000000000002E-5</v>
      </c>
      <c r="I35" s="108">
        <f t="shared" si="2"/>
        <v>1.25093866464E-5</v>
      </c>
      <c r="K35" s="108">
        <f t="shared" si="3"/>
        <v>8.1741546667200003E-8</v>
      </c>
      <c r="Q35" s="108">
        <v>54</v>
      </c>
    </row>
    <row r="36" spans="1:17" x14ac:dyDescent="0.15">
      <c r="A36" s="108">
        <v>32</v>
      </c>
      <c r="B36" s="108">
        <v>0.81199997663497925</v>
      </c>
      <c r="C36" s="108">
        <f t="shared" si="0"/>
        <v>54</v>
      </c>
      <c r="D36" s="221" t="s">
        <v>158</v>
      </c>
      <c r="E36" s="221">
        <v>101428</v>
      </c>
      <c r="F36" s="108" t="s">
        <v>158</v>
      </c>
      <c r="G36" s="108">
        <v>22548</v>
      </c>
      <c r="H36" s="108">
        <f t="shared" si="1"/>
        <v>1.0142800000000001E-4</v>
      </c>
      <c r="I36" s="108">
        <f t="shared" si="2"/>
        <v>2.8128094102399998E-5</v>
      </c>
      <c r="J36" s="108">
        <f t="shared" si="4"/>
        <v>1.5272940411924841E-6</v>
      </c>
      <c r="Q36" s="108">
        <v>54</v>
      </c>
    </row>
    <row r="37" spans="1:17" x14ac:dyDescent="0.15">
      <c r="A37" s="108">
        <v>33</v>
      </c>
      <c r="B37" s="108">
        <v>0.81199997663497925</v>
      </c>
      <c r="C37" s="108">
        <f t="shared" si="0"/>
        <v>54</v>
      </c>
      <c r="D37" s="221" t="s">
        <v>161</v>
      </c>
      <c r="E37" s="221">
        <v>42036</v>
      </c>
      <c r="F37" s="108" t="s">
        <v>161</v>
      </c>
      <c r="G37" s="108">
        <v>6400</v>
      </c>
      <c r="H37" s="108">
        <f t="shared" si="1"/>
        <v>4.2036000000000002E-5</v>
      </c>
      <c r="I37" s="108">
        <f t="shared" si="2"/>
        <v>1.16574571488E-5</v>
      </c>
      <c r="K37" s="108">
        <f t="shared" si="3"/>
        <v>3.2696618666880001E-7</v>
      </c>
      <c r="Q37" s="108">
        <v>54</v>
      </c>
    </row>
    <row r="38" spans="1:17" x14ac:dyDescent="0.15">
      <c r="A38" s="108">
        <v>34</v>
      </c>
      <c r="B38" s="108">
        <v>0.81199997663497925</v>
      </c>
      <c r="C38" s="108">
        <f t="shared" si="0"/>
        <v>54</v>
      </c>
      <c r="D38" s="221" t="s">
        <v>158</v>
      </c>
      <c r="E38" s="221">
        <v>45108</v>
      </c>
      <c r="F38" s="108" t="s">
        <v>158</v>
      </c>
      <c r="G38" s="108">
        <v>102996</v>
      </c>
      <c r="H38" s="108">
        <f t="shared" si="1"/>
        <v>4.5108000000000002E-5</v>
      </c>
      <c r="I38" s="108">
        <f t="shared" si="2"/>
        <v>1.25093866464E-5</v>
      </c>
      <c r="J38" s="108">
        <f t="shared" si="4"/>
        <v>6.9764580923656684E-6</v>
      </c>
      <c r="Q38" s="108">
        <v>54</v>
      </c>
    </row>
    <row r="39" spans="1:17" x14ac:dyDescent="0.15">
      <c r="A39" s="108">
        <v>35</v>
      </c>
      <c r="B39" s="108">
        <v>0.81199997663497925</v>
      </c>
      <c r="C39" s="108">
        <f t="shared" si="0"/>
        <v>54</v>
      </c>
      <c r="D39" s="221" t="s">
        <v>161</v>
      </c>
      <c r="E39" s="221">
        <v>101428</v>
      </c>
      <c r="F39" s="108" t="s">
        <v>161</v>
      </c>
      <c r="G39" s="108">
        <v>1600</v>
      </c>
      <c r="H39" s="108">
        <f t="shared" si="1"/>
        <v>1.0142800000000001E-4</v>
      </c>
      <c r="I39" s="108">
        <f t="shared" si="2"/>
        <v>2.8128094102399998E-5</v>
      </c>
      <c r="K39" s="108">
        <f t="shared" si="3"/>
        <v>8.1741546667200003E-8</v>
      </c>
      <c r="Q39" s="108">
        <v>54</v>
      </c>
    </row>
    <row r="40" spans="1:17" x14ac:dyDescent="0.15">
      <c r="A40" s="108">
        <v>36</v>
      </c>
      <c r="B40" s="108">
        <v>0.81199997663497925</v>
      </c>
      <c r="C40" s="108">
        <f t="shared" si="0"/>
        <v>54</v>
      </c>
      <c r="D40" s="221" t="s">
        <v>158</v>
      </c>
      <c r="E40" s="221">
        <v>42036</v>
      </c>
      <c r="F40" s="108" t="s">
        <v>158</v>
      </c>
      <c r="G40" s="108">
        <v>102996</v>
      </c>
      <c r="H40" s="108">
        <f t="shared" si="1"/>
        <v>4.2036000000000002E-5</v>
      </c>
      <c r="I40" s="108">
        <f t="shared" si="2"/>
        <v>1.16574571488E-5</v>
      </c>
      <c r="J40" s="108">
        <f t="shared" si="4"/>
        <v>6.9764580923656684E-6</v>
      </c>
      <c r="Q40" s="108">
        <v>54</v>
      </c>
    </row>
    <row r="41" spans="1:17" x14ac:dyDescent="0.15">
      <c r="A41" s="108">
        <v>37</v>
      </c>
      <c r="B41" s="108">
        <v>0.81199997663497925</v>
      </c>
      <c r="C41" s="108">
        <f t="shared" si="0"/>
        <v>54</v>
      </c>
      <c r="D41" s="221" t="s">
        <v>161</v>
      </c>
      <c r="E41" s="221">
        <v>45108</v>
      </c>
      <c r="F41" s="108" t="s">
        <v>161</v>
      </c>
      <c r="G41" s="108">
        <v>1600</v>
      </c>
      <c r="H41" s="108">
        <f t="shared" si="1"/>
        <v>4.5108000000000002E-5</v>
      </c>
      <c r="I41" s="108">
        <f t="shared" si="2"/>
        <v>1.25093866464E-5</v>
      </c>
      <c r="K41" s="108">
        <f t="shared" si="3"/>
        <v>8.1741546667200003E-8</v>
      </c>
      <c r="Q41" s="108">
        <v>54</v>
      </c>
    </row>
    <row r="42" spans="1:17" x14ac:dyDescent="0.15">
      <c r="A42" s="108">
        <v>38</v>
      </c>
      <c r="B42" s="108">
        <v>0.81199997663497925</v>
      </c>
      <c r="C42" s="108">
        <f t="shared" si="0"/>
        <v>54</v>
      </c>
      <c r="D42" s="221" t="s">
        <v>158</v>
      </c>
      <c r="E42" s="221">
        <v>101428</v>
      </c>
      <c r="F42" s="108" t="s">
        <v>158</v>
      </c>
      <c r="G42" s="108">
        <v>22548</v>
      </c>
      <c r="H42" s="108">
        <f t="shared" si="1"/>
        <v>1.0142800000000001E-4</v>
      </c>
      <c r="I42" s="108">
        <f t="shared" si="2"/>
        <v>2.8128094102399998E-5</v>
      </c>
      <c r="J42" s="108">
        <f t="shared" si="4"/>
        <v>1.5272940411924841E-6</v>
      </c>
      <c r="Q42" s="108">
        <v>54</v>
      </c>
    </row>
    <row r="43" spans="1:17" x14ac:dyDescent="0.15">
      <c r="A43" s="108">
        <v>39</v>
      </c>
      <c r="B43" s="108">
        <v>0.81199997663497925</v>
      </c>
      <c r="C43" s="108">
        <f t="shared" si="0"/>
        <v>54</v>
      </c>
      <c r="D43" s="221" t="s">
        <v>161</v>
      </c>
      <c r="E43" s="221">
        <v>42036</v>
      </c>
      <c r="F43" s="108" t="s">
        <v>161</v>
      </c>
      <c r="G43" s="108">
        <v>6400</v>
      </c>
      <c r="H43" s="108">
        <f t="shared" si="1"/>
        <v>4.2036000000000002E-5</v>
      </c>
      <c r="I43" s="108">
        <f t="shared" si="2"/>
        <v>1.16574571488E-5</v>
      </c>
      <c r="K43" s="108">
        <f t="shared" si="3"/>
        <v>3.2696618666880001E-7</v>
      </c>
      <c r="Q43" s="108">
        <v>54</v>
      </c>
    </row>
    <row r="44" spans="1:17" x14ac:dyDescent="0.15">
      <c r="A44" s="108">
        <v>40</v>
      </c>
      <c r="B44" s="108">
        <v>0.81199997663497925</v>
      </c>
      <c r="C44" s="108">
        <f t="shared" si="0"/>
        <v>54</v>
      </c>
      <c r="D44" s="221" t="s">
        <v>158</v>
      </c>
      <c r="E44" s="221">
        <v>45108</v>
      </c>
      <c r="F44" s="108" t="s">
        <v>158</v>
      </c>
      <c r="G44" s="108">
        <v>102996</v>
      </c>
      <c r="H44" s="108">
        <f t="shared" si="1"/>
        <v>4.5108000000000002E-5</v>
      </c>
      <c r="I44" s="108">
        <f t="shared" si="2"/>
        <v>1.25093866464E-5</v>
      </c>
      <c r="J44" s="108">
        <f t="shared" si="4"/>
        <v>6.9764580923656684E-6</v>
      </c>
      <c r="Q44" s="108">
        <v>54</v>
      </c>
    </row>
    <row r="45" spans="1:17" x14ac:dyDescent="0.15">
      <c r="A45" s="108">
        <v>41</v>
      </c>
      <c r="B45" s="108">
        <v>0.81199997663497925</v>
      </c>
      <c r="C45" s="108">
        <f t="shared" si="0"/>
        <v>54</v>
      </c>
      <c r="D45" s="221" t="s">
        <v>161</v>
      </c>
      <c r="E45" s="221">
        <v>101428</v>
      </c>
      <c r="F45" s="108" t="s">
        <v>161</v>
      </c>
      <c r="G45" s="108">
        <v>1600</v>
      </c>
      <c r="H45" s="108">
        <f t="shared" si="1"/>
        <v>1.0142800000000001E-4</v>
      </c>
      <c r="I45" s="108">
        <f t="shared" si="2"/>
        <v>2.8128094102399998E-5</v>
      </c>
      <c r="K45" s="108">
        <f t="shared" si="3"/>
        <v>8.1741546667200003E-8</v>
      </c>
      <c r="Q45" s="108">
        <v>54</v>
      </c>
    </row>
    <row r="46" spans="1:17" x14ac:dyDescent="0.15">
      <c r="A46" s="108">
        <v>42</v>
      </c>
      <c r="B46" s="108">
        <v>0.81199997663497925</v>
      </c>
      <c r="C46" s="108">
        <f t="shared" si="0"/>
        <v>54</v>
      </c>
      <c r="D46" s="221" t="s">
        <v>158</v>
      </c>
      <c r="E46" s="221">
        <v>42036</v>
      </c>
      <c r="F46" s="108" t="s">
        <v>158</v>
      </c>
      <c r="G46" s="108">
        <v>102996</v>
      </c>
      <c r="H46" s="108">
        <f t="shared" si="1"/>
        <v>4.2036000000000002E-5</v>
      </c>
      <c r="I46" s="108">
        <f t="shared" si="2"/>
        <v>1.16574571488E-5</v>
      </c>
      <c r="J46" s="108">
        <f t="shared" si="4"/>
        <v>6.9764580923656684E-6</v>
      </c>
      <c r="Q46" s="108">
        <v>54</v>
      </c>
    </row>
    <row r="47" spans="1:17" x14ac:dyDescent="0.15">
      <c r="A47" s="108">
        <v>43</v>
      </c>
      <c r="B47" s="108">
        <v>0.81199997663497925</v>
      </c>
      <c r="C47" s="108">
        <f t="shared" si="0"/>
        <v>54</v>
      </c>
      <c r="D47" s="221" t="s">
        <v>161</v>
      </c>
      <c r="E47" s="221">
        <v>21556</v>
      </c>
      <c r="F47" s="108" t="s">
        <v>161</v>
      </c>
      <c r="G47" s="108">
        <v>800</v>
      </c>
      <c r="H47" s="108">
        <f t="shared" si="1"/>
        <v>2.1556000000000002E-5</v>
      </c>
      <c r="I47" s="108">
        <f t="shared" si="2"/>
        <v>5.9779271647999996E-6</v>
      </c>
      <c r="K47" s="108">
        <f t="shared" si="3"/>
        <v>4.0870773333600002E-8</v>
      </c>
      <c r="Q47" s="108">
        <v>54</v>
      </c>
    </row>
    <row r="48" spans="1:17" x14ac:dyDescent="0.15">
      <c r="A48" s="108">
        <v>44</v>
      </c>
      <c r="B48" s="108">
        <v>0.81199997663497925</v>
      </c>
      <c r="C48" s="108">
        <f t="shared" si="0"/>
        <v>54</v>
      </c>
      <c r="D48" s="221" t="s">
        <v>158</v>
      </c>
      <c r="E48" s="221">
        <v>96820</v>
      </c>
      <c r="F48" s="108" t="s">
        <v>158</v>
      </c>
      <c r="G48" s="108">
        <v>19668</v>
      </c>
      <c r="H48" s="108">
        <f t="shared" si="1"/>
        <v>9.6820000000000012E-5</v>
      </c>
      <c r="I48" s="108">
        <f t="shared" si="2"/>
        <v>2.6850199856E-5</v>
      </c>
      <c r="J48" s="108">
        <f t="shared" si="4"/>
        <v>1.3322165691934441E-6</v>
      </c>
      <c r="Q48" s="108">
        <v>54</v>
      </c>
    </row>
    <row r="49" spans="1:17" x14ac:dyDescent="0.15">
      <c r="A49" s="108">
        <v>45</v>
      </c>
      <c r="B49" s="108">
        <v>0.81199997663497925</v>
      </c>
      <c r="C49" s="108">
        <f t="shared" si="0"/>
        <v>54</v>
      </c>
      <c r="D49" s="221" t="s">
        <v>161</v>
      </c>
      <c r="E49" s="221">
        <v>42036</v>
      </c>
      <c r="F49" s="108" t="s">
        <v>161</v>
      </c>
      <c r="G49" s="108">
        <v>3200</v>
      </c>
      <c r="H49" s="108">
        <f t="shared" si="1"/>
        <v>4.2036000000000002E-5</v>
      </c>
      <c r="I49" s="108">
        <f t="shared" si="2"/>
        <v>1.16574571488E-5</v>
      </c>
      <c r="K49" s="108">
        <f t="shared" si="3"/>
        <v>1.6348309333440001E-7</v>
      </c>
      <c r="Q49" s="108">
        <v>54</v>
      </c>
    </row>
    <row r="50" spans="1:17" x14ac:dyDescent="0.15">
      <c r="A50" s="108">
        <v>46</v>
      </c>
      <c r="B50" s="108">
        <v>0.81199997663497925</v>
      </c>
      <c r="C50" s="108">
        <f t="shared" si="0"/>
        <v>54</v>
      </c>
      <c r="D50" s="221" t="s">
        <v>158</v>
      </c>
      <c r="E50" s="221">
        <v>84020</v>
      </c>
      <c r="F50" s="108" t="s">
        <v>158</v>
      </c>
      <c r="G50" s="108">
        <v>819796</v>
      </c>
      <c r="H50" s="108">
        <f t="shared" si="1"/>
        <v>8.4019999999999999E-5</v>
      </c>
      <c r="I50" s="108">
        <f t="shared" si="2"/>
        <v>2.3300493615999997E-5</v>
      </c>
      <c r="J50" s="108">
        <f t="shared" si="4"/>
        <v>5.5529073345460066E-5</v>
      </c>
      <c r="Q50" s="108">
        <v>54</v>
      </c>
    </row>
    <row r="51" spans="1:17" x14ac:dyDescent="0.15">
      <c r="A51" s="108">
        <v>47</v>
      </c>
      <c r="B51" s="108">
        <v>0.81199997663497925</v>
      </c>
      <c r="C51" s="108">
        <f t="shared" si="0"/>
        <v>54</v>
      </c>
      <c r="D51" s="221" t="s">
        <v>161</v>
      </c>
      <c r="E51" s="221">
        <v>43060</v>
      </c>
      <c r="F51" s="108" t="s">
        <v>161</v>
      </c>
      <c r="G51" s="108">
        <v>800</v>
      </c>
      <c r="H51" s="108">
        <f t="shared" si="1"/>
        <v>4.3060000000000004E-5</v>
      </c>
      <c r="I51" s="108">
        <f t="shared" si="2"/>
        <v>1.1941433648000001E-5</v>
      </c>
      <c r="K51" s="108">
        <f t="shared" si="3"/>
        <v>4.0870773333600002E-8</v>
      </c>
      <c r="Q51" s="108">
        <v>54</v>
      </c>
    </row>
    <row r="52" spans="1:17" x14ac:dyDescent="0.15">
      <c r="A52" s="108">
        <v>48</v>
      </c>
      <c r="B52" s="108">
        <v>0.81199997663497925</v>
      </c>
      <c r="C52" s="108">
        <f t="shared" si="0"/>
        <v>54</v>
      </c>
      <c r="D52" s="221" t="s">
        <v>158</v>
      </c>
      <c r="E52" s="221">
        <v>96820</v>
      </c>
      <c r="F52" s="108" t="s">
        <v>158</v>
      </c>
      <c r="G52" s="108">
        <v>19668</v>
      </c>
      <c r="H52" s="108">
        <f t="shared" si="1"/>
        <v>9.6820000000000012E-5</v>
      </c>
      <c r="I52" s="108">
        <f t="shared" si="2"/>
        <v>2.6850199856E-5</v>
      </c>
      <c r="J52" s="108">
        <f t="shared" si="4"/>
        <v>1.3322165691934441E-6</v>
      </c>
      <c r="Q52" s="108">
        <v>54</v>
      </c>
    </row>
    <row r="53" spans="1:17" x14ac:dyDescent="0.15">
      <c r="A53" s="108">
        <v>49</v>
      </c>
      <c r="B53" s="108">
        <v>0.81199997663497925</v>
      </c>
      <c r="C53" s="108">
        <f t="shared" si="0"/>
        <v>54</v>
      </c>
      <c r="D53" s="221" t="s">
        <v>161</v>
      </c>
      <c r="E53" s="221">
        <v>42036</v>
      </c>
      <c r="F53" s="108" t="s">
        <v>161</v>
      </c>
      <c r="G53" s="108">
        <v>3200</v>
      </c>
      <c r="H53" s="108">
        <f t="shared" si="1"/>
        <v>4.2036000000000002E-5</v>
      </c>
      <c r="I53" s="108">
        <f t="shared" si="2"/>
        <v>1.16574571488E-5</v>
      </c>
      <c r="K53" s="108">
        <f t="shared" si="3"/>
        <v>1.6348309333440001E-7</v>
      </c>
      <c r="Q53" s="108">
        <v>54</v>
      </c>
    </row>
    <row r="54" spans="1:17" x14ac:dyDescent="0.15">
      <c r="A54" s="108">
        <v>50</v>
      </c>
      <c r="B54" s="108">
        <v>0.81199997663497925</v>
      </c>
      <c r="C54" s="108">
        <f t="shared" si="0"/>
        <v>54</v>
      </c>
      <c r="D54" s="221" t="s">
        <v>158</v>
      </c>
      <c r="E54" s="221">
        <v>43060</v>
      </c>
      <c r="F54" s="108" t="s">
        <v>158</v>
      </c>
      <c r="G54" s="108">
        <v>102996</v>
      </c>
      <c r="H54" s="108">
        <f t="shared" si="1"/>
        <v>4.3060000000000004E-5</v>
      </c>
      <c r="I54" s="108">
        <f t="shared" si="2"/>
        <v>1.1941433648000001E-5</v>
      </c>
      <c r="J54" s="108">
        <f t="shared" si="4"/>
        <v>6.9764580923656684E-6</v>
      </c>
      <c r="Q54" s="108">
        <v>54</v>
      </c>
    </row>
    <row r="55" spans="1:17" x14ac:dyDescent="0.15">
      <c r="A55" s="108">
        <v>51</v>
      </c>
      <c r="B55" s="108">
        <v>0.81199997663497925</v>
      </c>
      <c r="C55" s="108">
        <f t="shared" si="0"/>
        <v>54</v>
      </c>
      <c r="D55" s="221" t="s">
        <v>161</v>
      </c>
      <c r="E55" s="221">
        <v>96820</v>
      </c>
      <c r="F55" s="108" t="s">
        <v>161</v>
      </c>
      <c r="G55" s="108">
        <v>800</v>
      </c>
      <c r="H55" s="108">
        <f t="shared" si="1"/>
        <v>9.6820000000000012E-5</v>
      </c>
      <c r="I55" s="108">
        <f t="shared" si="2"/>
        <v>2.6850199856E-5</v>
      </c>
      <c r="K55" s="108">
        <f t="shared" si="3"/>
        <v>4.0870773333600002E-8</v>
      </c>
      <c r="Q55" s="108">
        <v>54</v>
      </c>
    </row>
    <row r="56" spans="1:17" x14ac:dyDescent="0.15">
      <c r="A56" s="108">
        <v>52</v>
      </c>
      <c r="B56" s="108">
        <v>0.81199997663497925</v>
      </c>
      <c r="C56" s="108">
        <f t="shared" si="0"/>
        <v>54</v>
      </c>
      <c r="D56" s="221" t="s">
        <v>158</v>
      </c>
      <c r="E56" s="221">
        <v>42036</v>
      </c>
      <c r="F56" s="108" t="s">
        <v>158</v>
      </c>
      <c r="G56" s="108">
        <v>102996</v>
      </c>
      <c r="H56" s="108">
        <f t="shared" si="1"/>
        <v>4.2036000000000002E-5</v>
      </c>
      <c r="I56" s="108">
        <f t="shared" si="2"/>
        <v>1.16574571488E-5</v>
      </c>
      <c r="J56" s="108">
        <f t="shared" si="4"/>
        <v>6.9764580923656684E-6</v>
      </c>
      <c r="Q56" s="108">
        <v>54</v>
      </c>
    </row>
    <row r="57" spans="1:17" x14ac:dyDescent="0.15">
      <c r="A57" s="108">
        <v>52</v>
      </c>
      <c r="B57" s="108">
        <v>0.81199997663497925</v>
      </c>
      <c r="C57" s="108">
        <f t="shared" si="0"/>
        <v>54</v>
      </c>
      <c r="D57" s="221" t="s">
        <v>164</v>
      </c>
      <c r="E57" s="221">
        <f>+G57*16/25</f>
        <v>2048</v>
      </c>
      <c r="F57" s="108" t="s">
        <v>164</v>
      </c>
      <c r="G57" s="108">
        <v>3200</v>
      </c>
      <c r="H57" s="108">
        <f t="shared" si="1"/>
        <v>2.0480000000000001E-6</v>
      </c>
      <c r="I57" s="108">
        <f t="shared" si="2"/>
        <v>5.6795299839999995E-7</v>
      </c>
      <c r="K57" s="108">
        <f t="shared" si="3"/>
        <v>1.6348309333440001E-7</v>
      </c>
      <c r="Q57" s="108">
        <v>54</v>
      </c>
    </row>
    <row r="58" spans="1:17" x14ac:dyDescent="0.15">
      <c r="A58" s="108">
        <v>54</v>
      </c>
      <c r="B58" s="108">
        <v>0.81199997663497925</v>
      </c>
      <c r="C58" s="108">
        <f t="shared" si="0"/>
        <v>54</v>
      </c>
      <c r="D58" s="221" t="s">
        <v>183</v>
      </c>
      <c r="E58" s="221">
        <v>51202</v>
      </c>
      <c r="F58" s="108" t="s">
        <v>183</v>
      </c>
      <c r="G58" s="108">
        <v>163840596</v>
      </c>
      <c r="H58" s="108">
        <f t="shared" si="1"/>
        <v>5.1202000000000002E-5</v>
      </c>
      <c r="I58" s="108">
        <f t="shared" si="2"/>
        <v>1.41993796016E-5</v>
      </c>
      <c r="J58" s="108">
        <f t="shared" si="4"/>
        <v>1.1097780999477785E-2</v>
      </c>
      <c r="Q58" s="108">
        <v>54</v>
      </c>
    </row>
    <row r="59" spans="1:17" x14ac:dyDescent="0.15">
      <c r="E59" s="221">
        <f>SUM(E2:E58)</f>
        <v>3325776</v>
      </c>
      <c r="H59" s="108" t="s">
        <v>154</v>
      </c>
      <c r="I59" s="108">
        <f>SUM(I2:I58)</f>
        <v>9.3440480382720045E-4</v>
      </c>
      <c r="J59" s="108">
        <f t="shared" ref="J59:K59" si="5">SUM(J2:J58)</f>
        <v>1.1332227987185335E-2</v>
      </c>
      <c r="K59" s="108">
        <f>SUM(K2:K58)</f>
        <v>9.5198606113953023E-6</v>
      </c>
    </row>
    <row r="61" spans="1:17" x14ac:dyDescent="0.15">
      <c r="F61" s="108" t="s">
        <v>184</v>
      </c>
      <c r="G61" s="206">
        <v>173962.75</v>
      </c>
      <c r="H61" s="108">
        <f>+G61/G62</f>
        <v>1</v>
      </c>
    </row>
    <row r="62" spans="1:17" x14ac:dyDescent="0.15">
      <c r="B62" s="108" t="s">
        <v>199</v>
      </c>
      <c r="F62" s="108" t="s">
        <v>185</v>
      </c>
      <c r="G62" s="108">
        <f>+'[2]Hoja 1'!F52</f>
        <v>173962.75</v>
      </c>
    </row>
    <row r="63" spans="1:17" x14ac:dyDescent="0.15">
      <c r="B63" s="108">
        <v>54</v>
      </c>
      <c r="C63" s="108">
        <f>COUNTIF(C2:C58,54)</f>
        <v>48</v>
      </c>
      <c r="F63" s="108" t="s">
        <v>82</v>
      </c>
      <c r="G63" s="205">
        <v>167438330.75</v>
      </c>
      <c r="H63" s="108">
        <f>+G63/G64</f>
        <v>0.95507379541599713</v>
      </c>
    </row>
    <row r="64" spans="1:17" x14ac:dyDescent="0.15">
      <c r="B64" s="108">
        <v>56</v>
      </c>
      <c r="C64" s="108">
        <f>COUNTIF(C2:C58,56)</f>
        <v>5</v>
      </c>
      <c r="F64" s="108" t="s">
        <v>185</v>
      </c>
      <c r="G64" s="108">
        <f>+'[2]Hoja 1'!D52</f>
        <v>175314548</v>
      </c>
    </row>
    <row r="65" spans="2:3" x14ac:dyDescent="0.15">
      <c r="B65" s="108">
        <v>58</v>
      </c>
      <c r="C65" s="108">
        <f>COUNTIF(C2:C58,58)</f>
        <v>2</v>
      </c>
    </row>
    <row r="66" spans="2:3" x14ac:dyDescent="0.15">
      <c r="B66" s="108">
        <v>60</v>
      </c>
      <c r="C66" s="108">
        <f>COUNTIF(C2:C58,60)</f>
        <v>2</v>
      </c>
    </row>
  </sheetData>
  <autoFilter ref="F1:F65" xr:uid="{EFB1F889-BF56-5046-AF58-9BCA7115C0E3}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9A1AF-1D02-4A45-8CD2-295E7AFB77F2}">
  <sheetPr codeName="Hoja21"/>
  <dimension ref="A1:Z350"/>
  <sheetViews>
    <sheetView workbookViewId="0">
      <pane ySplit="1" topLeftCell="A165" activePane="bottomLeft" state="frozen"/>
      <selection pane="bottomLeft" activeCell="U3" sqref="U3"/>
    </sheetView>
  </sheetViews>
  <sheetFormatPr baseColWidth="10" defaultRowHeight="13" x14ac:dyDescent="0.15"/>
  <cols>
    <col min="1" max="1" width="10.83203125" style="108"/>
    <col min="2" max="2" width="13.5" style="108" bestFit="1" customWidth="1"/>
    <col min="3" max="3" width="8.1640625" style="108" customWidth="1"/>
    <col min="4" max="4" width="10.83203125" style="108"/>
    <col min="5" max="5" width="25.83203125" style="108" bestFit="1" customWidth="1"/>
    <col min="6" max="6" width="16.83203125" style="108" bestFit="1" customWidth="1"/>
    <col min="7" max="7" width="10.83203125" style="108"/>
    <col min="8" max="10" width="12.33203125" style="108" bestFit="1" customWidth="1"/>
    <col min="11" max="19" width="10.83203125" style="108"/>
    <col min="20" max="25" width="15.1640625" style="108" customWidth="1"/>
    <col min="26" max="16384" width="10.83203125" style="108"/>
  </cols>
  <sheetData>
    <row r="1" spans="1:26" ht="14" x14ac:dyDescent="0.15">
      <c r="A1" s="108" t="s">
        <v>134</v>
      </c>
      <c r="B1" s="108" t="s">
        <v>135</v>
      </c>
      <c r="C1" s="108" t="s">
        <v>136</v>
      </c>
      <c r="D1" s="108" t="s">
        <v>87</v>
      </c>
      <c r="E1" s="108" t="s">
        <v>190</v>
      </c>
      <c r="F1" s="108" t="s">
        <v>187</v>
      </c>
      <c r="G1" s="222" t="s">
        <v>151</v>
      </c>
      <c r="H1" s="222" t="s">
        <v>152</v>
      </c>
      <c r="I1" s="222" t="s">
        <v>82</v>
      </c>
      <c r="J1" s="222" t="s">
        <v>83</v>
      </c>
      <c r="Q1" s="108" t="s">
        <v>177</v>
      </c>
      <c r="R1" s="108" t="s">
        <v>178</v>
      </c>
      <c r="T1" s="140"/>
      <c r="U1" s="140"/>
      <c r="V1" s="140"/>
      <c r="W1" s="140"/>
      <c r="X1" s="140"/>
      <c r="Y1" s="140"/>
    </row>
    <row r="2" spans="1:26" x14ac:dyDescent="0.15">
      <c r="C2" s="108">
        <f>_xlfn.SWITCH(Q2,60,60,59,60,58,60,57,58,56,58,55,56,54,IF(B2&gt;$R$2,54,56))</f>
        <v>60</v>
      </c>
      <c r="D2" s="108">
        <v>2700</v>
      </c>
      <c r="E2" s="108" t="s">
        <v>157</v>
      </c>
      <c r="F2" s="108">
        <v>4218.75</v>
      </c>
      <c r="G2" s="108">
        <f>D2*$U$6</f>
        <v>2.7E-6</v>
      </c>
      <c r="H2" s="108">
        <f>_xlfn.SWITCH(C2+$U$2,54,$Z$10,55,$Y$10,56,$X$10,57,$W$10,58,$V$10,59,$U$10,$U$17)*G2</f>
        <v>8.5037255999999993E-7</v>
      </c>
      <c r="J2" s="108">
        <f>_xlfn.SWITCH(C2+$U$2,54,$Z$12,55,$Y$12,56,$X$12,57,$W$12,58,$V$12,59,$U$12,$U$19)*F2*$U$6</f>
        <v>2.8019376562500001E-7</v>
      </c>
      <c r="Q2" s="108">
        <v>60</v>
      </c>
      <c r="R2">
        <v>0.76800000667571999</v>
      </c>
      <c r="T2" s="108" t="s">
        <v>171</v>
      </c>
      <c r="U2" s="108">
        <v>1</v>
      </c>
    </row>
    <row r="3" spans="1:26" x14ac:dyDescent="0.15">
      <c r="A3" s="108">
        <v>0</v>
      </c>
      <c r="B3" s="213">
        <v>0.76800000667572021</v>
      </c>
      <c r="C3" s="108">
        <f t="shared" ref="C3:C66" si="0">_xlfn.SWITCH(Q3,60,60,59,60,58,60,57,58,56,58,55,56,54,IF(B3&gt;$R$2,54,56))</f>
        <v>56</v>
      </c>
      <c r="D3" s="108">
        <v>11932</v>
      </c>
      <c r="E3" s="108" t="s">
        <v>158</v>
      </c>
      <c r="F3" s="108">
        <v>5078.0625</v>
      </c>
      <c r="G3" s="108">
        <f t="shared" ref="G3:G66" si="1">D3*$U$6</f>
        <v>1.1932E-5</v>
      </c>
      <c r="H3" s="108">
        <f t="shared" ref="H3:H66" si="2">_xlfn.SWITCH(C3+$U$2,54,$Z$10,55,$Y$10,56,$X$10,57,$W$10,58,$V$10,59,$U$10,$U$17)*G3</f>
        <v>3.4886017952000004E-6</v>
      </c>
      <c r="I3" s="108">
        <f>_xlfn.SWITCH(C3+$U$2,54,$Z$11,55,$Y$11,56,$X$11,57,$W$11,58,$V$11,59,$U$11,$U$18)*F3*$U$6</f>
        <v>3.7658556035624999E-7</v>
      </c>
      <c r="Q3" s="108">
        <v>54</v>
      </c>
    </row>
    <row r="4" spans="1:26" x14ac:dyDescent="0.15">
      <c r="A4" s="108">
        <v>1</v>
      </c>
      <c r="B4" s="213">
        <v>0.76800000667572021</v>
      </c>
      <c r="C4" s="108">
        <f t="shared" si="0"/>
        <v>56</v>
      </c>
      <c r="D4" s="108">
        <v>119860</v>
      </c>
      <c r="E4" s="108" t="s">
        <v>161</v>
      </c>
      <c r="F4" s="108">
        <v>10368</v>
      </c>
      <c r="G4" s="108">
        <f t="shared" si="1"/>
        <v>1.1986000000000001E-4</v>
      </c>
      <c r="H4" s="108">
        <f t="shared" si="2"/>
        <v>3.5043899696000002E-5</v>
      </c>
      <c r="J4" s="108">
        <f t="shared" ref="J3:J66" si="3">_xlfn.SWITCH(C4+$U$2,54,$Z$12,55,$Y$12,56,$X$12,57,$W$12,58,$V$12,59,$U$12,$U$19)*F4*$U$6</f>
        <v>5.932528128000001E-7</v>
      </c>
      <c r="Q4" s="108">
        <v>54</v>
      </c>
    </row>
    <row r="5" spans="1:26" x14ac:dyDescent="0.15">
      <c r="A5" s="108">
        <v>2</v>
      </c>
      <c r="B5" s="213">
        <v>0.76800000667572021</v>
      </c>
      <c r="C5" s="108">
        <f t="shared" si="0"/>
        <v>56</v>
      </c>
      <c r="D5" s="108">
        <v>169396</v>
      </c>
      <c r="E5" s="108" t="s">
        <v>158</v>
      </c>
      <c r="F5" s="108">
        <v>38632</v>
      </c>
      <c r="G5" s="108">
        <f t="shared" si="1"/>
        <v>1.6939600000000002E-4</v>
      </c>
      <c r="H5" s="108">
        <f t="shared" si="2"/>
        <v>4.9526918345600004E-5</v>
      </c>
      <c r="I5" s="108">
        <f t="shared" ref="I4:I67" si="4">_xlfn.SWITCH(C5+$U$2,54,$Z$11,55,$Y$11,56,$X$11,57,$W$11,58,$V$11,59,$U$11,$U$18)*F5*$U$6</f>
        <v>2.8649220775999998E-6</v>
      </c>
      <c r="Q5" s="108">
        <v>54</v>
      </c>
      <c r="T5" s="108" t="s">
        <v>57</v>
      </c>
      <c r="U5" s="108">
        <v>1</v>
      </c>
      <c r="V5" s="108" t="s">
        <v>58</v>
      </c>
    </row>
    <row r="6" spans="1:26" x14ac:dyDescent="0.15">
      <c r="A6" s="108">
        <v>3</v>
      </c>
      <c r="B6" s="213">
        <v>0.76800000667572021</v>
      </c>
      <c r="C6" s="108">
        <f t="shared" si="0"/>
        <v>56</v>
      </c>
      <c r="D6" s="108">
        <v>108340</v>
      </c>
      <c r="E6" s="108" t="s">
        <v>161</v>
      </c>
      <c r="F6" s="108">
        <v>6936</v>
      </c>
      <c r="G6" s="108">
        <f t="shared" si="1"/>
        <v>1.0834000000000001E-4</v>
      </c>
      <c r="H6" s="108">
        <f t="shared" si="2"/>
        <v>3.1675755824000003E-5</v>
      </c>
      <c r="J6" s="108">
        <f t="shared" si="3"/>
        <v>3.9687514560000003E-7</v>
      </c>
      <c r="Q6" s="108">
        <v>54</v>
      </c>
      <c r="U6" s="196">
        <f>U5/1000000000</f>
        <v>1.0000000000000001E-9</v>
      </c>
      <c r="V6" s="108" t="s">
        <v>153</v>
      </c>
    </row>
    <row r="7" spans="1:26" x14ac:dyDescent="0.15">
      <c r="A7" s="108">
        <v>4</v>
      </c>
      <c r="B7" s="213">
        <v>0.13199999928474429</v>
      </c>
      <c r="C7" s="108">
        <f t="shared" si="0"/>
        <v>58</v>
      </c>
      <c r="D7" s="108">
        <v>12544</v>
      </c>
      <c r="E7" s="108" t="s">
        <v>169</v>
      </c>
      <c r="F7" s="108">
        <v>19600</v>
      </c>
      <c r="G7" s="108">
        <f t="shared" si="1"/>
        <v>1.2544000000000001E-5</v>
      </c>
      <c r="H7" s="108">
        <f t="shared" si="2"/>
        <v>3.8563567616000002E-6</v>
      </c>
      <c r="I7" s="108">
        <f t="shared" si="4"/>
        <v>1.5794339867320001E-6</v>
      </c>
      <c r="Q7" s="108">
        <v>57</v>
      </c>
    </row>
    <row r="8" spans="1:26" x14ac:dyDescent="0.15">
      <c r="A8" s="108">
        <v>5</v>
      </c>
      <c r="B8" s="213">
        <v>0.76800000667572021</v>
      </c>
      <c r="C8" s="108">
        <f t="shared" si="0"/>
        <v>56</v>
      </c>
      <c r="D8" s="108">
        <v>22612</v>
      </c>
      <c r="E8" s="108" t="s">
        <v>161</v>
      </c>
      <c r="F8" s="108">
        <v>4624</v>
      </c>
      <c r="G8" s="108">
        <f t="shared" si="1"/>
        <v>2.2612000000000003E-5</v>
      </c>
      <c r="H8" s="108">
        <f t="shared" si="2"/>
        <v>6.6111518432000008E-6</v>
      </c>
      <c r="J8" s="108">
        <f t="shared" si="3"/>
        <v>2.6458343040000004E-7</v>
      </c>
      <c r="Q8" s="108">
        <v>54</v>
      </c>
    </row>
    <row r="9" spans="1:26" ht="14" x14ac:dyDescent="0.15">
      <c r="A9" s="108">
        <v>6</v>
      </c>
      <c r="B9" s="213">
        <v>0.76800000667572021</v>
      </c>
      <c r="C9" s="108">
        <f t="shared" si="0"/>
        <v>56</v>
      </c>
      <c r="D9" s="108">
        <v>63220</v>
      </c>
      <c r="E9" s="108" t="s">
        <v>158</v>
      </c>
      <c r="F9" s="108">
        <v>14976</v>
      </c>
      <c r="G9" s="108">
        <f t="shared" si="1"/>
        <v>6.3220000000000008E-5</v>
      </c>
      <c r="H9" s="108">
        <f t="shared" si="2"/>
        <v>1.8483858992000003E-5</v>
      </c>
      <c r="I9" s="108">
        <f t="shared" si="4"/>
        <v>1.1106096768000001E-6</v>
      </c>
      <c r="Q9" s="108">
        <v>54</v>
      </c>
      <c r="T9" s="197"/>
      <c r="U9" s="197">
        <v>0.59</v>
      </c>
      <c r="V9" s="197">
        <v>0.57999999999999996</v>
      </c>
      <c r="W9" s="197">
        <v>0.56999999999999995</v>
      </c>
      <c r="X9" s="197">
        <v>0.56000000000000005</v>
      </c>
      <c r="Y9" s="197">
        <v>0.55000000000000004</v>
      </c>
      <c r="Z9" s="144">
        <v>0.54</v>
      </c>
    </row>
    <row r="10" spans="1:26" x14ac:dyDescent="0.15">
      <c r="A10" s="108">
        <v>7</v>
      </c>
      <c r="B10" s="213">
        <v>0.76800000667572021</v>
      </c>
      <c r="C10" s="108">
        <f t="shared" si="0"/>
        <v>56</v>
      </c>
      <c r="D10" s="108">
        <v>63220</v>
      </c>
      <c r="E10" s="108" t="s">
        <v>161</v>
      </c>
      <c r="F10" s="108">
        <v>4624</v>
      </c>
      <c r="G10" s="108">
        <f t="shared" si="1"/>
        <v>6.3220000000000008E-5</v>
      </c>
      <c r="H10" s="108">
        <f t="shared" si="2"/>
        <v>1.8483858992000003E-5</v>
      </c>
      <c r="J10" s="108">
        <f t="shared" si="3"/>
        <v>2.6458343040000004E-7</v>
      </c>
      <c r="Q10" s="108">
        <v>54</v>
      </c>
      <c r="T10" s="197" t="s">
        <v>46</v>
      </c>
      <c r="U10" s="198">
        <v>0.30742639999999999</v>
      </c>
      <c r="V10" s="198">
        <v>0.2999</v>
      </c>
      <c r="W10" s="198">
        <v>0.29237360000000001</v>
      </c>
      <c r="X10" s="198">
        <v>0.28484720000000002</v>
      </c>
      <c r="Y10" s="198">
        <v>0.27732079999999998</v>
      </c>
      <c r="Z10" s="93">
        <v>0.26979439999999999</v>
      </c>
    </row>
    <row r="11" spans="1:26" x14ac:dyDescent="0.15">
      <c r="A11" s="108">
        <v>8</v>
      </c>
      <c r="B11" s="213">
        <v>0.76800000667572021</v>
      </c>
      <c r="C11" s="108">
        <f t="shared" si="0"/>
        <v>56</v>
      </c>
      <c r="D11" s="108">
        <v>30132</v>
      </c>
      <c r="E11" s="108" t="s">
        <v>158</v>
      </c>
      <c r="F11" s="108">
        <v>84336</v>
      </c>
      <c r="G11" s="108">
        <f t="shared" si="1"/>
        <v>3.0132000000000002E-5</v>
      </c>
      <c r="H11" s="108">
        <f t="shared" si="2"/>
        <v>8.8098013152000003E-6</v>
      </c>
      <c r="I11" s="108">
        <f t="shared" si="4"/>
        <v>6.2542987248000002E-6</v>
      </c>
      <c r="Q11" s="108">
        <v>54</v>
      </c>
      <c r="T11" s="197" t="s">
        <v>48</v>
      </c>
      <c r="U11" s="198">
        <v>8.0583366670000003E-2</v>
      </c>
      <c r="V11" s="198">
        <v>7.737133333E-2</v>
      </c>
      <c r="W11" s="198">
        <v>7.4159299999999997E-2</v>
      </c>
      <c r="X11" s="198">
        <v>7.0947266667000006E-2</v>
      </c>
      <c r="Y11" s="198">
        <v>6.7735233332999994E-2</v>
      </c>
      <c r="Z11" s="93">
        <v>6.4523200000000003E-2</v>
      </c>
    </row>
    <row r="12" spans="1:26" x14ac:dyDescent="0.15">
      <c r="A12" s="108">
        <v>9</v>
      </c>
      <c r="B12" s="213">
        <v>0.76800000667572021</v>
      </c>
      <c r="C12" s="108">
        <f t="shared" si="0"/>
        <v>56</v>
      </c>
      <c r="D12" s="108">
        <v>94516</v>
      </c>
      <c r="E12" s="108" t="s">
        <v>161</v>
      </c>
      <c r="F12" s="108">
        <v>6144</v>
      </c>
      <c r="G12" s="108">
        <f t="shared" si="1"/>
        <v>9.4516000000000001E-5</v>
      </c>
      <c r="H12" s="108">
        <f t="shared" si="2"/>
        <v>2.76339831776E-5</v>
      </c>
      <c r="J12" s="108">
        <f t="shared" si="3"/>
        <v>3.5155722240000002E-7</v>
      </c>
      <c r="Q12" s="108">
        <v>54</v>
      </c>
      <c r="T12" s="197" t="s">
        <v>49</v>
      </c>
      <c r="U12" s="198">
        <v>6.3350733330000006E-2</v>
      </c>
      <c r="V12" s="198">
        <v>6.0285166666700002E-2</v>
      </c>
      <c r="W12" s="198">
        <v>5.7219600000000002E-2</v>
      </c>
      <c r="X12" s="198">
        <v>5.4154033329999997E-2</v>
      </c>
      <c r="Y12" s="198">
        <v>5.1088466667000003E-2</v>
      </c>
      <c r="Z12" s="93">
        <v>4.80229E-2</v>
      </c>
    </row>
    <row r="13" spans="1:26" x14ac:dyDescent="0.15">
      <c r="A13" s="108">
        <v>10</v>
      </c>
      <c r="B13" s="213">
        <v>0.69999998807907104</v>
      </c>
      <c r="C13" s="108">
        <f t="shared" si="0"/>
        <v>58</v>
      </c>
      <c r="D13" s="108">
        <v>141748</v>
      </c>
      <c r="E13" s="108" t="s">
        <v>158</v>
      </c>
      <c r="F13" s="108">
        <v>44856</v>
      </c>
      <c r="G13" s="108">
        <f t="shared" si="1"/>
        <v>1.41748E-4</v>
      </c>
      <c r="H13" s="108">
        <f t="shared" si="2"/>
        <v>4.3577077347199995E-5</v>
      </c>
      <c r="I13" s="108">
        <f t="shared" si="4"/>
        <v>3.6146474953495206E-6</v>
      </c>
      <c r="Q13" s="108">
        <v>57</v>
      </c>
    </row>
    <row r="14" spans="1:26" x14ac:dyDescent="0.15">
      <c r="A14" s="108">
        <v>11</v>
      </c>
      <c r="B14" s="213">
        <v>0.76800000667572021</v>
      </c>
      <c r="C14" s="108">
        <f t="shared" si="0"/>
        <v>56</v>
      </c>
      <c r="D14" s="108">
        <v>124468</v>
      </c>
      <c r="E14" s="108" t="s">
        <v>161</v>
      </c>
      <c r="F14" s="108">
        <v>2700</v>
      </c>
      <c r="G14" s="108">
        <f t="shared" si="1"/>
        <v>1.24468E-4</v>
      </c>
      <c r="H14" s="108">
        <f t="shared" si="2"/>
        <v>3.6391157244800003E-5</v>
      </c>
      <c r="J14" s="108">
        <f t="shared" si="3"/>
        <v>1.5449292000000001E-7</v>
      </c>
      <c r="Q14" s="108">
        <v>54</v>
      </c>
    </row>
    <row r="15" spans="1:26" x14ac:dyDescent="0.15">
      <c r="A15" s="108">
        <v>12</v>
      </c>
      <c r="B15" s="213">
        <v>0.76800000667572021</v>
      </c>
      <c r="C15" s="108">
        <f t="shared" si="0"/>
        <v>56</v>
      </c>
      <c r="D15" s="108">
        <v>12288</v>
      </c>
      <c r="E15" s="108" t="s">
        <v>169</v>
      </c>
      <c r="F15" s="108">
        <v>12288</v>
      </c>
      <c r="G15" s="108">
        <f t="shared" si="1"/>
        <v>1.2288000000000002E-5</v>
      </c>
      <c r="H15" s="108">
        <f t="shared" si="2"/>
        <v>3.5926867968000005E-6</v>
      </c>
      <c r="I15" s="108">
        <f t="shared" si="4"/>
        <v>9.1126947840000008E-7</v>
      </c>
      <c r="Q15" s="108">
        <v>54</v>
      </c>
      <c r="T15" s="108" t="s">
        <v>45</v>
      </c>
      <c r="U15" s="108" t="s">
        <v>9</v>
      </c>
    </row>
    <row r="16" spans="1:26" x14ac:dyDescent="0.15">
      <c r="A16" s="108">
        <v>13</v>
      </c>
      <c r="B16" s="213">
        <v>0.76800000667572021</v>
      </c>
      <c r="C16" s="108">
        <f t="shared" si="0"/>
        <v>56</v>
      </c>
      <c r="D16" s="108">
        <v>10420</v>
      </c>
      <c r="E16" s="108" t="s">
        <v>161</v>
      </c>
      <c r="F16" s="108">
        <v>900</v>
      </c>
      <c r="G16" s="108">
        <f t="shared" si="1"/>
        <v>1.042E-5</v>
      </c>
      <c r="H16" s="108">
        <f t="shared" si="2"/>
        <v>3.0465329120000003E-6</v>
      </c>
      <c r="J16" s="108">
        <f t="shared" si="3"/>
        <v>5.1497640000000007E-8</v>
      </c>
      <c r="Q16" s="108">
        <v>54</v>
      </c>
      <c r="T16" s="108" t="s">
        <v>102</v>
      </c>
      <c r="U16" s="199">
        <v>3.1</v>
      </c>
    </row>
    <row r="17" spans="1:21" x14ac:dyDescent="0.15">
      <c r="A17" s="108">
        <v>14</v>
      </c>
      <c r="B17" s="213">
        <v>0.76800000667572021</v>
      </c>
      <c r="C17" s="108">
        <f t="shared" si="0"/>
        <v>56</v>
      </c>
      <c r="D17" s="108">
        <v>20788</v>
      </c>
      <c r="E17" s="108" t="s">
        <v>158</v>
      </c>
      <c r="F17" s="108">
        <v>24348</v>
      </c>
      <c r="G17" s="108">
        <f t="shared" si="1"/>
        <v>2.0788000000000002E-5</v>
      </c>
      <c r="H17" s="108">
        <f t="shared" si="2"/>
        <v>6.0778623968000008E-6</v>
      </c>
      <c r="I17" s="108">
        <f t="shared" si="4"/>
        <v>1.8056306364000002E-6</v>
      </c>
      <c r="Q17" s="108">
        <v>54</v>
      </c>
      <c r="T17" s="108" t="s">
        <v>46</v>
      </c>
      <c r="U17" s="199">
        <v>0.31495279999999998</v>
      </c>
    </row>
    <row r="18" spans="1:21" x14ac:dyDescent="0.15">
      <c r="A18" s="108">
        <v>15</v>
      </c>
      <c r="B18" s="213">
        <v>0.76800000667572021</v>
      </c>
      <c r="C18" s="108">
        <f t="shared" si="0"/>
        <v>56</v>
      </c>
      <c r="D18" s="108">
        <v>10420</v>
      </c>
      <c r="E18" s="108" t="s">
        <v>161</v>
      </c>
      <c r="F18" s="108">
        <v>900</v>
      </c>
      <c r="G18" s="108">
        <f t="shared" si="1"/>
        <v>1.042E-5</v>
      </c>
      <c r="H18" s="108">
        <f t="shared" si="2"/>
        <v>3.0465329120000003E-6</v>
      </c>
      <c r="J18" s="108">
        <f t="shared" si="3"/>
        <v>5.1497640000000007E-8</v>
      </c>
      <c r="Q18" s="108">
        <v>54</v>
      </c>
      <c r="T18" s="108" t="s">
        <v>48</v>
      </c>
      <c r="U18" s="199">
        <v>8.3795400000000006E-2</v>
      </c>
    </row>
    <row r="19" spans="1:21" x14ac:dyDescent="0.15">
      <c r="A19" s="108">
        <v>16</v>
      </c>
      <c r="B19" s="213">
        <v>0.76800000667572021</v>
      </c>
      <c r="C19" s="108">
        <f t="shared" si="0"/>
        <v>56</v>
      </c>
      <c r="D19" s="108">
        <v>3456</v>
      </c>
      <c r="E19" s="108" t="s">
        <v>163</v>
      </c>
      <c r="F19" s="108">
        <v>5400</v>
      </c>
      <c r="G19" s="108">
        <f t="shared" si="1"/>
        <v>3.456E-6</v>
      </c>
      <c r="H19" s="108">
        <f t="shared" si="2"/>
        <v>1.0104431616000001E-6</v>
      </c>
      <c r="I19" s="108">
        <f t="shared" si="4"/>
        <v>4.0046022000000003E-7</v>
      </c>
      <c r="Q19" s="108">
        <v>54</v>
      </c>
      <c r="T19" s="108" t="s">
        <v>49</v>
      </c>
      <c r="U19" s="199">
        <v>6.6416299999999998E-2</v>
      </c>
    </row>
    <row r="20" spans="1:21" x14ac:dyDescent="0.15">
      <c r="A20" s="108">
        <v>17</v>
      </c>
      <c r="B20" s="213">
        <v>0.76800000667572021</v>
      </c>
      <c r="C20" s="108">
        <f t="shared" si="0"/>
        <v>56</v>
      </c>
      <c r="D20" s="108">
        <v>31156</v>
      </c>
      <c r="E20" s="108" t="s">
        <v>161</v>
      </c>
      <c r="F20" s="108">
        <v>1350</v>
      </c>
      <c r="G20" s="108">
        <f t="shared" si="1"/>
        <v>3.1156000000000005E-5</v>
      </c>
      <c r="H20" s="108">
        <f t="shared" si="2"/>
        <v>9.1091918816000022E-6</v>
      </c>
      <c r="J20" s="108">
        <f t="shared" si="3"/>
        <v>7.7246460000000003E-8</v>
      </c>
      <c r="Q20" s="108">
        <v>54</v>
      </c>
    </row>
    <row r="21" spans="1:21" x14ac:dyDescent="0.15">
      <c r="A21" s="108">
        <v>18</v>
      </c>
      <c r="B21" s="213">
        <v>0.76800000667572021</v>
      </c>
      <c r="C21" s="108">
        <f t="shared" si="0"/>
        <v>56</v>
      </c>
      <c r="D21" s="108">
        <v>20788</v>
      </c>
      <c r="E21" s="108" t="s">
        <v>158</v>
      </c>
      <c r="F21" s="108">
        <v>28848</v>
      </c>
      <c r="G21" s="108">
        <f t="shared" si="1"/>
        <v>2.0788000000000002E-5</v>
      </c>
      <c r="H21" s="108">
        <f t="shared" si="2"/>
        <v>6.0778623968000008E-6</v>
      </c>
      <c r="I21" s="108">
        <f t="shared" si="4"/>
        <v>2.1393474864E-6</v>
      </c>
      <c r="Q21" s="108">
        <v>54</v>
      </c>
    </row>
    <row r="22" spans="1:21" x14ac:dyDescent="0.15">
      <c r="A22" s="108">
        <v>19</v>
      </c>
      <c r="B22" s="213">
        <v>0.76800000667572021</v>
      </c>
      <c r="C22" s="108">
        <f t="shared" si="0"/>
        <v>56</v>
      </c>
      <c r="D22" s="108">
        <v>13876</v>
      </c>
      <c r="E22" s="108" t="s">
        <v>161</v>
      </c>
      <c r="F22" s="108">
        <v>1350</v>
      </c>
      <c r="G22" s="108">
        <f t="shared" si="1"/>
        <v>1.3876000000000001E-5</v>
      </c>
      <c r="H22" s="108">
        <f t="shared" si="2"/>
        <v>4.0569760736000002E-6</v>
      </c>
      <c r="J22" s="108">
        <f t="shared" si="3"/>
        <v>7.7246460000000003E-8</v>
      </c>
      <c r="Q22" s="108">
        <v>54</v>
      </c>
    </row>
    <row r="23" spans="1:21" x14ac:dyDescent="0.15">
      <c r="A23" s="108">
        <v>20</v>
      </c>
      <c r="B23" s="213">
        <v>0.21600000560283661</v>
      </c>
      <c r="C23" s="108">
        <f t="shared" si="0"/>
        <v>58</v>
      </c>
      <c r="D23" s="108">
        <v>13876</v>
      </c>
      <c r="E23" s="108" t="s">
        <v>158</v>
      </c>
      <c r="F23" s="108">
        <v>56328</v>
      </c>
      <c r="G23" s="108">
        <f t="shared" si="1"/>
        <v>1.3876000000000001E-5</v>
      </c>
      <c r="H23" s="108">
        <f t="shared" si="2"/>
        <v>4.2658487264000001E-6</v>
      </c>
      <c r="I23" s="108">
        <f t="shared" si="4"/>
        <v>4.5390998777877607E-6</v>
      </c>
      <c r="Q23" s="108">
        <v>56</v>
      </c>
    </row>
    <row r="24" spans="1:21" x14ac:dyDescent="0.15">
      <c r="A24" s="108">
        <v>21</v>
      </c>
      <c r="B24" s="213">
        <v>0.76800000667572021</v>
      </c>
      <c r="C24" s="108">
        <f t="shared" si="0"/>
        <v>56</v>
      </c>
      <c r="D24" s="108">
        <v>10420</v>
      </c>
      <c r="E24" s="108" t="s">
        <v>161</v>
      </c>
      <c r="F24" s="108">
        <v>900</v>
      </c>
      <c r="G24" s="108">
        <f t="shared" si="1"/>
        <v>1.042E-5</v>
      </c>
      <c r="H24" s="108">
        <f t="shared" si="2"/>
        <v>3.0465329120000003E-6</v>
      </c>
      <c r="J24" s="108">
        <f t="shared" si="3"/>
        <v>5.1497640000000007E-8</v>
      </c>
      <c r="Q24" s="108">
        <v>54</v>
      </c>
    </row>
    <row r="25" spans="1:21" x14ac:dyDescent="0.15">
      <c r="A25" s="108">
        <v>22</v>
      </c>
      <c r="B25" s="213">
        <v>0.76800000667572021</v>
      </c>
      <c r="C25" s="108">
        <f t="shared" si="0"/>
        <v>56</v>
      </c>
      <c r="D25" s="108">
        <v>20788</v>
      </c>
      <c r="E25" s="108" t="s">
        <v>158</v>
      </c>
      <c r="F25" s="108">
        <v>19848</v>
      </c>
      <c r="G25" s="108">
        <f t="shared" si="1"/>
        <v>2.0788000000000002E-5</v>
      </c>
      <c r="H25" s="108">
        <f t="shared" si="2"/>
        <v>6.0778623968000008E-6</v>
      </c>
      <c r="I25" s="108">
        <f t="shared" si="4"/>
        <v>1.4719137864E-6</v>
      </c>
      <c r="Q25" s="108">
        <v>54</v>
      </c>
    </row>
    <row r="26" spans="1:21" x14ac:dyDescent="0.15">
      <c r="A26" s="108">
        <v>23</v>
      </c>
      <c r="B26" s="213">
        <v>0.76800000667572021</v>
      </c>
      <c r="C26" s="108">
        <f t="shared" si="0"/>
        <v>56</v>
      </c>
      <c r="D26" s="108">
        <v>10420</v>
      </c>
      <c r="E26" s="108" t="s">
        <v>161</v>
      </c>
      <c r="F26" s="108">
        <v>900</v>
      </c>
      <c r="G26" s="108">
        <f t="shared" si="1"/>
        <v>1.042E-5</v>
      </c>
      <c r="H26" s="108">
        <f t="shared" si="2"/>
        <v>3.0465329120000003E-6</v>
      </c>
      <c r="J26" s="108">
        <f t="shared" si="3"/>
        <v>5.1497640000000007E-8</v>
      </c>
      <c r="Q26" s="108">
        <v>54</v>
      </c>
    </row>
    <row r="27" spans="1:21" x14ac:dyDescent="0.15">
      <c r="A27" s="108">
        <v>24</v>
      </c>
      <c r="B27" s="213">
        <v>0.76800000667572021</v>
      </c>
      <c r="C27" s="108">
        <f t="shared" si="0"/>
        <v>56</v>
      </c>
      <c r="D27" s="108">
        <v>3456</v>
      </c>
      <c r="E27" s="108" t="s">
        <v>163</v>
      </c>
      <c r="F27" s="108">
        <v>5400</v>
      </c>
      <c r="G27" s="108">
        <f t="shared" si="1"/>
        <v>3.456E-6</v>
      </c>
      <c r="H27" s="108">
        <f t="shared" si="2"/>
        <v>1.0104431616000001E-6</v>
      </c>
      <c r="I27" s="108">
        <f t="shared" si="4"/>
        <v>4.0046022000000003E-7</v>
      </c>
      <c r="Q27" s="108">
        <v>54</v>
      </c>
    </row>
    <row r="28" spans="1:21" x14ac:dyDescent="0.15">
      <c r="A28" s="108">
        <v>25</v>
      </c>
      <c r="B28" s="213">
        <v>0.76800000667572021</v>
      </c>
      <c r="C28" s="108">
        <f t="shared" si="0"/>
        <v>56</v>
      </c>
      <c r="D28" s="108">
        <v>31156</v>
      </c>
      <c r="E28" s="108" t="s">
        <v>161</v>
      </c>
      <c r="F28" s="108">
        <v>1350</v>
      </c>
      <c r="G28" s="108">
        <f t="shared" si="1"/>
        <v>3.1156000000000005E-5</v>
      </c>
      <c r="H28" s="108">
        <f t="shared" si="2"/>
        <v>9.1091918816000022E-6</v>
      </c>
      <c r="J28" s="108">
        <f t="shared" si="3"/>
        <v>7.7246460000000003E-8</v>
      </c>
      <c r="Q28" s="108">
        <v>54</v>
      </c>
    </row>
    <row r="29" spans="1:21" x14ac:dyDescent="0.15">
      <c r="A29" s="108">
        <v>26</v>
      </c>
      <c r="B29" s="213">
        <v>0.76800000667572021</v>
      </c>
      <c r="C29" s="108">
        <f t="shared" si="0"/>
        <v>56</v>
      </c>
      <c r="D29" s="108">
        <v>20788</v>
      </c>
      <c r="E29" s="108" t="s">
        <v>158</v>
      </c>
      <c r="F29" s="108">
        <v>24348</v>
      </c>
      <c r="G29" s="108">
        <f t="shared" si="1"/>
        <v>2.0788000000000002E-5</v>
      </c>
      <c r="H29" s="108">
        <f t="shared" si="2"/>
        <v>6.0778623968000008E-6</v>
      </c>
      <c r="I29" s="108">
        <f t="shared" si="4"/>
        <v>1.8056306364000002E-6</v>
      </c>
      <c r="Q29" s="108">
        <v>54</v>
      </c>
    </row>
    <row r="30" spans="1:21" x14ac:dyDescent="0.15">
      <c r="A30" s="108">
        <v>27</v>
      </c>
      <c r="B30" s="213">
        <v>0.76800000667572021</v>
      </c>
      <c r="C30" s="108">
        <f t="shared" si="0"/>
        <v>56</v>
      </c>
      <c r="D30" s="108">
        <v>13876</v>
      </c>
      <c r="E30" s="108" t="s">
        <v>161</v>
      </c>
      <c r="F30" s="108">
        <v>1350</v>
      </c>
      <c r="G30" s="108">
        <f t="shared" si="1"/>
        <v>1.3876000000000001E-5</v>
      </c>
      <c r="H30" s="108">
        <f t="shared" si="2"/>
        <v>4.0569760736000002E-6</v>
      </c>
      <c r="J30" s="108">
        <f t="shared" si="3"/>
        <v>7.7246460000000003E-8</v>
      </c>
      <c r="Q30" s="108">
        <v>54</v>
      </c>
    </row>
    <row r="31" spans="1:21" x14ac:dyDescent="0.15">
      <c r="A31" s="108">
        <v>28</v>
      </c>
      <c r="B31" s="213">
        <v>0.76800000667572021</v>
      </c>
      <c r="C31" s="108">
        <f t="shared" si="0"/>
        <v>56</v>
      </c>
      <c r="D31" s="108">
        <v>13876</v>
      </c>
      <c r="E31" s="108" t="s">
        <v>158</v>
      </c>
      <c r="F31" s="108">
        <v>51828</v>
      </c>
      <c r="G31" s="108">
        <f t="shared" si="1"/>
        <v>1.3876000000000001E-5</v>
      </c>
      <c r="H31" s="108">
        <f t="shared" si="2"/>
        <v>4.0569760736000002E-6</v>
      </c>
      <c r="I31" s="108">
        <f t="shared" si="4"/>
        <v>3.8435282004000007E-6</v>
      </c>
      <c r="Q31" s="108">
        <v>54</v>
      </c>
    </row>
    <row r="32" spans="1:21" x14ac:dyDescent="0.15">
      <c r="A32" s="108">
        <v>29</v>
      </c>
      <c r="B32" s="213">
        <v>0.76800000667572021</v>
      </c>
      <c r="C32" s="108">
        <f t="shared" si="0"/>
        <v>56</v>
      </c>
      <c r="D32" s="108">
        <v>10420</v>
      </c>
      <c r="E32" s="108" t="s">
        <v>161</v>
      </c>
      <c r="F32" s="108">
        <v>900</v>
      </c>
      <c r="G32" s="108">
        <f t="shared" si="1"/>
        <v>1.042E-5</v>
      </c>
      <c r="H32" s="108">
        <f t="shared" si="2"/>
        <v>3.0465329120000003E-6</v>
      </c>
      <c r="J32" s="108">
        <f t="shared" si="3"/>
        <v>5.1497640000000007E-8</v>
      </c>
      <c r="Q32" s="108">
        <v>54</v>
      </c>
    </row>
    <row r="33" spans="1:17" x14ac:dyDescent="0.15">
      <c r="A33" s="108">
        <v>30</v>
      </c>
      <c r="B33" s="213">
        <v>0.52799999713897705</v>
      </c>
      <c r="C33" s="108">
        <f t="shared" si="0"/>
        <v>58</v>
      </c>
      <c r="D33" s="108">
        <v>20788</v>
      </c>
      <c r="E33" s="108" t="s">
        <v>158</v>
      </c>
      <c r="F33" s="108">
        <v>19848</v>
      </c>
      <c r="G33" s="108">
        <f t="shared" si="1"/>
        <v>2.0788000000000002E-5</v>
      </c>
      <c r="H33" s="108">
        <f t="shared" si="2"/>
        <v>6.3907800032E-6</v>
      </c>
      <c r="I33" s="108">
        <f t="shared" si="4"/>
        <v>1.5994186616661602E-6</v>
      </c>
      <c r="Q33" s="108">
        <v>56</v>
      </c>
    </row>
    <row r="34" spans="1:17" x14ac:dyDescent="0.15">
      <c r="A34" s="108">
        <v>31</v>
      </c>
      <c r="B34" s="213">
        <v>0.76800000667572021</v>
      </c>
      <c r="C34" s="108">
        <f t="shared" si="0"/>
        <v>56</v>
      </c>
      <c r="D34" s="108">
        <v>10420</v>
      </c>
      <c r="E34" s="108" t="s">
        <v>161</v>
      </c>
      <c r="F34" s="108">
        <v>900</v>
      </c>
      <c r="G34" s="108">
        <f t="shared" si="1"/>
        <v>1.042E-5</v>
      </c>
      <c r="H34" s="108">
        <f t="shared" si="2"/>
        <v>3.0465329120000003E-6</v>
      </c>
      <c r="J34" s="108">
        <f t="shared" si="3"/>
        <v>5.1497640000000007E-8</v>
      </c>
      <c r="Q34" s="108">
        <v>54</v>
      </c>
    </row>
    <row r="35" spans="1:17" x14ac:dyDescent="0.15">
      <c r="A35" s="108">
        <v>32</v>
      </c>
      <c r="B35" s="213">
        <v>0.76800000667572021</v>
      </c>
      <c r="C35" s="108">
        <f t="shared" si="0"/>
        <v>56</v>
      </c>
      <c r="D35" s="108">
        <v>3456</v>
      </c>
      <c r="E35" s="108" t="s">
        <v>163</v>
      </c>
      <c r="F35" s="108">
        <v>5400</v>
      </c>
      <c r="G35" s="108">
        <f t="shared" si="1"/>
        <v>3.456E-6</v>
      </c>
      <c r="H35" s="108">
        <f t="shared" si="2"/>
        <v>1.0104431616000001E-6</v>
      </c>
      <c r="I35" s="108">
        <f t="shared" si="4"/>
        <v>4.0046022000000003E-7</v>
      </c>
      <c r="Q35" s="108">
        <v>54</v>
      </c>
    </row>
    <row r="36" spans="1:17" x14ac:dyDescent="0.15">
      <c r="A36" s="108">
        <v>33</v>
      </c>
      <c r="B36" s="213">
        <v>0.25200000405311579</v>
      </c>
      <c r="C36" s="108">
        <f t="shared" si="0"/>
        <v>56</v>
      </c>
      <c r="D36" s="108">
        <v>31156</v>
      </c>
      <c r="E36" s="108" t="s">
        <v>161</v>
      </c>
      <c r="F36" s="108">
        <v>1350</v>
      </c>
      <c r="G36" s="108">
        <f t="shared" si="1"/>
        <v>3.1156000000000005E-5</v>
      </c>
      <c r="H36" s="108">
        <f t="shared" si="2"/>
        <v>9.1091918816000022E-6</v>
      </c>
      <c r="J36" s="108">
        <f t="shared" si="3"/>
        <v>7.7246460000000003E-8</v>
      </c>
      <c r="Q36" s="108">
        <v>55</v>
      </c>
    </row>
    <row r="37" spans="1:17" x14ac:dyDescent="0.15">
      <c r="A37" s="108">
        <v>34</v>
      </c>
      <c r="B37" s="213">
        <v>0.76800000667572021</v>
      </c>
      <c r="C37" s="108">
        <f t="shared" si="0"/>
        <v>56</v>
      </c>
      <c r="D37" s="108">
        <v>20788</v>
      </c>
      <c r="E37" s="108" t="s">
        <v>158</v>
      </c>
      <c r="F37" s="108">
        <v>24348</v>
      </c>
      <c r="G37" s="108">
        <f t="shared" si="1"/>
        <v>2.0788000000000002E-5</v>
      </c>
      <c r="H37" s="108">
        <f t="shared" si="2"/>
        <v>6.0778623968000008E-6</v>
      </c>
      <c r="I37" s="108">
        <f t="shared" si="4"/>
        <v>1.8056306364000002E-6</v>
      </c>
      <c r="Q37" s="108">
        <v>54</v>
      </c>
    </row>
    <row r="38" spans="1:17" x14ac:dyDescent="0.15">
      <c r="A38" s="108">
        <v>35</v>
      </c>
      <c r="B38" s="213">
        <v>0.76800000667572021</v>
      </c>
      <c r="C38" s="108">
        <f t="shared" si="0"/>
        <v>56</v>
      </c>
      <c r="D38" s="108">
        <v>13876</v>
      </c>
      <c r="E38" s="108" t="s">
        <v>161</v>
      </c>
      <c r="F38" s="108">
        <v>1350</v>
      </c>
      <c r="G38" s="108">
        <f t="shared" si="1"/>
        <v>1.3876000000000001E-5</v>
      </c>
      <c r="H38" s="108">
        <f t="shared" si="2"/>
        <v>4.0569760736000002E-6</v>
      </c>
      <c r="J38" s="108">
        <f t="shared" si="3"/>
        <v>7.7246460000000003E-8</v>
      </c>
      <c r="Q38" s="108">
        <v>54</v>
      </c>
    </row>
    <row r="39" spans="1:17" x14ac:dyDescent="0.15">
      <c r="A39" s="108">
        <v>36</v>
      </c>
      <c r="B39" s="213">
        <v>0.76800000667572021</v>
      </c>
      <c r="C39" s="108">
        <f t="shared" si="0"/>
        <v>56</v>
      </c>
      <c r="D39" s="108">
        <v>13876</v>
      </c>
      <c r="E39" s="108" t="s">
        <v>158</v>
      </c>
      <c r="F39" s="108">
        <v>51828</v>
      </c>
      <c r="G39" s="108">
        <f t="shared" si="1"/>
        <v>1.3876000000000001E-5</v>
      </c>
      <c r="H39" s="108">
        <f t="shared" si="2"/>
        <v>4.0569760736000002E-6</v>
      </c>
      <c r="I39" s="108">
        <f t="shared" si="4"/>
        <v>3.8435282004000007E-6</v>
      </c>
      <c r="Q39" s="108">
        <v>54</v>
      </c>
    </row>
    <row r="40" spans="1:17" x14ac:dyDescent="0.15">
      <c r="A40" s="108">
        <v>37</v>
      </c>
      <c r="B40" s="213">
        <v>0.76800000667572021</v>
      </c>
      <c r="C40" s="108">
        <f t="shared" si="0"/>
        <v>56</v>
      </c>
      <c r="D40" s="108">
        <v>10420</v>
      </c>
      <c r="E40" s="108" t="s">
        <v>161</v>
      </c>
      <c r="F40" s="108">
        <v>900</v>
      </c>
      <c r="G40" s="108">
        <f t="shared" si="1"/>
        <v>1.042E-5</v>
      </c>
      <c r="H40" s="108">
        <f t="shared" si="2"/>
        <v>3.0465329120000003E-6</v>
      </c>
      <c r="J40" s="108">
        <f t="shared" si="3"/>
        <v>5.1497640000000007E-8</v>
      </c>
      <c r="Q40" s="108">
        <v>54</v>
      </c>
    </row>
    <row r="41" spans="1:17" x14ac:dyDescent="0.15">
      <c r="A41" s="108">
        <v>38</v>
      </c>
      <c r="B41" s="213">
        <v>0.76800000667572021</v>
      </c>
      <c r="C41" s="108">
        <f t="shared" si="0"/>
        <v>56</v>
      </c>
      <c r="D41" s="108">
        <v>20788</v>
      </c>
      <c r="E41" s="108" t="s">
        <v>158</v>
      </c>
      <c r="F41" s="108">
        <v>19848</v>
      </c>
      <c r="G41" s="108">
        <f t="shared" si="1"/>
        <v>2.0788000000000002E-5</v>
      </c>
      <c r="H41" s="108">
        <f t="shared" si="2"/>
        <v>6.0778623968000008E-6</v>
      </c>
      <c r="I41" s="108">
        <f t="shared" si="4"/>
        <v>1.4719137864E-6</v>
      </c>
      <c r="Q41" s="108">
        <v>54</v>
      </c>
    </row>
    <row r="42" spans="1:17" x14ac:dyDescent="0.15">
      <c r="A42" s="108">
        <v>39</v>
      </c>
      <c r="B42" s="213">
        <v>0.76800000667572021</v>
      </c>
      <c r="C42" s="108">
        <f t="shared" si="0"/>
        <v>56</v>
      </c>
      <c r="D42" s="108">
        <v>10420</v>
      </c>
      <c r="E42" s="108" t="s">
        <v>161</v>
      </c>
      <c r="F42" s="108">
        <v>900</v>
      </c>
      <c r="G42" s="108">
        <f t="shared" si="1"/>
        <v>1.042E-5</v>
      </c>
      <c r="H42" s="108">
        <f t="shared" si="2"/>
        <v>3.0465329120000003E-6</v>
      </c>
      <c r="J42" s="108">
        <f t="shared" si="3"/>
        <v>5.1497640000000007E-8</v>
      </c>
      <c r="Q42" s="108">
        <v>54</v>
      </c>
    </row>
    <row r="43" spans="1:17" x14ac:dyDescent="0.15">
      <c r="A43" s="108">
        <v>40</v>
      </c>
      <c r="B43" s="213">
        <v>0.76800000667572021</v>
      </c>
      <c r="C43" s="108">
        <f t="shared" si="0"/>
        <v>56</v>
      </c>
      <c r="D43" s="108">
        <v>3456</v>
      </c>
      <c r="E43" s="108" t="s">
        <v>163</v>
      </c>
      <c r="F43" s="108">
        <v>5400</v>
      </c>
      <c r="G43" s="108">
        <f t="shared" si="1"/>
        <v>3.456E-6</v>
      </c>
      <c r="H43" s="108">
        <f t="shared" si="2"/>
        <v>1.0104431616000001E-6</v>
      </c>
      <c r="I43" s="108">
        <f t="shared" si="4"/>
        <v>4.0046022000000003E-7</v>
      </c>
      <c r="Q43" s="108">
        <v>54</v>
      </c>
    </row>
    <row r="44" spans="1:17" x14ac:dyDescent="0.15">
      <c r="A44" s="108">
        <v>41</v>
      </c>
      <c r="B44" s="213">
        <v>0.76800000667572021</v>
      </c>
      <c r="C44" s="108">
        <f t="shared" si="0"/>
        <v>56</v>
      </c>
      <c r="D44" s="108">
        <v>31156</v>
      </c>
      <c r="E44" s="108" t="s">
        <v>161</v>
      </c>
      <c r="F44" s="108">
        <v>1350</v>
      </c>
      <c r="G44" s="108">
        <f t="shared" si="1"/>
        <v>3.1156000000000005E-5</v>
      </c>
      <c r="H44" s="108">
        <f t="shared" si="2"/>
        <v>9.1091918816000022E-6</v>
      </c>
      <c r="J44" s="108">
        <f t="shared" si="3"/>
        <v>7.7246460000000003E-8</v>
      </c>
      <c r="Q44" s="108">
        <v>54</v>
      </c>
    </row>
    <row r="45" spans="1:17" x14ac:dyDescent="0.15">
      <c r="A45" s="108">
        <v>42</v>
      </c>
      <c r="B45" s="213">
        <v>0.76800000667572021</v>
      </c>
      <c r="C45" s="108">
        <f t="shared" si="0"/>
        <v>56</v>
      </c>
      <c r="D45" s="108">
        <v>20788</v>
      </c>
      <c r="E45" s="108" t="s">
        <v>158</v>
      </c>
      <c r="F45" s="108">
        <v>24348</v>
      </c>
      <c r="G45" s="108">
        <f t="shared" si="1"/>
        <v>2.0788000000000002E-5</v>
      </c>
      <c r="H45" s="108">
        <f t="shared" si="2"/>
        <v>6.0778623968000008E-6</v>
      </c>
      <c r="I45" s="108">
        <f t="shared" si="4"/>
        <v>1.8056306364000002E-6</v>
      </c>
      <c r="Q45" s="108">
        <v>54</v>
      </c>
    </row>
    <row r="46" spans="1:17" x14ac:dyDescent="0.15">
      <c r="A46" s="108">
        <v>43</v>
      </c>
      <c r="B46" s="213">
        <v>0.76800000667572021</v>
      </c>
      <c r="C46" s="108">
        <f t="shared" si="0"/>
        <v>56</v>
      </c>
      <c r="D46" s="108">
        <v>13876</v>
      </c>
      <c r="E46" s="108" t="s">
        <v>161</v>
      </c>
      <c r="F46" s="108">
        <v>1350</v>
      </c>
      <c r="G46" s="108">
        <f t="shared" si="1"/>
        <v>1.3876000000000001E-5</v>
      </c>
      <c r="H46" s="108">
        <f t="shared" si="2"/>
        <v>4.0569760736000002E-6</v>
      </c>
      <c r="J46" s="108">
        <f t="shared" si="3"/>
        <v>7.7246460000000003E-8</v>
      </c>
      <c r="Q46" s="108">
        <v>54</v>
      </c>
    </row>
    <row r="47" spans="1:17" x14ac:dyDescent="0.15">
      <c r="A47" s="108">
        <v>44</v>
      </c>
      <c r="B47" s="213">
        <v>0.76800000667572021</v>
      </c>
      <c r="C47" s="108">
        <f t="shared" si="0"/>
        <v>56</v>
      </c>
      <c r="D47" s="108">
        <v>13876</v>
      </c>
      <c r="E47" s="108" t="s">
        <v>158</v>
      </c>
      <c r="F47" s="108">
        <v>51828</v>
      </c>
      <c r="G47" s="108">
        <f t="shared" si="1"/>
        <v>1.3876000000000001E-5</v>
      </c>
      <c r="H47" s="108">
        <f t="shared" si="2"/>
        <v>4.0569760736000002E-6</v>
      </c>
      <c r="I47" s="108">
        <f t="shared" si="4"/>
        <v>3.8435282004000007E-6</v>
      </c>
      <c r="Q47" s="108">
        <v>54</v>
      </c>
    </row>
    <row r="48" spans="1:17" x14ac:dyDescent="0.15">
      <c r="A48" s="108">
        <v>45</v>
      </c>
      <c r="B48" s="213">
        <v>0.76800000667572021</v>
      </c>
      <c r="C48" s="108">
        <f t="shared" si="0"/>
        <v>56</v>
      </c>
      <c r="D48" s="108">
        <v>27700</v>
      </c>
      <c r="E48" s="108" t="s">
        <v>161</v>
      </c>
      <c r="F48" s="108">
        <v>2700</v>
      </c>
      <c r="G48" s="108">
        <f t="shared" si="1"/>
        <v>2.7700000000000002E-5</v>
      </c>
      <c r="H48" s="108">
        <f t="shared" si="2"/>
        <v>8.0987487200000015E-6</v>
      </c>
      <c r="J48" s="108">
        <f t="shared" si="3"/>
        <v>1.5449292000000001E-7</v>
      </c>
      <c r="Q48" s="108">
        <v>54</v>
      </c>
    </row>
    <row r="49" spans="1:17" x14ac:dyDescent="0.15">
      <c r="A49" s="108">
        <v>46</v>
      </c>
      <c r="B49" s="213">
        <v>0.76800000667572021</v>
      </c>
      <c r="C49" s="108">
        <f t="shared" si="0"/>
        <v>56</v>
      </c>
      <c r="D49" s="108">
        <v>140020</v>
      </c>
      <c r="E49" s="108" t="s">
        <v>158</v>
      </c>
      <c r="F49" s="108">
        <v>49224</v>
      </c>
      <c r="G49" s="108">
        <f t="shared" si="1"/>
        <v>1.4002E-4</v>
      </c>
      <c r="H49" s="108">
        <f t="shared" si="2"/>
        <v>4.0938151472000002E-5</v>
      </c>
      <c r="I49" s="108">
        <f t="shared" si="4"/>
        <v>3.6504173832E-6</v>
      </c>
      <c r="Q49" s="108">
        <v>54</v>
      </c>
    </row>
    <row r="50" spans="1:17" x14ac:dyDescent="0.15">
      <c r="A50" s="108">
        <v>47</v>
      </c>
      <c r="B50" s="213">
        <v>0.76800000667572021</v>
      </c>
      <c r="C50" s="108">
        <f t="shared" si="0"/>
        <v>56</v>
      </c>
      <c r="D50" s="108">
        <v>44404</v>
      </c>
      <c r="E50" s="108" t="s">
        <v>161</v>
      </c>
      <c r="F50" s="108">
        <v>784</v>
      </c>
      <c r="G50" s="108">
        <f t="shared" si="1"/>
        <v>4.4404000000000004E-5</v>
      </c>
      <c r="H50" s="108">
        <f t="shared" si="2"/>
        <v>1.2982557334400002E-5</v>
      </c>
      <c r="J50" s="108">
        <f t="shared" si="3"/>
        <v>4.4860166400000006E-8</v>
      </c>
      <c r="Q50" s="108">
        <v>54</v>
      </c>
    </row>
    <row r="51" spans="1:17" x14ac:dyDescent="0.15">
      <c r="A51" s="108">
        <v>48</v>
      </c>
      <c r="B51" s="213">
        <v>0.76800000667572021</v>
      </c>
      <c r="C51" s="108">
        <f t="shared" si="0"/>
        <v>56</v>
      </c>
      <c r="D51" s="108">
        <v>110644</v>
      </c>
      <c r="E51" s="108" t="s">
        <v>158</v>
      </c>
      <c r="F51" s="108">
        <v>125088</v>
      </c>
      <c r="G51" s="108">
        <f t="shared" si="1"/>
        <v>1.1064400000000001E-4</v>
      </c>
      <c r="H51" s="108">
        <f t="shared" si="2"/>
        <v>3.23493845984E-5</v>
      </c>
      <c r="I51" s="108">
        <f t="shared" si="4"/>
        <v>9.2764385184000003E-6</v>
      </c>
      <c r="Q51" s="108">
        <v>54</v>
      </c>
    </row>
    <row r="52" spans="1:17" x14ac:dyDescent="0.15">
      <c r="A52" s="108">
        <v>49</v>
      </c>
      <c r="B52" s="213">
        <v>0.76800000667572021</v>
      </c>
      <c r="C52" s="108">
        <f t="shared" si="0"/>
        <v>56</v>
      </c>
      <c r="D52" s="108">
        <v>752</v>
      </c>
      <c r="E52" s="108" t="s">
        <v>159</v>
      </c>
      <c r="F52" s="108">
        <v>1176</v>
      </c>
      <c r="G52" s="108">
        <f t="shared" si="1"/>
        <v>7.5200000000000006E-7</v>
      </c>
      <c r="H52" s="108">
        <f t="shared" si="2"/>
        <v>2.1986494720000003E-7</v>
      </c>
      <c r="J52" s="108">
        <f t="shared" si="3"/>
        <v>6.7290249600000016E-8</v>
      </c>
      <c r="Q52" s="108">
        <v>54</v>
      </c>
    </row>
    <row r="53" spans="1:17" x14ac:dyDescent="0.15">
      <c r="A53" s="108">
        <v>50</v>
      </c>
      <c r="B53" s="213">
        <v>0.76800000667572021</v>
      </c>
      <c r="C53" s="108">
        <f t="shared" si="0"/>
        <v>56</v>
      </c>
      <c r="D53" s="108">
        <v>16436</v>
      </c>
      <c r="E53" s="108" t="s">
        <v>158</v>
      </c>
      <c r="F53" s="108">
        <v>52560</v>
      </c>
      <c r="G53" s="108">
        <f t="shared" si="1"/>
        <v>1.6436E-5</v>
      </c>
      <c r="H53" s="108">
        <f t="shared" si="2"/>
        <v>4.8054524895999999E-6</v>
      </c>
      <c r="I53" s="108">
        <f t="shared" si="4"/>
        <v>3.8978128080000001E-6</v>
      </c>
      <c r="Q53" s="108">
        <v>54</v>
      </c>
    </row>
    <row r="54" spans="1:17" x14ac:dyDescent="0.15">
      <c r="A54" s="108">
        <v>51</v>
      </c>
      <c r="B54" s="213">
        <v>0.76800000667572021</v>
      </c>
      <c r="C54" s="108">
        <f t="shared" si="0"/>
        <v>56</v>
      </c>
      <c r="D54" s="108">
        <v>21556</v>
      </c>
      <c r="E54" s="108" t="s">
        <v>161</v>
      </c>
      <c r="F54" s="108">
        <v>588</v>
      </c>
      <c r="G54" s="108">
        <f t="shared" si="1"/>
        <v>2.1556000000000002E-5</v>
      </c>
      <c r="H54" s="108">
        <f t="shared" si="2"/>
        <v>6.302405321600001E-6</v>
      </c>
      <c r="J54" s="108">
        <f t="shared" si="3"/>
        <v>3.3645124800000008E-8</v>
      </c>
      <c r="Q54" s="108">
        <v>54</v>
      </c>
    </row>
    <row r="55" spans="1:17" x14ac:dyDescent="0.15">
      <c r="A55" s="108">
        <v>52</v>
      </c>
      <c r="B55" s="213">
        <v>0.76800000667572021</v>
      </c>
      <c r="C55" s="108">
        <f t="shared" si="0"/>
        <v>56</v>
      </c>
      <c r="D55" s="108">
        <v>24244</v>
      </c>
      <c r="E55" s="108" t="s">
        <v>158</v>
      </c>
      <c r="F55" s="108">
        <v>15288</v>
      </c>
      <c r="G55" s="108">
        <f t="shared" si="1"/>
        <v>2.4244E-5</v>
      </c>
      <c r="H55" s="108">
        <f t="shared" si="2"/>
        <v>7.0883055584000007E-6</v>
      </c>
      <c r="I55" s="108">
        <f t="shared" si="4"/>
        <v>1.1337473784E-6</v>
      </c>
      <c r="Q55" s="108">
        <v>54</v>
      </c>
    </row>
    <row r="56" spans="1:17" x14ac:dyDescent="0.15">
      <c r="A56" s="108">
        <v>53</v>
      </c>
      <c r="B56" s="213">
        <v>0.76800000667572021</v>
      </c>
      <c r="C56" s="108">
        <f t="shared" si="0"/>
        <v>56</v>
      </c>
      <c r="D56" s="108">
        <v>16436</v>
      </c>
      <c r="E56" s="108" t="s">
        <v>161</v>
      </c>
      <c r="F56" s="108">
        <v>588</v>
      </c>
      <c r="G56" s="108">
        <f t="shared" si="1"/>
        <v>1.6436E-5</v>
      </c>
      <c r="H56" s="108">
        <f t="shared" si="2"/>
        <v>4.8054524895999999E-6</v>
      </c>
      <c r="J56" s="108">
        <f t="shared" si="3"/>
        <v>3.3645124800000008E-8</v>
      </c>
      <c r="Q56" s="108">
        <v>54</v>
      </c>
    </row>
    <row r="57" spans="1:17" x14ac:dyDescent="0.15">
      <c r="A57" s="108">
        <v>54</v>
      </c>
      <c r="B57" s="213">
        <v>0.76800000667572021</v>
      </c>
      <c r="C57" s="108">
        <f t="shared" si="0"/>
        <v>56</v>
      </c>
      <c r="D57" s="108">
        <v>28276</v>
      </c>
      <c r="E57" s="108" t="s">
        <v>158</v>
      </c>
      <c r="F57" s="108">
        <v>47268</v>
      </c>
      <c r="G57" s="108">
        <f t="shared" si="1"/>
        <v>2.8276000000000002E-5</v>
      </c>
      <c r="H57" s="108">
        <f t="shared" si="2"/>
        <v>8.2671559136000007E-6</v>
      </c>
      <c r="I57" s="108">
        <f t="shared" si="4"/>
        <v>3.5053617924000001E-6</v>
      </c>
      <c r="Q57" s="108">
        <v>54</v>
      </c>
    </row>
    <row r="58" spans="1:17" x14ac:dyDescent="0.15">
      <c r="A58" s="108">
        <v>55</v>
      </c>
      <c r="B58" s="213">
        <v>0.76800000667572021</v>
      </c>
      <c r="C58" s="108">
        <f t="shared" si="0"/>
        <v>56</v>
      </c>
      <c r="D58" s="108">
        <v>24244</v>
      </c>
      <c r="E58" s="108" t="s">
        <v>161</v>
      </c>
      <c r="F58" s="108">
        <v>686</v>
      </c>
      <c r="G58" s="108">
        <f t="shared" si="1"/>
        <v>2.4244E-5</v>
      </c>
      <c r="H58" s="108">
        <f t="shared" si="2"/>
        <v>7.0883055584000007E-6</v>
      </c>
      <c r="J58" s="108">
        <f t="shared" si="3"/>
        <v>3.92526456E-8</v>
      </c>
      <c r="Q58" s="108">
        <v>54</v>
      </c>
    </row>
    <row r="59" spans="1:17" x14ac:dyDescent="0.15">
      <c r="A59" s="108">
        <v>56</v>
      </c>
      <c r="B59" s="213">
        <v>0.76800000667572021</v>
      </c>
      <c r="C59" s="108">
        <f t="shared" si="0"/>
        <v>56</v>
      </c>
      <c r="D59" s="108">
        <v>2008</v>
      </c>
      <c r="E59" s="108" t="s">
        <v>163</v>
      </c>
      <c r="F59" s="108">
        <v>3136</v>
      </c>
      <c r="G59" s="108">
        <f t="shared" si="1"/>
        <v>2.0080000000000001E-6</v>
      </c>
      <c r="H59" s="108">
        <f t="shared" si="2"/>
        <v>5.870861888E-7</v>
      </c>
      <c r="I59" s="108">
        <f t="shared" si="4"/>
        <v>2.3256356480000001E-7</v>
      </c>
      <c r="Q59" s="108">
        <v>54</v>
      </c>
    </row>
    <row r="60" spans="1:17" x14ac:dyDescent="0.15">
      <c r="A60" s="108">
        <v>57</v>
      </c>
      <c r="B60" s="213">
        <v>0.76800000667572021</v>
      </c>
      <c r="C60" s="108">
        <f t="shared" si="0"/>
        <v>56</v>
      </c>
      <c r="D60" s="108">
        <v>34548</v>
      </c>
      <c r="E60" s="108" t="s">
        <v>161</v>
      </c>
      <c r="F60" s="108">
        <v>784</v>
      </c>
      <c r="G60" s="108">
        <f t="shared" si="1"/>
        <v>3.4548000000000002E-5</v>
      </c>
      <c r="H60" s="108">
        <f t="shared" si="2"/>
        <v>1.01009231328E-5</v>
      </c>
      <c r="J60" s="108">
        <f t="shared" si="3"/>
        <v>4.4860166400000006E-8</v>
      </c>
      <c r="Q60" s="108">
        <v>54</v>
      </c>
    </row>
    <row r="61" spans="1:17" x14ac:dyDescent="0.15">
      <c r="A61" s="108">
        <v>58</v>
      </c>
      <c r="B61" s="213">
        <v>0.76800000667572021</v>
      </c>
      <c r="C61" s="108">
        <f t="shared" si="0"/>
        <v>56</v>
      </c>
      <c r="D61" s="108">
        <v>34548</v>
      </c>
      <c r="E61" s="108" t="s">
        <v>158</v>
      </c>
      <c r="F61" s="108">
        <v>55024</v>
      </c>
      <c r="G61" s="108">
        <f t="shared" si="1"/>
        <v>3.4548000000000002E-5</v>
      </c>
      <c r="H61" s="108">
        <f t="shared" si="2"/>
        <v>1.01009231328E-5</v>
      </c>
      <c r="I61" s="108">
        <f t="shared" si="4"/>
        <v>4.0805413232E-6</v>
      </c>
      <c r="Q61" s="108">
        <v>54</v>
      </c>
    </row>
    <row r="62" spans="1:17" x14ac:dyDescent="0.15">
      <c r="A62" s="108">
        <v>59</v>
      </c>
      <c r="B62" s="213">
        <v>0.76800000667572021</v>
      </c>
      <c r="C62" s="108">
        <f t="shared" si="0"/>
        <v>56</v>
      </c>
      <c r="D62" s="108">
        <v>12340</v>
      </c>
      <c r="E62" s="108" t="s">
        <v>161</v>
      </c>
      <c r="F62" s="108">
        <v>392</v>
      </c>
      <c r="G62" s="108">
        <f t="shared" si="1"/>
        <v>1.234E-5</v>
      </c>
      <c r="H62" s="108">
        <f t="shared" si="2"/>
        <v>3.6078902240000003E-6</v>
      </c>
      <c r="J62" s="108">
        <f t="shared" si="3"/>
        <v>2.2430083200000003E-8</v>
      </c>
      <c r="Q62" s="108">
        <v>54</v>
      </c>
    </row>
    <row r="63" spans="1:17" x14ac:dyDescent="0.15">
      <c r="A63" s="108">
        <v>60</v>
      </c>
      <c r="B63" s="213">
        <v>0.76800000667572021</v>
      </c>
      <c r="C63" s="108">
        <f t="shared" si="0"/>
        <v>56</v>
      </c>
      <c r="D63" s="108">
        <v>32820</v>
      </c>
      <c r="E63" s="108" t="s">
        <v>158</v>
      </c>
      <c r="F63" s="108">
        <v>92642</v>
      </c>
      <c r="G63" s="108">
        <f t="shared" si="1"/>
        <v>3.2820000000000001E-5</v>
      </c>
      <c r="H63" s="108">
        <f t="shared" si="2"/>
        <v>9.5957015520000008E-6</v>
      </c>
      <c r="I63" s="108">
        <f t="shared" si="4"/>
        <v>6.870265870600001E-6</v>
      </c>
      <c r="Q63" s="108">
        <v>54</v>
      </c>
    </row>
    <row r="64" spans="1:17" x14ac:dyDescent="0.15">
      <c r="A64" s="108">
        <v>61</v>
      </c>
      <c r="B64" s="213">
        <v>0.76800000667572021</v>
      </c>
      <c r="C64" s="108">
        <f t="shared" si="0"/>
        <v>56</v>
      </c>
      <c r="D64" s="108">
        <v>16436</v>
      </c>
      <c r="E64" s="108" t="s">
        <v>161</v>
      </c>
      <c r="F64" s="108">
        <v>588</v>
      </c>
      <c r="G64" s="108">
        <f t="shared" si="1"/>
        <v>1.6436E-5</v>
      </c>
      <c r="H64" s="108">
        <f t="shared" si="2"/>
        <v>4.8054524895999999E-6</v>
      </c>
      <c r="J64" s="108">
        <f t="shared" si="3"/>
        <v>3.3645124800000008E-8</v>
      </c>
      <c r="Q64" s="108">
        <v>54</v>
      </c>
    </row>
    <row r="65" spans="1:17" x14ac:dyDescent="0.15">
      <c r="A65" s="108">
        <v>62</v>
      </c>
      <c r="B65" s="213">
        <v>0.76800000667572021</v>
      </c>
      <c r="C65" s="108">
        <f t="shared" si="0"/>
        <v>56</v>
      </c>
      <c r="D65" s="108">
        <v>21556</v>
      </c>
      <c r="E65" s="108" t="s">
        <v>158</v>
      </c>
      <c r="F65" s="108">
        <v>38688</v>
      </c>
      <c r="G65" s="108">
        <f t="shared" si="1"/>
        <v>2.1556000000000002E-5</v>
      </c>
      <c r="H65" s="108">
        <f t="shared" si="2"/>
        <v>6.302405321600001E-6</v>
      </c>
      <c r="I65" s="108">
        <f t="shared" si="4"/>
        <v>2.8690749984000002E-6</v>
      </c>
      <c r="Q65" s="108">
        <v>54</v>
      </c>
    </row>
    <row r="66" spans="1:17" x14ac:dyDescent="0.15">
      <c r="A66" s="108">
        <v>63</v>
      </c>
      <c r="B66" s="213">
        <v>0.76800000667572021</v>
      </c>
      <c r="C66" s="108">
        <f t="shared" si="0"/>
        <v>56</v>
      </c>
      <c r="D66" s="108">
        <v>24244</v>
      </c>
      <c r="E66" s="108" t="s">
        <v>161</v>
      </c>
      <c r="F66" s="108">
        <v>686</v>
      </c>
      <c r="G66" s="108">
        <f t="shared" si="1"/>
        <v>2.4244E-5</v>
      </c>
      <c r="H66" s="108">
        <f t="shared" si="2"/>
        <v>7.0883055584000007E-6</v>
      </c>
      <c r="J66" s="108">
        <f t="shared" si="3"/>
        <v>3.92526456E-8</v>
      </c>
      <c r="Q66" s="108">
        <v>54</v>
      </c>
    </row>
    <row r="67" spans="1:17" x14ac:dyDescent="0.15">
      <c r="A67" s="108">
        <v>64</v>
      </c>
      <c r="B67" s="213">
        <v>0.76800000667572021</v>
      </c>
      <c r="C67" s="108">
        <f t="shared" ref="C67:C130" si="5">_xlfn.SWITCH(Q67,60,60,59,60,58,60,57,58,56,58,55,56,54,IF(B67&gt;$R$2,54,56))</f>
        <v>56</v>
      </c>
      <c r="D67" s="108">
        <v>16436</v>
      </c>
      <c r="E67" s="108" t="s">
        <v>158</v>
      </c>
      <c r="F67" s="108">
        <v>52560</v>
      </c>
      <c r="G67" s="108">
        <f t="shared" ref="G67:G130" si="6">D67*$U$6</f>
        <v>1.6436E-5</v>
      </c>
      <c r="H67" s="108">
        <f t="shared" ref="H67:H130" si="7">_xlfn.SWITCH(C67+$U$2,54,$Z$10,55,$Y$10,56,$X$10,57,$W$10,58,$V$10,59,$U$10,$U$17)*G67</f>
        <v>4.8054524895999999E-6</v>
      </c>
      <c r="I67" s="108">
        <f t="shared" si="4"/>
        <v>3.8978128080000001E-6</v>
      </c>
      <c r="Q67" s="108">
        <v>54</v>
      </c>
    </row>
    <row r="68" spans="1:17" x14ac:dyDescent="0.15">
      <c r="A68" s="108">
        <v>65</v>
      </c>
      <c r="B68" s="213">
        <v>0.76800000667572021</v>
      </c>
      <c r="C68" s="108">
        <f t="shared" si="5"/>
        <v>56</v>
      </c>
      <c r="D68" s="108">
        <v>28276</v>
      </c>
      <c r="E68" s="108" t="s">
        <v>161</v>
      </c>
      <c r="F68" s="108">
        <v>686</v>
      </c>
      <c r="G68" s="108">
        <f t="shared" si="6"/>
        <v>2.8276000000000002E-5</v>
      </c>
      <c r="H68" s="108">
        <f t="shared" si="7"/>
        <v>8.2671559136000007E-6</v>
      </c>
      <c r="J68" s="108">
        <f t="shared" ref="J67:J130" si="8">_xlfn.SWITCH(C68+$U$2,54,$Z$12,55,$Y$12,56,$X$12,57,$W$12,58,$V$12,59,$U$12,$U$19)*F68*$U$6</f>
        <v>3.92526456E-8</v>
      </c>
      <c r="Q68" s="108">
        <v>54</v>
      </c>
    </row>
    <row r="69" spans="1:17" x14ac:dyDescent="0.15">
      <c r="A69" s="108">
        <v>66</v>
      </c>
      <c r="B69" s="213">
        <v>0.76800000667572021</v>
      </c>
      <c r="C69" s="108">
        <f t="shared" si="5"/>
        <v>56</v>
      </c>
      <c r="D69" s="108">
        <v>24244</v>
      </c>
      <c r="E69" s="108" t="s">
        <v>158</v>
      </c>
      <c r="F69" s="108">
        <v>15288</v>
      </c>
      <c r="G69" s="108">
        <f t="shared" si="6"/>
        <v>2.4244E-5</v>
      </c>
      <c r="H69" s="108">
        <f t="shared" si="7"/>
        <v>7.0883055584000007E-6</v>
      </c>
      <c r="I69" s="108">
        <f t="shared" ref="I68:I131" si="9">_xlfn.SWITCH(C69+$U$2,54,$Z$11,55,$Y$11,56,$X$11,57,$W$11,58,$V$11,59,$U$11,$U$18)*F69*$U$6</f>
        <v>1.1337473784E-6</v>
      </c>
      <c r="Q69" s="108">
        <v>54</v>
      </c>
    </row>
    <row r="70" spans="1:17" x14ac:dyDescent="0.15">
      <c r="A70" s="108">
        <v>67</v>
      </c>
      <c r="B70" s="213">
        <v>0.76800000667572021</v>
      </c>
      <c r="C70" s="108">
        <f t="shared" si="5"/>
        <v>56</v>
      </c>
      <c r="D70" s="108">
        <v>2008</v>
      </c>
      <c r="E70" s="108" t="s">
        <v>164</v>
      </c>
      <c r="F70" s="108">
        <v>3136</v>
      </c>
      <c r="G70" s="108">
        <f t="shared" si="6"/>
        <v>2.0080000000000001E-6</v>
      </c>
      <c r="H70" s="108">
        <f t="shared" si="7"/>
        <v>5.870861888E-7</v>
      </c>
      <c r="J70" s="108">
        <f t="shared" si="8"/>
        <v>1.7944066560000002E-7</v>
      </c>
      <c r="Q70" s="108">
        <v>54</v>
      </c>
    </row>
    <row r="71" spans="1:17" x14ac:dyDescent="0.15">
      <c r="A71" s="108">
        <v>68</v>
      </c>
      <c r="B71" s="213">
        <v>0.76800000667572021</v>
      </c>
      <c r="C71" s="108">
        <f t="shared" si="5"/>
        <v>56</v>
      </c>
      <c r="D71" s="108">
        <v>34548</v>
      </c>
      <c r="E71" s="108" t="s">
        <v>158</v>
      </c>
      <c r="F71" s="108">
        <v>15348</v>
      </c>
      <c r="G71" s="108">
        <f t="shared" si="6"/>
        <v>3.4548000000000002E-5</v>
      </c>
      <c r="H71" s="108">
        <f t="shared" si="7"/>
        <v>1.01009231328E-5</v>
      </c>
      <c r="I71" s="108">
        <f t="shared" si="9"/>
        <v>1.1381969363999999E-6</v>
      </c>
      <c r="Q71" s="108">
        <v>54</v>
      </c>
    </row>
    <row r="72" spans="1:17" x14ac:dyDescent="0.15">
      <c r="A72" s="108">
        <v>69</v>
      </c>
      <c r="B72" s="213">
        <v>0.76800000667572021</v>
      </c>
      <c r="C72" s="108">
        <f t="shared" si="5"/>
        <v>56</v>
      </c>
      <c r="D72" s="108">
        <v>34548</v>
      </c>
      <c r="E72" s="108" t="s">
        <v>161</v>
      </c>
      <c r="F72" s="108">
        <v>784</v>
      </c>
      <c r="G72" s="108">
        <f t="shared" si="6"/>
        <v>3.4548000000000002E-5</v>
      </c>
      <c r="H72" s="108">
        <f t="shared" si="7"/>
        <v>1.01009231328E-5</v>
      </c>
      <c r="J72" s="108">
        <f t="shared" si="8"/>
        <v>4.4860166400000006E-8</v>
      </c>
      <c r="Q72" s="108">
        <v>54</v>
      </c>
    </row>
    <row r="73" spans="1:17" x14ac:dyDescent="0.15">
      <c r="A73" s="108">
        <v>70</v>
      </c>
      <c r="B73" s="213">
        <v>0.76800000667572021</v>
      </c>
      <c r="C73" s="108">
        <f t="shared" si="5"/>
        <v>56</v>
      </c>
      <c r="D73" s="108">
        <v>12340</v>
      </c>
      <c r="E73" s="108" t="s">
        <v>158</v>
      </c>
      <c r="F73" s="108">
        <v>40016</v>
      </c>
      <c r="G73" s="108">
        <f t="shared" si="6"/>
        <v>1.234E-5</v>
      </c>
      <c r="H73" s="108">
        <f t="shared" si="7"/>
        <v>3.6078902240000003E-6</v>
      </c>
      <c r="I73" s="108">
        <f t="shared" si="9"/>
        <v>2.9675585487999999E-6</v>
      </c>
      <c r="Q73" s="108">
        <v>54</v>
      </c>
    </row>
    <row r="74" spans="1:17" x14ac:dyDescent="0.15">
      <c r="A74" s="108">
        <v>71</v>
      </c>
      <c r="B74" s="213">
        <v>0.76800000667572021</v>
      </c>
      <c r="C74" s="108">
        <f t="shared" si="5"/>
        <v>56</v>
      </c>
      <c r="D74" s="108">
        <v>32820</v>
      </c>
      <c r="E74" s="108" t="s">
        <v>161</v>
      </c>
      <c r="F74" s="108">
        <v>1176</v>
      </c>
      <c r="G74" s="108">
        <f t="shared" si="6"/>
        <v>3.2820000000000001E-5</v>
      </c>
      <c r="H74" s="108">
        <f t="shared" si="7"/>
        <v>9.5957015520000008E-6</v>
      </c>
      <c r="J74" s="108">
        <f t="shared" si="8"/>
        <v>6.7290249600000016E-8</v>
      </c>
      <c r="Q74" s="108">
        <v>54</v>
      </c>
    </row>
    <row r="75" spans="1:17" x14ac:dyDescent="0.15">
      <c r="A75" s="108">
        <v>72</v>
      </c>
      <c r="B75" s="213">
        <v>0.76800000667572021</v>
      </c>
      <c r="C75" s="108">
        <f t="shared" si="5"/>
        <v>56</v>
      </c>
      <c r="D75" s="108">
        <v>16436</v>
      </c>
      <c r="E75" s="108" t="s">
        <v>158</v>
      </c>
      <c r="F75" s="108">
        <v>52560</v>
      </c>
      <c r="G75" s="108">
        <f t="shared" si="6"/>
        <v>1.6436E-5</v>
      </c>
      <c r="H75" s="108">
        <f t="shared" si="7"/>
        <v>4.8054524895999999E-6</v>
      </c>
      <c r="I75" s="108">
        <f t="shared" si="9"/>
        <v>3.8978128080000001E-6</v>
      </c>
      <c r="Q75" s="108">
        <v>54</v>
      </c>
    </row>
    <row r="76" spans="1:17" x14ac:dyDescent="0.15">
      <c r="A76" s="108">
        <v>73</v>
      </c>
      <c r="B76" s="213">
        <v>0.76800000667572021</v>
      </c>
      <c r="C76" s="108">
        <f t="shared" si="5"/>
        <v>56</v>
      </c>
      <c r="D76" s="108">
        <v>21556</v>
      </c>
      <c r="E76" s="108" t="s">
        <v>161</v>
      </c>
      <c r="F76" s="108">
        <v>588</v>
      </c>
      <c r="G76" s="108">
        <f t="shared" si="6"/>
        <v>2.1556000000000002E-5</v>
      </c>
      <c r="H76" s="108">
        <f t="shared" si="7"/>
        <v>6.302405321600001E-6</v>
      </c>
      <c r="J76" s="108">
        <f t="shared" si="8"/>
        <v>3.3645124800000008E-8</v>
      </c>
      <c r="Q76" s="108">
        <v>54</v>
      </c>
    </row>
    <row r="77" spans="1:17" x14ac:dyDescent="0.15">
      <c r="A77" s="108">
        <v>74</v>
      </c>
      <c r="B77" s="213">
        <v>0.76800000667572021</v>
      </c>
      <c r="C77" s="108">
        <f t="shared" si="5"/>
        <v>56</v>
      </c>
      <c r="D77" s="108">
        <v>24244</v>
      </c>
      <c r="E77" s="108" t="s">
        <v>158</v>
      </c>
      <c r="F77" s="108">
        <v>15288</v>
      </c>
      <c r="G77" s="108">
        <f t="shared" si="6"/>
        <v>2.4244E-5</v>
      </c>
      <c r="H77" s="108">
        <f t="shared" si="7"/>
        <v>7.0883055584000007E-6</v>
      </c>
      <c r="I77" s="108">
        <f t="shared" si="9"/>
        <v>1.1337473784E-6</v>
      </c>
      <c r="Q77" s="108">
        <v>54</v>
      </c>
    </row>
    <row r="78" spans="1:17" x14ac:dyDescent="0.15">
      <c r="A78" s="108">
        <v>75</v>
      </c>
      <c r="B78" s="213">
        <v>0.76800000667572021</v>
      </c>
      <c r="C78" s="108">
        <f t="shared" si="5"/>
        <v>56</v>
      </c>
      <c r="D78" s="108">
        <v>16436</v>
      </c>
      <c r="E78" s="108" t="s">
        <v>161</v>
      </c>
      <c r="F78" s="108">
        <v>588</v>
      </c>
      <c r="G78" s="108">
        <f t="shared" si="6"/>
        <v>1.6436E-5</v>
      </c>
      <c r="H78" s="108">
        <f t="shared" si="7"/>
        <v>4.8054524895999999E-6</v>
      </c>
      <c r="J78" s="108">
        <f t="shared" si="8"/>
        <v>3.3645124800000008E-8</v>
      </c>
      <c r="Q78" s="108">
        <v>54</v>
      </c>
    </row>
    <row r="79" spans="1:17" x14ac:dyDescent="0.15">
      <c r="A79" s="108">
        <v>76</v>
      </c>
      <c r="B79" s="213">
        <v>0.76800000667572021</v>
      </c>
      <c r="C79" s="108">
        <f t="shared" si="5"/>
        <v>56</v>
      </c>
      <c r="D79" s="108">
        <v>28276</v>
      </c>
      <c r="E79" s="108" t="s">
        <v>158</v>
      </c>
      <c r="F79" s="108">
        <v>47268</v>
      </c>
      <c r="G79" s="108">
        <f t="shared" si="6"/>
        <v>2.8276000000000002E-5</v>
      </c>
      <c r="H79" s="108">
        <f t="shared" si="7"/>
        <v>8.2671559136000007E-6</v>
      </c>
      <c r="I79" s="108">
        <f t="shared" si="9"/>
        <v>3.5053617924000001E-6</v>
      </c>
      <c r="Q79" s="108">
        <v>54</v>
      </c>
    </row>
    <row r="80" spans="1:17" x14ac:dyDescent="0.15">
      <c r="A80" s="108">
        <v>77</v>
      </c>
      <c r="B80" s="213">
        <v>0.76800000667572021</v>
      </c>
      <c r="C80" s="108">
        <f t="shared" si="5"/>
        <v>56</v>
      </c>
      <c r="D80" s="108">
        <v>24244</v>
      </c>
      <c r="E80" s="108" t="s">
        <v>161</v>
      </c>
      <c r="F80" s="108">
        <v>686</v>
      </c>
      <c r="G80" s="108">
        <f t="shared" si="6"/>
        <v>2.4244E-5</v>
      </c>
      <c r="H80" s="108">
        <f t="shared" si="7"/>
        <v>7.0883055584000007E-6</v>
      </c>
      <c r="J80" s="108">
        <f t="shared" si="8"/>
        <v>3.92526456E-8</v>
      </c>
      <c r="Q80" s="108">
        <v>54</v>
      </c>
    </row>
    <row r="81" spans="1:17" x14ac:dyDescent="0.15">
      <c r="A81" s="108">
        <v>78</v>
      </c>
      <c r="B81" s="213">
        <v>0.76800000667572021</v>
      </c>
      <c r="C81" s="108">
        <f t="shared" si="5"/>
        <v>56</v>
      </c>
      <c r="D81" s="108">
        <v>2008</v>
      </c>
      <c r="E81" s="108" t="s">
        <v>163</v>
      </c>
      <c r="F81" s="108">
        <v>3136</v>
      </c>
      <c r="G81" s="108">
        <f t="shared" si="6"/>
        <v>2.0080000000000001E-6</v>
      </c>
      <c r="H81" s="108">
        <f t="shared" si="7"/>
        <v>5.870861888E-7</v>
      </c>
      <c r="I81" s="108">
        <f t="shared" si="9"/>
        <v>2.3256356480000001E-7</v>
      </c>
      <c r="Q81" s="108">
        <v>54</v>
      </c>
    </row>
    <row r="82" spans="1:17" x14ac:dyDescent="0.15">
      <c r="A82" s="108">
        <v>79</v>
      </c>
      <c r="B82" s="213">
        <v>0.76800000667572021</v>
      </c>
      <c r="C82" s="108">
        <f t="shared" si="5"/>
        <v>56</v>
      </c>
      <c r="D82" s="108">
        <v>34548</v>
      </c>
      <c r="E82" s="108" t="s">
        <v>161</v>
      </c>
      <c r="F82" s="108">
        <v>784</v>
      </c>
      <c r="G82" s="108">
        <f t="shared" si="6"/>
        <v>3.4548000000000002E-5</v>
      </c>
      <c r="H82" s="108">
        <f t="shared" si="7"/>
        <v>1.01009231328E-5</v>
      </c>
      <c r="J82" s="108">
        <f t="shared" si="8"/>
        <v>4.4860166400000006E-8</v>
      </c>
      <c r="Q82" s="108">
        <v>54</v>
      </c>
    </row>
    <row r="83" spans="1:17" x14ac:dyDescent="0.15">
      <c r="A83" s="108">
        <v>80</v>
      </c>
      <c r="B83" s="213">
        <v>0.76800000667572021</v>
      </c>
      <c r="C83" s="108">
        <f t="shared" si="5"/>
        <v>56</v>
      </c>
      <c r="D83" s="108">
        <v>34548</v>
      </c>
      <c r="E83" s="108" t="s">
        <v>158</v>
      </c>
      <c r="F83" s="108">
        <v>55024</v>
      </c>
      <c r="G83" s="108">
        <f t="shared" si="6"/>
        <v>3.4548000000000002E-5</v>
      </c>
      <c r="H83" s="108">
        <f t="shared" si="7"/>
        <v>1.01009231328E-5</v>
      </c>
      <c r="I83" s="108">
        <f t="shared" si="9"/>
        <v>4.0805413232E-6</v>
      </c>
      <c r="Q83" s="108">
        <v>54</v>
      </c>
    </row>
    <row r="84" spans="1:17" x14ac:dyDescent="0.15">
      <c r="A84" s="108">
        <v>81</v>
      </c>
      <c r="B84" s="213">
        <v>0.76800000667572021</v>
      </c>
      <c r="C84" s="108">
        <f t="shared" si="5"/>
        <v>56</v>
      </c>
      <c r="D84" s="108">
        <v>12340</v>
      </c>
      <c r="E84" s="108" t="s">
        <v>161</v>
      </c>
      <c r="F84" s="108">
        <v>392</v>
      </c>
      <c r="G84" s="108">
        <f t="shared" si="6"/>
        <v>1.234E-5</v>
      </c>
      <c r="H84" s="108">
        <f t="shared" si="7"/>
        <v>3.6078902240000003E-6</v>
      </c>
      <c r="J84" s="108">
        <f t="shared" si="8"/>
        <v>2.2430083200000003E-8</v>
      </c>
      <c r="Q84" s="108">
        <v>54</v>
      </c>
    </row>
    <row r="85" spans="1:17" x14ac:dyDescent="0.15">
      <c r="A85" s="108">
        <v>82</v>
      </c>
      <c r="B85" s="213">
        <v>0.76800000667572021</v>
      </c>
      <c r="C85" s="108">
        <f t="shared" si="5"/>
        <v>56</v>
      </c>
      <c r="D85" s="108">
        <v>32820</v>
      </c>
      <c r="E85" s="108" t="s">
        <v>158</v>
      </c>
      <c r="F85" s="108">
        <v>92642</v>
      </c>
      <c r="G85" s="108">
        <f t="shared" si="6"/>
        <v>3.2820000000000001E-5</v>
      </c>
      <c r="H85" s="108">
        <f t="shared" si="7"/>
        <v>9.5957015520000008E-6</v>
      </c>
      <c r="I85" s="108">
        <f t="shared" si="9"/>
        <v>6.870265870600001E-6</v>
      </c>
      <c r="Q85" s="108">
        <v>54</v>
      </c>
    </row>
    <row r="86" spans="1:17" x14ac:dyDescent="0.15">
      <c r="A86" s="108">
        <v>83</v>
      </c>
      <c r="B86" s="213">
        <v>0.76800000667572021</v>
      </c>
      <c r="C86" s="108">
        <f t="shared" si="5"/>
        <v>56</v>
      </c>
      <c r="D86" s="108">
        <v>16436</v>
      </c>
      <c r="E86" s="108" t="s">
        <v>161</v>
      </c>
      <c r="F86" s="108">
        <v>588</v>
      </c>
      <c r="G86" s="108">
        <f t="shared" si="6"/>
        <v>1.6436E-5</v>
      </c>
      <c r="H86" s="108">
        <f t="shared" si="7"/>
        <v>4.8054524895999999E-6</v>
      </c>
      <c r="J86" s="108">
        <f t="shared" si="8"/>
        <v>3.3645124800000008E-8</v>
      </c>
      <c r="Q86" s="108">
        <v>54</v>
      </c>
    </row>
    <row r="87" spans="1:17" x14ac:dyDescent="0.15">
      <c r="A87" s="108">
        <v>84</v>
      </c>
      <c r="B87" s="213">
        <v>0.76800000667572021</v>
      </c>
      <c r="C87" s="108">
        <f t="shared" si="5"/>
        <v>56</v>
      </c>
      <c r="D87" s="108">
        <v>21556</v>
      </c>
      <c r="E87" s="108" t="s">
        <v>158</v>
      </c>
      <c r="F87" s="108">
        <v>38688</v>
      </c>
      <c r="G87" s="108">
        <f t="shared" si="6"/>
        <v>2.1556000000000002E-5</v>
      </c>
      <c r="H87" s="108">
        <f t="shared" si="7"/>
        <v>6.302405321600001E-6</v>
      </c>
      <c r="I87" s="108">
        <f t="shared" si="9"/>
        <v>2.8690749984000002E-6</v>
      </c>
      <c r="Q87" s="108">
        <v>54</v>
      </c>
    </row>
    <row r="88" spans="1:17" x14ac:dyDescent="0.15">
      <c r="A88" s="108">
        <v>85</v>
      </c>
      <c r="B88" s="213">
        <v>0.76800000667572021</v>
      </c>
      <c r="C88" s="108">
        <f t="shared" si="5"/>
        <v>56</v>
      </c>
      <c r="D88" s="108">
        <v>24244</v>
      </c>
      <c r="E88" s="108" t="s">
        <v>161</v>
      </c>
      <c r="F88" s="108">
        <v>686</v>
      </c>
      <c r="G88" s="108">
        <f t="shared" si="6"/>
        <v>2.4244E-5</v>
      </c>
      <c r="H88" s="108">
        <f t="shared" si="7"/>
        <v>7.0883055584000007E-6</v>
      </c>
      <c r="J88" s="108">
        <f t="shared" si="8"/>
        <v>3.92526456E-8</v>
      </c>
      <c r="Q88" s="108">
        <v>54</v>
      </c>
    </row>
    <row r="89" spans="1:17" x14ac:dyDescent="0.15">
      <c r="A89" s="108">
        <v>86</v>
      </c>
      <c r="B89" s="213">
        <v>0.76800000667572021</v>
      </c>
      <c r="C89" s="108">
        <f t="shared" si="5"/>
        <v>56</v>
      </c>
      <c r="D89" s="108">
        <v>16436</v>
      </c>
      <c r="E89" s="108" t="s">
        <v>158</v>
      </c>
      <c r="F89" s="108">
        <v>52560</v>
      </c>
      <c r="G89" s="108">
        <f t="shared" si="6"/>
        <v>1.6436E-5</v>
      </c>
      <c r="H89" s="108">
        <f t="shared" si="7"/>
        <v>4.8054524895999999E-6</v>
      </c>
      <c r="I89" s="108">
        <f t="shared" si="9"/>
        <v>3.8978128080000001E-6</v>
      </c>
      <c r="Q89" s="108">
        <v>54</v>
      </c>
    </row>
    <row r="90" spans="1:17" x14ac:dyDescent="0.15">
      <c r="A90" s="108">
        <v>87</v>
      </c>
      <c r="B90" s="213">
        <v>0.76800000667572021</v>
      </c>
      <c r="C90" s="108">
        <f t="shared" si="5"/>
        <v>56</v>
      </c>
      <c r="D90" s="108">
        <v>28276</v>
      </c>
      <c r="E90" s="108" t="s">
        <v>161</v>
      </c>
      <c r="F90" s="108">
        <v>686</v>
      </c>
      <c r="G90" s="108">
        <f t="shared" si="6"/>
        <v>2.8276000000000002E-5</v>
      </c>
      <c r="H90" s="108">
        <f t="shared" si="7"/>
        <v>8.2671559136000007E-6</v>
      </c>
      <c r="J90" s="108">
        <f t="shared" si="8"/>
        <v>3.92526456E-8</v>
      </c>
      <c r="Q90" s="108">
        <v>54</v>
      </c>
    </row>
    <row r="91" spans="1:17" x14ac:dyDescent="0.15">
      <c r="A91" s="108">
        <v>88</v>
      </c>
      <c r="B91" s="213">
        <v>0.76800000667572021</v>
      </c>
      <c r="C91" s="108">
        <f t="shared" si="5"/>
        <v>56</v>
      </c>
      <c r="D91" s="108">
        <v>24244</v>
      </c>
      <c r="E91" s="108" t="s">
        <v>158</v>
      </c>
      <c r="F91" s="108">
        <v>15288</v>
      </c>
      <c r="G91" s="108">
        <f t="shared" si="6"/>
        <v>2.4244E-5</v>
      </c>
      <c r="H91" s="108">
        <f t="shared" si="7"/>
        <v>7.0883055584000007E-6</v>
      </c>
      <c r="I91" s="108">
        <f t="shared" si="9"/>
        <v>1.1337473784E-6</v>
      </c>
      <c r="Q91" s="108">
        <v>54</v>
      </c>
    </row>
    <row r="92" spans="1:17" x14ac:dyDescent="0.15">
      <c r="A92" s="108">
        <v>89</v>
      </c>
      <c r="B92" s="213">
        <v>0.76800000667572021</v>
      </c>
      <c r="C92" s="108">
        <f t="shared" si="5"/>
        <v>56</v>
      </c>
      <c r="D92" s="108">
        <v>2008</v>
      </c>
      <c r="E92" s="108" t="s">
        <v>164</v>
      </c>
      <c r="F92" s="108">
        <v>3136</v>
      </c>
      <c r="G92" s="108">
        <f t="shared" si="6"/>
        <v>2.0080000000000001E-6</v>
      </c>
      <c r="H92" s="108">
        <f t="shared" si="7"/>
        <v>5.870861888E-7</v>
      </c>
      <c r="J92" s="108">
        <f t="shared" si="8"/>
        <v>1.7944066560000002E-7</v>
      </c>
      <c r="Q92" s="108">
        <v>54</v>
      </c>
    </row>
    <row r="93" spans="1:17" x14ac:dyDescent="0.15">
      <c r="A93" s="108">
        <v>90</v>
      </c>
      <c r="B93" s="213">
        <v>0.76800000667572021</v>
      </c>
      <c r="C93" s="108">
        <f t="shared" si="5"/>
        <v>56</v>
      </c>
      <c r="D93" s="108">
        <v>34548</v>
      </c>
      <c r="E93" s="108" t="s">
        <v>158</v>
      </c>
      <c r="F93" s="108">
        <v>15348</v>
      </c>
      <c r="G93" s="108">
        <f t="shared" si="6"/>
        <v>3.4548000000000002E-5</v>
      </c>
      <c r="H93" s="108">
        <f t="shared" si="7"/>
        <v>1.01009231328E-5</v>
      </c>
      <c r="I93" s="108">
        <f t="shared" si="9"/>
        <v>1.1381969363999999E-6</v>
      </c>
      <c r="Q93" s="108">
        <v>54</v>
      </c>
    </row>
    <row r="94" spans="1:17" x14ac:dyDescent="0.15">
      <c r="A94" s="108">
        <v>91</v>
      </c>
      <c r="B94" s="213">
        <v>0.76800000667572021</v>
      </c>
      <c r="C94" s="108">
        <f t="shared" si="5"/>
        <v>56</v>
      </c>
      <c r="D94" s="108">
        <v>34548</v>
      </c>
      <c r="E94" s="108" t="s">
        <v>161</v>
      </c>
      <c r="F94" s="108">
        <v>784</v>
      </c>
      <c r="G94" s="108">
        <f t="shared" si="6"/>
        <v>3.4548000000000002E-5</v>
      </c>
      <c r="H94" s="108">
        <f t="shared" si="7"/>
        <v>1.01009231328E-5</v>
      </c>
      <c r="J94" s="108">
        <f t="shared" si="8"/>
        <v>4.4860166400000006E-8</v>
      </c>
      <c r="Q94" s="108">
        <v>54</v>
      </c>
    </row>
    <row r="95" spans="1:17" x14ac:dyDescent="0.15">
      <c r="A95" s="108">
        <v>92</v>
      </c>
      <c r="B95" s="213">
        <v>0.76800000667572021</v>
      </c>
      <c r="C95" s="108">
        <f t="shared" si="5"/>
        <v>56</v>
      </c>
      <c r="D95" s="108">
        <v>12340</v>
      </c>
      <c r="E95" s="108" t="s">
        <v>158</v>
      </c>
      <c r="F95" s="108">
        <v>40016</v>
      </c>
      <c r="G95" s="108">
        <f t="shared" si="6"/>
        <v>1.234E-5</v>
      </c>
      <c r="H95" s="108">
        <f t="shared" si="7"/>
        <v>3.6078902240000003E-6</v>
      </c>
      <c r="I95" s="108">
        <f t="shared" si="9"/>
        <v>2.9675585487999999E-6</v>
      </c>
      <c r="Q95" s="108">
        <v>54</v>
      </c>
    </row>
    <row r="96" spans="1:17" x14ac:dyDescent="0.15">
      <c r="A96" s="108">
        <v>93</v>
      </c>
      <c r="B96" s="213">
        <v>0.76800000667572021</v>
      </c>
      <c r="C96" s="108">
        <f t="shared" si="5"/>
        <v>56</v>
      </c>
      <c r="D96" s="108">
        <v>32820</v>
      </c>
      <c r="E96" s="108" t="s">
        <v>161</v>
      </c>
      <c r="F96" s="108">
        <v>1176</v>
      </c>
      <c r="G96" s="108">
        <f t="shared" si="6"/>
        <v>3.2820000000000001E-5</v>
      </c>
      <c r="H96" s="108">
        <f t="shared" si="7"/>
        <v>9.5957015520000008E-6</v>
      </c>
      <c r="J96" s="108">
        <f t="shared" si="8"/>
        <v>6.7290249600000016E-8</v>
      </c>
      <c r="Q96" s="108">
        <v>54</v>
      </c>
    </row>
    <row r="97" spans="1:17" x14ac:dyDescent="0.15">
      <c r="A97" s="108">
        <v>94</v>
      </c>
      <c r="B97" s="213">
        <v>0.76800000667572021</v>
      </c>
      <c r="C97" s="108">
        <f t="shared" si="5"/>
        <v>56</v>
      </c>
      <c r="D97" s="108">
        <v>16436</v>
      </c>
      <c r="E97" s="108" t="s">
        <v>158</v>
      </c>
      <c r="F97" s="108">
        <v>52560</v>
      </c>
      <c r="G97" s="108">
        <f t="shared" si="6"/>
        <v>1.6436E-5</v>
      </c>
      <c r="H97" s="108">
        <f t="shared" si="7"/>
        <v>4.8054524895999999E-6</v>
      </c>
      <c r="I97" s="108">
        <f t="shared" si="9"/>
        <v>3.8978128080000001E-6</v>
      </c>
      <c r="Q97" s="108">
        <v>54</v>
      </c>
    </row>
    <row r="98" spans="1:17" x14ac:dyDescent="0.15">
      <c r="A98" s="108">
        <v>95</v>
      </c>
      <c r="B98" s="213">
        <v>0.76800000667572021</v>
      </c>
      <c r="C98" s="108">
        <f t="shared" si="5"/>
        <v>56</v>
      </c>
      <c r="D98" s="108">
        <v>21556</v>
      </c>
      <c r="E98" s="108" t="s">
        <v>161</v>
      </c>
      <c r="F98" s="108">
        <v>588</v>
      </c>
      <c r="G98" s="108">
        <f t="shared" si="6"/>
        <v>2.1556000000000002E-5</v>
      </c>
      <c r="H98" s="108">
        <f t="shared" si="7"/>
        <v>6.302405321600001E-6</v>
      </c>
      <c r="J98" s="108">
        <f t="shared" si="8"/>
        <v>3.3645124800000008E-8</v>
      </c>
      <c r="Q98" s="108">
        <v>54</v>
      </c>
    </row>
    <row r="99" spans="1:17" x14ac:dyDescent="0.15">
      <c r="A99" s="108">
        <v>96</v>
      </c>
      <c r="B99" s="213">
        <v>0.76800000667572021</v>
      </c>
      <c r="C99" s="108">
        <f t="shared" si="5"/>
        <v>56</v>
      </c>
      <c r="D99" s="108">
        <v>24244</v>
      </c>
      <c r="E99" s="108" t="s">
        <v>158</v>
      </c>
      <c r="F99" s="108">
        <v>15288</v>
      </c>
      <c r="G99" s="108">
        <f t="shared" si="6"/>
        <v>2.4244E-5</v>
      </c>
      <c r="H99" s="108">
        <f t="shared" si="7"/>
        <v>7.0883055584000007E-6</v>
      </c>
      <c r="I99" s="108">
        <f t="shared" si="9"/>
        <v>1.1337473784E-6</v>
      </c>
      <c r="Q99" s="108">
        <v>54</v>
      </c>
    </row>
    <row r="100" spans="1:17" x14ac:dyDescent="0.15">
      <c r="A100" s="108">
        <v>97</v>
      </c>
      <c r="B100" s="213">
        <v>0.76800000667572021</v>
      </c>
      <c r="C100" s="108">
        <f t="shared" si="5"/>
        <v>56</v>
      </c>
      <c r="D100" s="108">
        <v>16436</v>
      </c>
      <c r="E100" s="108" t="s">
        <v>161</v>
      </c>
      <c r="F100" s="108">
        <v>588</v>
      </c>
      <c r="G100" s="108">
        <f t="shared" si="6"/>
        <v>1.6436E-5</v>
      </c>
      <c r="H100" s="108">
        <f t="shared" si="7"/>
        <v>4.8054524895999999E-6</v>
      </c>
      <c r="J100" s="108">
        <f t="shared" si="8"/>
        <v>3.3645124800000008E-8</v>
      </c>
      <c r="Q100" s="108">
        <v>54</v>
      </c>
    </row>
    <row r="101" spans="1:17" x14ac:dyDescent="0.15">
      <c r="A101" s="108">
        <v>98</v>
      </c>
      <c r="B101" s="213">
        <v>0.76800000667572021</v>
      </c>
      <c r="C101" s="108">
        <f t="shared" si="5"/>
        <v>56</v>
      </c>
      <c r="D101" s="108">
        <v>28276</v>
      </c>
      <c r="E101" s="108" t="s">
        <v>158</v>
      </c>
      <c r="F101" s="108">
        <v>47268</v>
      </c>
      <c r="G101" s="108">
        <f t="shared" si="6"/>
        <v>2.8276000000000002E-5</v>
      </c>
      <c r="H101" s="108">
        <f t="shared" si="7"/>
        <v>8.2671559136000007E-6</v>
      </c>
      <c r="I101" s="108">
        <f t="shared" si="9"/>
        <v>3.5053617924000001E-6</v>
      </c>
      <c r="Q101" s="108">
        <v>54</v>
      </c>
    </row>
    <row r="102" spans="1:17" x14ac:dyDescent="0.15">
      <c r="A102" s="108">
        <v>99</v>
      </c>
      <c r="B102" s="213">
        <v>0.76800000667572021</v>
      </c>
      <c r="C102" s="108">
        <f t="shared" si="5"/>
        <v>56</v>
      </c>
      <c r="D102" s="108">
        <v>24244</v>
      </c>
      <c r="E102" s="108" t="s">
        <v>161</v>
      </c>
      <c r="F102" s="108">
        <v>686</v>
      </c>
      <c r="G102" s="108">
        <f t="shared" si="6"/>
        <v>2.4244E-5</v>
      </c>
      <c r="H102" s="108">
        <f t="shared" si="7"/>
        <v>7.0883055584000007E-6</v>
      </c>
      <c r="J102" s="108">
        <f t="shared" si="8"/>
        <v>3.92526456E-8</v>
      </c>
      <c r="Q102" s="108">
        <v>54</v>
      </c>
    </row>
    <row r="103" spans="1:17" x14ac:dyDescent="0.15">
      <c r="A103" s="108">
        <v>100</v>
      </c>
      <c r="B103" s="213">
        <v>0.76800000667572021</v>
      </c>
      <c r="C103" s="108">
        <f t="shared" si="5"/>
        <v>56</v>
      </c>
      <c r="D103" s="108">
        <v>2008</v>
      </c>
      <c r="E103" s="108" t="s">
        <v>163</v>
      </c>
      <c r="F103" s="108">
        <v>3136</v>
      </c>
      <c r="G103" s="108">
        <f t="shared" si="6"/>
        <v>2.0080000000000001E-6</v>
      </c>
      <c r="H103" s="108">
        <f t="shared" si="7"/>
        <v>5.870861888E-7</v>
      </c>
      <c r="I103" s="108">
        <f t="shared" si="9"/>
        <v>2.3256356480000001E-7</v>
      </c>
      <c r="Q103" s="108">
        <v>54</v>
      </c>
    </row>
    <row r="104" spans="1:17" x14ac:dyDescent="0.15">
      <c r="A104" s="108">
        <v>101</v>
      </c>
      <c r="B104" s="213">
        <v>0.76800000667572021</v>
      </c>
      <c r="C104" s="108">
        <f t="shared" si="5"/>
        <v>56</v>
      </c>
      <c r="D104" s="108">
        <v>34548</v>
      </c>
      <c r="E104" s="108" t="s">
        <v>161</v>
      </c>
      <c r="F104" s="108">
        <v>784</v>
      </c>
      <c r="G104" s="108">
        <f t="shared" si="6"/>
        <v>3.4548000000000002E-5</v>
      </c>
      <c r="H104" s="108">
        <f t="shared" si="7"/>
        <v>1.01009231328E-5</v>
      </c>
      <c r="J104" s="108">
        <f t="shared" si="8"/>
        <v>4.4860166400000006E-8</v>
      </c>
      <c r="Q104" s="108">
        <v>54</v>
      </c>
    </row>
    <row r="105" spans="1:17" x14ac:dyDescent="0.15">
      <c r="A105" s="108">
        <v>102</v>
      </c>
      <c r="B105" s="213">
        <v>0.76800000667572021</v>
      </c>
      <c r="C105" s="108">
        <f t="shared" si="5"/>
        <v>56</v>
      </c>
      <c r="D105" s="108">
        <v>34548</v>
      </c>
      <c r="E105" s="108" t="s">
        <v>158</v>
      </c>
      <c r="F105" s="108">
        <v>55024</v>
      </c>
      <c r="G105" s="108">
        <f t="shared" si="6"/>
        <v>3.4548000000000002E-5</v>
      </c>
      <c r="H105" s="108">
        <f t="shared" si="7"/>
        <v>1.01009231328E-5</v>
      </c>
      <c r="I105" s="108">
        <f t="shared" si="9"/>
        <v>4.0805413232E-6</v>
      </c>
      <c r="Q105" s="108">
        <v>54</v>
      </c>
    </row>
    <row r="106" spans="1:17" x14ac:dyDescent="0.15">
      <c r="A106" s="108">
        <v>103</v>
      </c>
      <c r="B106" s="213">
        <v>0.76800000667572021</v>
      </c>
      <c r="C106" s="108">
        <f t="shared" si="5"/>
        <v>56</v>
      </c>
      <c r="D106" s="108">
        <v>12340</v>
      </c>
      <c r="E106" s="108" t="s">
        <v>161</v>
      </c>
      <c r="F106" s="108">
        <v>392</v>
      </c>
      <c r="G106" s="108">
        <f t="shared" si="6"/>
        <v>1.234E-5</v>
      </c>
      <c r="H106" s="108">
        <f t="shared" si="7"/>
        <v>3.6078902240000003E-6</v>
      </c>
      <c r="J106" s="108">
        <f t="shared" si="8"/>
        <v>2.2430083200000003E-8</v>
      </c>
      <c r="Q106" s="108">
        <v>54</v>
      </c>
    </row>
    <row r="107" spans="1:17" x14ac:dyDescent="0.15">
      <c r="A107" s="108">
        <v>104</v>
      </c>
      <c r="B107" s="213">
        <v>0.76800000667572021</v>
      </c>
      <c r="C107" s="108">
        <f t="shared" si="5"/>
        <v>56</v>
      </c>
      <c r="D107" s="108">
        <v>32820</v>
      </c>
      <c r="E107" s="108" t="s">
        <v>158</v>
      </c>
      <c r="F107" s="108">
        <v>92642</v>
      </c>
      <c r="G107" s="108">
        <f t="shared" si="6"/>
        <v>3.2820000000000001E-5</v>
      </c>
      <c r="H107" s="108">
        <f t="shared" si="7"/>
        <v>9.5957015520000008E-6</v>
      </c>
      <c r="I107" s="108">
        <f t="shared" si="9"/>
        <v>6.870265870600001E-6</v>
      </c>
      <c r="Q107" s="108">
        <v>54</v>
      </c>
    </row>
    <row r="108" spans="1:17" x14ac:dyDescent="0.15">
      <c r="A108" s="108">
        <v>105</v>
      </c>
      <c r="B108" s="213">
        <v>0.76800000667572021</v>
      </c>
      <c r="C108" s="108">
        <f t="shared" si="5"/>
        <v>56</v>
      </c>
      <c r="D108" s="108">
        <v>16436</v>
      </c>
      <c r="E108" s="108" t="s">
        <v>161</v>
      </c>
      <c r="F108" s="108">
        <v>588</v>
      </c>
      <c r="G108" s="108">
        <f t="shared" si="6"/>
        <v>1.6436E-5</v>
      </c>
      <c r="H108" s="108">
        <f t="shared" si="7"/>
        <v>4.8054524895999999E-6</v>
      </c>
      <c r="J108" s="108">
        <f t="shared" si="8"/>
        <v>3.3645124800000008E-8</v>
      </c>
      <c r="Q108" s="108">
        <v>54</v>
      </c>
    </row>
    <row r="109" spans="1:17" x14ac:dyDescent="0.15">
      <c r="A109" s="108">
        <v>106</v>
      </c>
      <c r="B109" s="213">
        <v>0.76800000667572021</v>
      </c>
      <c r="C109" s="108">
        <f t="shared" si="5"/>
        <v>56</v>
      </c>
      <c r="D109" s="108">
        <v>21556</v>
      </c>
      <c r="E109" s="108" t="s">
        <v>158</v>
      </c>
      <c r="F109" s="108">
        <v>38688</v>
      </c>
      <c r="G109" s="108">
        <f t="shared" si="6"/>
        <v>2.1556000000000002E-5</v>
      </c>
      <c r="H109" s="108">
        <f t="shared" si="7"/>
        <v>6.302405321600001E-6</v>
      </c>
      <c r="I109" s="108">
        <f t="shared" si="9"/>
        <v>2.8690749984000002E-6</v>
      </c>
      <c r="Q109" s="108">
        <v>54</v>
      </c>
    </row>
    <row r="110" spans="1:17" x14ac:dyDescent="0.15">
      <c r="A110" s="108">
        <v>107</v>
      </c>
      <c r="B110" s="213">
        <v>0.76800000667572021</v>
      </c>
      <c r="C110" s="108">
        <f t="shared" si="5"/>
        <v>56</v>
      </c>
      <c r="D110" s="108">
        <v>24244</v>
      </c>
      <c r="E110" s="108" t="s">
        <v>161</v>
      </c>
      <c r="F110" s="108">
        <v>686</v>
      </c>
      <c r="G110" s="108">
        <f t="shared" si="6"/>
        <v>2.4244E-5</v>
      </c>
      <c r="H110" s="108">
        <f t="shared" si="7"/>
        <v>7.0883055584000007E-6</v>
      </c>
      <c r="J110" s="108">
        <f t="shared" si="8"/>
        <v>3.92526456E-8</v>
      </c>
      <c r="Q110" s="108">
        <v>54</v>
      </c>
    </row>
    <row r="111" spans="1:17" x14ac:dyDescent="0.15">
      <c r="A111" s="108">
        <v>108</v>
      </c>
      <c r="B111" s="213">
        <v>0.76800000667572021</v>
      </c>
      <c r="C111" s="108">
        <f t="shared" si="5"/>
        <v>56</v>
      </c>
      <c r="D111" s="108">
        <v>16436</v>
      </c>
      <c r="E111" s="108" t="s">
        <v>158</v>
      </c>
      <c r="F111" s="108">
        <v>52560</v>
      </c>
      <c r="G111" s="108">
        <f t="shared" si="6"/>
        <v>1.6436E-5</v>
      </c>
      <c r="H111" s="108">
        <f t="shared" si="7"/>
        <v>4.8054524895999999E-6</v>
      </c>
      <c r="I111" s="108">
        <f t="shared" si="9"/>
        <v>3.8978128080000001E-6</v>
      </c>
      <c r="Q111" s="108">
        <v>54</v>
      </c>
    </row>
    <row r="112" spans="1:17" x14ac:dyDescent="0.15">
      <c r="A112" s="108">
        <v>109</v>
      </c>
      <c r="B112" s="213">
        <v>0.76800000667572021</v>
      </c>
      <c r="C112" s="108">
        <f t="shared" si="5"/>
        <v>56</v>
      </c>
      <c r="D112" s="108">
        <v>28276</v>
      </c>
      <c r="E112" s="108" t="s">
        <v>161</v>
      </c>
      <c r="F112" s="108">
        <v>686</v>
      </c>
      <c r="G112" s="108">
        <f t="shared" si="6"/>
        <v>2.8276000000000002E-5</v>
      </c>
      <c r="H112" s="108">
        <f t="shared" si="7"/>
        <v>8.2671559136000007E-6</v>
      </c>
      <c r="J112" s="108">
        <f t="shared" si="8"/>
        <v>3.92526456E-8</v>
      </c>
      <c r="Q112" s="108">
        <v>54</v>
      </c>
    </row>
    <row r="113" spans="1:17" x14ac:dyDescent="0.15">
      <c r="A113" s="108">
        <v>110</v>
      </c>
      <c r="B113" s="213">
        <v>0.76800000667572021</v>
      </c>
      <c r="C113" s="108">
        <f t="shared" si="5"/>
        <v>56</v>
      </c>
      <c r="D113" s="108">
        <v>24244</v>
      </c>
      <c r="E113" s="108" t="s">
        <v>158</v>
      </c>
      <c r="F113" s="108">
        <v>15288</v>
      </c>
      <c r="G113" s="108">
        <f t="shared" si="6"/>
        <v>2.4244E-5</v>
      </c>
      <c r="H113" s="108">
        <f t="shared" si="7"/>
        <v>7.0883055584000007E-6</v>
      </c>
      <c r="I113" s="108">
        <f t="shared" si="9"/>
        <v>1.1337473784E-6</v>
      </c>
      <c r="Q113" s="108">
        <v>54</v>
      </c>
    </row>
    <row r="114" spans="1:17" x14ac:dyDescent="0.15">
      <c r="A114" s="108">
        <v>111</v>
      </c>
      <c r="B114" s="213">
        <v>0.76800000667572021</v>
      </c>
      <c r="C114" s="108">
        <f t="shared" si="5"/>
        <v>56</v>
      </c>
      <c r="D114" s="108">
        <v>2008</v>
      </c>
      <c r="E114" s="108" t="s">
        <v>164</v>
      </c>
      <c r="F114" s="108">
        <v>3136</v>
      </c>
      <c r="G114" s="108">
        <f t="shared" si="6"/>
        <v>2.0080000000000001E-6</v>
      </c>
      <c r="H114" s="108">
        <f t="shared" si="7"/>
        <v>5.870861888E-7</v>
      </c>
      <c r="J114" s="108">
        <f t="shared" si="8"/>
        <v>1.7944066560000002E-7</v>
      </c>
      <c r="Q114" s="108">
        <v>54</v>
      </c>
    </row>
    <row r="115" spans="1:17" x14ac:dyDescent="0.15">
      <c r="A115" s="108">
        <v>112</v>
      </c>
      <c r="B115" s="213">
        <v>0.76800000667572021</v>
      </c>
      <c r="C115" s="108">
        <f t="shared" si="5"/>
        <v>56</v>
      </c>
      <c r="D115" s="108">
        <v>34548</v>
      </c>
      <c r="E115" s="108" t="s">
        <v>158</v>
      </c>
      <c r="F115" s="108">
        <v>15348</v>
      </c>
      <c r="G115" s="108">
        <f t="shared" si="6"/>
        <v>3.4548000000000002E-5</v>
      </c>
      <c r="H115" s="108">
        <f t="shared" si="7"/>
        <v>1.01009231328E-5</v>
      </c>
      <c r="I115" s="108">
        <f t="shared" si="9"/>
        <v>1.1381969363999999E-6</v>
      </c>
      <c r="Q115" s="108">
        <v>54</v>
      </c>
    </row>
    <row r="116" spans="1:17" x14ac:dyDescent="0.15">
      <c r="A116" s="108">
        <v>113</v>
      </c>
      <c r="B116" s="213">
        <v>0.76800000667572021</v>
      </c>
      <c r="C116" s="108">
        <f t="shared" si="5"/>
        <v>56</v>
      </c>
      <c r="D116" s="108">
        <v>34548</v>
      </c>
      <c r="E116" s="108" t="s">
        <v>161</v>
      </c>
      <c r="F116" s="108">
        <v>784</v>
      </c>
      <c r="G116" s="108">
        <f t="shared" si="6"/>
        <v>3.4548000000000002E-5</v>
      </c>
      <c r="H116" s="108">
        <f t="shared" si="7"/>
        <v>1.01009231328E-5</v>
      </c>
      <c r="J116" s="108">
        <f t="shared" si="8"/>
        <v>4.4860166400000006E-8</v>
      </c>
      <c r="Q116" s="108">
        <v>54</v>
      </c>
    </row>
    <row r="117" spans="1:17" x14ac:dyDescent="0.15">
      <c r="A117" s="108">
        <v>114</v>
      </c>
      <c r="B117" s="213">
        <v>0.76800000667572021</v>
      </c>
      <c r="C117" s="108">
        <f t="shared" si="5"/>
        <v>56</v>
      </c>
      <c r="D117" s="108">
        <v>12340</v>
      </c>
      <c r="E117" s="108" t="s">
        <v>158</v>
      </c>
      <c r="F117" s="108">
        <v>40016</v>
      </c>
      <c r="G117" s="108">
        <f t="shared" si="6"/>
        <v>1.234E-5</v>
      </c>
      <c r="H117" s="108">
        <f t="shared" si="7"/>
        <v>3.6078902240000003E-6</v>
      </c>
      <c r="I117" s="108">
        <f t="shared" si="9"/>
        <v>2.9675585487999999E-6</v>
      </c>
      <c r="Q117" s="108">
        <v>54</v>
      </c>
    </row>
    <row r="118" spans="1:17" x14ac:dyDescent="0.15">
      <c r="A118" s="108">
        <v>115</v>
      </c>
      <c r="B118" s="213">
        <v>0.76800000667572021</v>
      </c>
      <c r="C118" s="108">
        <f t="shared" si="5"/>
        <v>56</v>
      </c>
      <c r="D118" s="108">
        <v>32820</v>
      </c>
      <c r="E118" s="108" t="s">
        <v>161</v>
      </c>
      <c r="F118" s="108">
        <v>1176</v>
      </c>
      <c r="G118" s="108">
        <f t="shared" si="6"/>
        <v>3.2820000000000001E-5</v>
      </c>
      <c r="H118" s="108">
        <f t="shared" si="7"/>
        <v>9.5957015520000008E-6</v>
      </c>
      <c r="J118" s="108">
        <f t="shared" si="8"/>
        <v>6.7290249600000016E-8</v>
      </c>
      <c r="Q118" s="108">
        <v>54</v>
      </c>
    </row>
    <row r="119" spans="1:17" x14ac:dyDescent="0.15">
      <c r="A119" s="108">
        <v>116</v>
      </c>
      <c r="B119" s="213">
        <v>0.76800000667572021</v>
      </c>
      <c r="C119" s="108">
        <f t="shared" si="5"/>
        <v>56</v>
      </c>
      <c r="D119" s="108">
        <v>16436</v>
      </c>
      <c r="E119" s="108" t="s">
        <v>158</v>
      </c>
      <c r="F119" s="108">
        <v>52560</v>
      </c>
      <c r="G119" s="108">
        <f t="shared" si="6"/>
        <v>1.6436E-5</v>
      </c>
      <c r="H119" s="108">
        <f t="shared" si="7"/>
        <v>4.8054524895999999E-6</v>
      </c>
      <c r="I119" s="108">
        <f t="shared" si="9"/>
        <v>3.8978128080000001E-6</v>
      </c>
      <c r="Q119" s="108">
        <v>54</v>
      </c>
    </row>
    <row r="120" spans="1:17" x14ac:dyDescent="0.15">
      <c r="A120" s="108">
        <v>117</v>
      </c>
      <c r="B120" s="213">
        <v>0.76800000667572021</v>
      </c>
      <c r="C120" s="108">
        <f t="shared" si="5"/>
        <v>56</v>
      </c>
      <c r="D120" s="108">
        <v>21556</v>
      </c>
      <c r="E120" s="108" t="s">
        <v>161</v>
      </c>
      <c r="F120" s="108">
        <v>588</v>
      </c>
      <c r="G120" s="108">
        <f t="shared" si="6"/>
        <v>2.1556000000000002E-5</v>
      </c>
      <c r="H120" s="108">
        <f t="shared" si="7"/>
        <v>6.302405321600001E-6</v>
      </c>
      <c r="J120" s="108">
        <f t="shared" si="8"/>
        <v>3.3645124800000008E-8</v>
      </c>
      <c r="Q120" s="108">
        <v>54</v>
      </c>
    </row>
    <row r="121" spans="1:17" x14ac:dyDescent="0.15">
      <c r="A121" s="108">
        <v>118</v>
      </c>
      <c r="B121" s="213">
        <v>0.76800000667572021</v>
      </c>
      <c r="C121" s="108">
        <f t="shared" si="5"/>
        <v>56</v>
      </c>
      <c r="D121" s="108">
        <v>24244</v>
      </c>
      <c r="E121" s="108" t="s">
        <v>158</v>
      </c>
      <c r="F121" s="108">
        <v>15288</v>
      </c>
      <c r="G121" s="108">
        <f t="shared" si="6"/>
        <v>2.4244E-5</v>
      </c>
      <c r="H121" s="108">
        <f t="shared" si="7"/>
        <v>7.0883055584000007E-6</v>
      </c>
      <c r="I121" s="108">
        <f t="shared" si="9"/>
        <v>1.1337473784E-6</v>
      </c>
      <c r="Q121" s="108">
        <v>54</v>
      </c>
    </row>
    <row r="122" spans="1:17" x14ac:dyDescent="0.15">
      <c r="A122" s="108">
        <v>119</v>
      </c>
      <c r="B122" s="213">
        <v>0.76800000667572021</v>
      </c>
      <c r="C122" s="108">
        <f t="shared" si="5"/>
        <v>56</v>
      </c>
      <c r="D122" s="108">
        <v>16436</v>
      </c>
      <c r="E122" s="108" t="s">
        <v>161</v>
      </c>
      <c r="F122" s="108">
        <v>588</v>
      </c>
      <c r="G122" s="108">
        <f t="shared" si="6"/>
        <v>1.6436E-5</v>
      </c>
      <c r="H122" s="108">
        <f t="shared" si="7"/>
        <v>4.8054524895999999E-6</v>
      </c>
      <c r="J122" s="108">
        <f t="shared" si="8"/>
        <v>3.3645124800000008E-8</v>
      </c>
      <c r="Q122" s="108">
        <v>54</v>
      </c>
    </row>
    <row r="123" spans="1:17" x14ac:dyDescent="0.15">
      <c r="A123" s="108">
        <v>120</v>
      </c>
      <c r="B123" s="213">
        <v>0.76800000667572021</v>
      </c>
      <c r="C123" s="108">
        <f t="shared" si="5"/>
        <v>56</v>
      </c>
      <c r="D123" s="108">
        <v>28276</v>
      </c>
      <c r="E123" s="108" t="s">
        <v>158</v>
      </c>
      <c r="F123" s="108">
        <v>47268</v>
      </c>
      <c r="G123" s="108">
        <f t="shared" si="6"/>
        <v>2.8276000000000002E-5</v>
      </c>
      <c r="H123" s="108">
        <f t="shared" si="7"/>
        <v>8.2671559136000007E-6</v>
      </c>
      <c r="I123" s="108">
        <f t="shared" si="9"/>
        <v>3.5053617924000001E-6</v>
      </c>
      <c r="Q123" s="108">
        <v>54</v>
      </c>
    </row>
    <row r="124" spans="1:17" x14ac:dyDescent="0.15">
      <c r="A124" s="108">
        <v>121</v>
      </c>
      <c r="B124" s="213">
        <v>0.76800000667572021</v>
      </c>
      <c r="C124" s="108">
        <f t="shared" si="5"/>
        <v>56</v>
      </c>
      <c r="D124" s="108">
        <v>24244</v>
      </c>
      <c r="E124" s="108" t="s">
        <v>161</v>
      </c>
      <c r="F124" s="108">
        <v>686</v>
      </c>
      <c r="G124" s="108">
        <f t="shared" si="6"/>
        <v>2.4244E-5</v>
      </c>
      <c r="H124" s="108">
        <f t="shared" si="7"/>
        <v>7.0883055584000007E-6</v>
      </c>
      <c r="J124" s="108">
        <f t="shared" si="8"/>
        <v>3.92526456E-8</v>
      </c>
      <c r="Q124" s="108">
        <v>54</v>
      </c>
    </row>
    <row r="125" spans="1:17" x14ac:dyDescent="0.15">
      <c r="A125" s="108">
        <v>122</v>
      </c>
      <c r="B125" s="213">
        <v>0.76800000667572021</v>
      </c>
      <c r="C125" s="108">
        <f t="shared" si="5"/>
        <v>56</v>
      </c>
      <c r="D125" s="108">
        <v>2008</v>
      </c>
      <c r="E125" s="108" t="s">
        <v>163</v>
      </c>
      <c r="F125" s="108">
        <v>3136</v>
      </c>
      <c r="G125" s="108">
        <f t="shared" si="6"/>
        <v>2.0080000000000001E-6</v>
      </c>
      <c r="H125" s="108">
        <f t="shared" si="7"/>
        <v>5.870861888E-7</v>
      </c>
      <c r="I125" s="108">
        <f t="shared" si="9"/>
        <v>2.3256356480000001E-7</v>
      </c>
      <c r="Q125" s="108">
        <v>54</v>
      </c>
    </row>
    <row r="126" spans="1:17" x14ac:dyDescent="0.15">
      <c r="A126" s="108">
        <v>123</v>
      </c>
      <c r="B126" s="213">
        <v>0.76800000667572021</v>
      </c>
      <c r="C126" s="108">
        <f t="shared" si="5"/>
        <v>56</v>
      </c>
      <c r="D126" s="108">
        <v>34548</v>
      </c>
      <c r="E126" s="108" t="s">
        <v>161</v>
      </c>
      <c r="F126" s="108">
        <v>784</v>
      </c>
      <c r="G126" s="108">
        <f t="shared" si="6"/>
        <v>3.4548000000000002E-5</v>
      </c>
      <c r="H126" s="108">
        <f t="shared" si="7"/>
        <v>1.01009231328E-5</v>
      </c>
      <c r="J126" s="108">
        <f t="shared" si="8"/>
        <v>4.4860166400000006E-8</v>
      </c>
      <c r="Q126" s="108">
        <v>54</v>
      </c>
    </row>
    <row r="127" spans="1:17" x14ac:dyDescent="0.15">
      <c r="A127" s="108">
        <v>124</v>
      </c>
      <c r="B127" s="213">
        <v>0.76800000667572021</v>
      </c>
      <c r="C127" s="108">
        <f t="shared" si="5"/>
        <v>56</v>
      </c>
      <c r="D127" s="108">
        <v>34548</v>
      </c>
      <c r="E127" s="108" t="s">
        <v>158</v>
      </c>
      <c r="F127" s="108">
        <v>55024</v>
      </c>
      <c r="G127" s="108">
        <f t="shared" si="6"/>
        <v>3.4548000000000002E-5</v>
      </c>
      <c r="H127" s="108">
        <f t="shared" si="7"/>
        <v>1.01009231328E-5</v>
      </c>
      <c r="I127" s="108">
        <f t="shared" si="9"/>
        <v>4.0805413232E-6</v>
      </c>
      <c r="Q127" s="108">
        <v>54</v>
      </c>
    </row>
    <row r="128" spans="1:17" x14ac:dyDescent="0.15">
      <c r="A128" s="108">
        <v>125</v>
      </c>
      <c r="B128" s="213">
        <v>0.76800000667572021</v>
      </c>
      <c r="C128" s="108">
        <f t="shared" si="5"/>
        <v>56</v>
      </c>
      <c r="D128" s="108">
        <v>12340</v>
      </c>
      <c r="E128" s="108" t="s">
        <v>161</v>
      </c>
      <c r="F128" s="108">
        <v>392</v>
      </c>
      <c r="G128" s="108">
        <f t="shared" si="6"/>
        <v>1.234E-5</v>
      </c>
      <c r="H128" s="108">
        <f t="shared" si="7"/>
        <v>3.6078902240000003E-6</v>
      </c>
      <c r="J128" s="108">
        <f t="shared" si="8"/>
        <v>2.2430083200000003E-8</v>
      </c>
      <c r="Q128" s="108">
        <v>54</v>
      </c>
    </row>
    <row r="129" spans="1:17" x14ac:dyDescent="0.15">
      <c r="A129" s="108">
        <v>126</v>
      </c>
      <c r="B129" s="213">
        <v>0.76800000667572021</v>
      </c>
      <c r="C129" s="108">
        <f t="shared" si="5"/>
        <v>56</v>
      </c>
      <c r="D129" s="108">
        <v>32820</v>
      </c>
      <c r="E129" s="108" t="s">
        <v>158</v>
      </c>
      <c r="F129" s="108">
        <v>92642</v>
      </c>
      <c r="G129" s="108">
        <f t="shared" si="6"/>
        <v>3.2820000000000001E-5</v>
      </c>
      <c r="H129" s="108">
        <f t="shared" si="7"/>
        <v>9.5957015520000008E-6</v>
      </c>
      <c r="I129" s="108">
        <f t="shared" si="9"/>
        <v>6.870265870600001E-6</v>
      </c>
      <c r="Q129" s="108">
        <v>54</v>
      </c>
    </row>
    <row r="130" spans="1:17" x14ac:dyDescent="0.15">
      <c r="A130" s="108">
        <v>127</v>
      </c>
      <c r="B130" s="213">
        <v>0.76800000667572021</v>
      </c>
      <c r="C130" s="108">
        <f t="shared" si="5"/>
        <v>56</v>
      </c>
      <c r="D130" s="108">
        <v>22580</v>
      </c>
      <c r="E130" s="108" t="s">
        <v>161</v>
      </c>
      <c r="F130" s="108">
        <v>784</v>
      </c>
      <c r="G130" s="108">
        <f t="shared" si="6"/>
        <v>2.2580000000000001E-5</v>
      </c>
      <c r="H130" s="108">
        <f t="shared" si="7"/>
        <v>6.6017958880000004E-6</v>
      </c>
      <c r="J130" s="108">
        <f t="shared" si="8"/>
        <v>4.4860166400000006E-8</v>
      </c>
      <c r="Q130" s="108">
        <v>54</v>
      </c>
    </row>
    <row r="131" spans="1:17" x14ac:dyDescent="0.15">
      <c r="A131" s="108">
        <v>128</v>
      </c>
      <c r="B131" s="213">
        <v>0.76800000667572021</v>
      </c>
      <c r="C131" s="108">
        <f t="shared" ref="C131:C172" si="10">_xlfn.SWITCH(Q131,60,60,59,60,58,60,57,58,56,58,55,56,54,IF(B131&gt;$R$2,54,56))</f>
        <v>56</v>
      </c>
      <c r="D131" s="108">
        <v>39476</v>
      </c>
      <c r="E131" s="108" t="s">
        <v>158</v>
      </c>
      <c r="F131" s="108">
        <v>15408</v>
      </c>
      <c r="G131" s="108">
        <f t="shared" ref="G131:G172" si="11">D131*$U$6</f>
        <v>3.9475999999999999E-5</v>
      </c>
      <c r="H131" s="108">
        <f t="shared" ref="H131:H172" si="12">_xlfn.SWITCH(C131+$U$2,54,$Z$10,55,$Y$10,56,$X$10,57,$W$10,58,$V$10,59,$U$10,$U$17)*G131</f>
        <v>1.1541740233600001E-5</v>
      </c>
      <c r="I131" s="108">
        <f t="shared" si="9"/>
        <v>1.1426464944000001E-6</v>
      </c>
      <c r="Q131" s="108">
        <v>54</v>
      </c>
    </row>
    <row r="132" spans="1:17" x14ac:dyDescent="0.15">
      <c r="A132" s="108">
        <v>129</v>
      </c>
      <c r="B132" s="213">
        <v>0.76800000667572021</v>
      </c>
      <c r="C132" s="108">
        <f t="shared" si="10"/>
        <v>56</v>
      </c>
      <c r="D132" s="108">
        <v>16436</v>
      </c>
      <c r="E132" s="108" t="s">
        <v>161</v>
      </c>
      <c r="F132" s="108">
        <v>588</v>
      </c>
      <c r="G132" s="108">
        <f t="shared" si="11"/>
        <v>1.6436E-5</v>
      </c>
      <c r="H132" s="108">
        <f t="shared" si="12"/>
        <v>4.8054524895999999E-6</v>
      </c>
      <c r="J132" s="108">
        <f t="shared" ref="J131:J172" si="13">_xlfn.SWITCH(C132+$U$2,54,$Z$12,55,$Y$12,56,$X$12,57,$W$12,58,$V$12,59,$U$12,$U$19)*F132*$U$6</f>
        <v>3.3645124800000008E-8</v>
      </c>
      <c r="Q132" s="108">
        <v>54</v>
      </c>
    </row>
    <row r="133" spans="1:17" x14ac:dyDescent="0.15">
      <c r="A133" s="108">
        <v>130</v>
      </c>
      <c r="B133" s="213">
        <v>0.76800000667572021</v>
      </c>
      <c r="C133" s="108">
        <f t="shared" si="10"/>
        <v>56</v>
      </c>
      <c r="D133" s="108">
        <v>46644</v>
      </c>
      <c r="E133" s="108" t="s">
        <v>158</v>
      </c>
      <c r="F133" s="108">
        <v>67728</v>
      </c>
      <c r="G133" s="108">
        <f t="shared" si="11"/>
        <v>4.6644000000000003E-5</v>
      </c>
      <c r="H133" s="108">
        <f t="shared" si="12"/>
        <v>1.3637474198400002E-5</v>
      </c>
      <c r="I133" s="108">
        <f t="shared" ref="I132:I172" si="14">_xlfn.SWITCH(C133+$U$2,54,$Z$11,55,$Y$11,56,$X$11,57,$W$11,58,$V$11,59,$U$11,$U$18)*F133*$U$6</f>
        <v>5.0226610704000001E-6</v>
      </c>
      <c r="Q133" s="108">
        <v>54</v>
      </c>
    </row>
    <row r="134" spans="1:17" x14ac:dyDescent="0.15">
      <c r="A134" s="108">
        <v>131</v>
      </c>
      <c r="B134" s="213">
        <v>0.76800000667572021</v>
      </c>
      <c r="C134" s="108">
        <f t="shared" si="10"/>
        <v>56</v>
      </c>
      <c r="D134" s="108">
        <v>13860</v>
      </c>
      <c r="E134" s="108" t="s">
        <v>161</v>
      </c>
      <c r="F134" s="108">
        <v>108</v>
      </c>
      <c r="G134" s="108">
        <f t="shared" si="11"/>
        <v>1.3860000000000001E-5</v>
      </c>
      <c r="H134" s="108">
        <f t="shared" si="12"/>
        <v>4.0522980960000009E-6</v>
      </c>
      <c r="J134" s="108">
        <f t="shared" si="13"/>
        <v>6.1797168000000005E-9</v>
      </c>
      <c r="Q134" s="108">
        <v>54</v>
      </c>
    </row>
    <row r="135" spans="1:17" x14ac:dyDescent="0.15">
      <c r="A135" s="108">
        <v>132</v>
      </c>
      <c r="B135" s="213">
        <v>0.76800000667572021</v>
      </c>
      <c r="C135" s="108">
        <f t="shared" si="10"/>
        <v>56</v>
      </c>
      <c r="D135" s="108">
        <v>37476</v>
      </c>
      <c r="E135" s="108" t="s">
        <v>158</v>
      </c>
      <c r="F135" s="108">
        <v>28528</v>
      </c>
      <c r="G135" s="108">
        <f t="shared" si="11"/>
        <v>3.7476000000000005E-5</v>
      </c>
      <c r="H135" s="108">
        <f t="shared" si="12"/>
        <v>1.0956993033600002E-5</v>
      </c>
      <c r="I135" s="108">
        <f t="shared" si="14"/>
        <v>2.1156165104000004E-6</v>
      </c>
      <c r="Q135" s="108">
        <v>54</v>
      </c>
    </row>
    <row r="136" spans="1:17" x14ac:dyDescent="0.15">
      <c r="A136" s="108">
        <v>133</v>
      </c>
      <c r="B136" s="213">
        <v>0.76800000667572021</v>
      </c>
      <c r="C136" s="108">
        <f t="shared" si="10"/>
        <v>56</v>
      </c>
      <c r="D136" s="108">
        <v>2008</v>
      </c>
      <c r="E136" s="108" t="s">
        <v>159</v>
      </c>
      <c r="F136" s="108">
        <v>576</v>
      </c>
      <c r="G136" s="108">
        <f t="shared" si="11"/>
        <v>2.0080000000000001E-6</v>
      </c>
      <c r="H136" s="108">
        <f t="shared" si="12"/>
        <v>5.870861888E-7</v>
      </c>
      <c r="J136" s="108">
        <f t="shared" si="13"/>
        <v>3.29584896E-8</v>
      </c>
      <c r="Q136" s="108">
        <v>54</v>
      </c>
    </row>
    <row r="137" spans="1:17" x14ac:dyDescent="0.15">
      <c r="A137" s="108">
        <v>134</v>
      </c>
      <c r="B137" s="213">
        <v>0.76800000667572021</v>
      </c>
      <c r="C137" s="108">
        <f t="shared" si="10"/>
        <v>56</v>
      </c>
      <c r="D137" s="108">
        <v>24612</v>
      </c>
      <c r="E137" s="108" t="s">
        <v>158</v>
      </c>
      <c r="F137" s="108">
        <v>35664</v>
      </c>
      <c r="G137" s="108">
        <f t="shared" si="11"/>
        <v>2.4612000000000001E-5</v>
      </c>
      <c r="H137" s="108">
        <f t="shared" si="12"/>
        <v>7.1958990432000006E-6</v>
      </c>
      <c r="I137" s="108">
        <f t="shared" si="14"/>
        <v>2.6448172752000003E-6</v>
      </c>
      <c r="Q137" s="108">
        <v>54</v>
      </c>
    </row>
    <row r="138" spans="1:17" x14ac:dyDescent="0.15">
      <c r="A138" s="108">
        <v>135</v>
      </c>
      <c r="B138" s="213">
        <v>0.76800000667572021</v>
      </c>
      <c r="C138" s="108">
        <f t="shared" si="10"/>
        <v>56</v>
      </c>
      <c r="D138" s="108">
        <v>20772</v>
      </c>
      <c r="E138" s="108" t="s">
        <v>161</v>
      </c>
      <c r="F138" s="108">
        <v>252</v>
      </c>
      <c r="G138" s="108">
        <f t="shared" si="11"/>
        <v>2.0772E-5</v>
      </c>
      <c r="H138" s="108">
        <f t="shared" si="12"/>
        <v>6.0731844192000006E-6</v>
      </c>
      <c r="J138" s="108">
        <f t="shared" si="13"/>
        <v>1.4419339200000002E-8</v>
      </c>
      <c r="Q138" s="108">
        <v>54</v>
      </c>
    </row>
    <row r="139" spans="1:17" x14ac:dyDescent="0.15">
      <c r="A139" s="108">
        <v>136</v>
      </c>
      <c r="B139" s="213">
        <v>0.76800000667572021</v>
      </c>
      <c r="C139" s="108">
        <f t="shared" si="10"/>
        <v>56</v>
      </c>
      <c r="D139" s="108">
        <v>28260</v>
      </c>
      <c r="E139" s="108" t="s">
        <v>158</v>
      </c>
      <c r="F139" s="108">
        <v>16272</v>
      </c>
      <c r="G139" s="108">
        <f t="shared" si="11"/>
        <v>2.826E-5</v>
      </c>
      <c r="H139" s="108">
        <f t="shared" si="12"/>
        <v>8.2624779360000005E-6</v>
      </c>
      <c r="I139" s="108">
        <f t="shared" si="14"/>
        <v>1.2067201296000001E-6</v>
      </c>
      <c r="Q139" s="108">
        <v>54</v>
      </c>
    </row>
    <row r="140" spans="1:17" x14ac:dyDescent="0.15">
      <c r="A140" s="108">
        <v>137</v>
      </c>
      <c r="B140" s="213">
        <v>0.76800000667572021</v>
      </c>
      <c r="C140" s="108">
        <f t="shared" si="10"/>
        <v>56</v>
      </c>
      <c r="D140" s="108">
        <v>24612</v>
      </c>
      <c r="E140" s="108" t="s">
        <v>161</v>
      </c>
      <c r="F140" s="108">
        <v>216</v>
      </c>
      <c r="G140" s="108">
        <f t="shared" si="11"/>
        <v>2.4612000000000001E-5</v>
      </c>
      <c r="H140" s="108">
        <f t="shared" si="12"/>
        <v>7.1958990432000006E-6</v>
      </c>
      <c r="J140" s="108">
        <f t="shared" si="13"/>
        <v>1.2359433600000001E-8</v>
      </c>
      <c r="Q140" s="108">
        <v>54</v>
      </c>
    </row>
    <row r="141" spans="1:17" x14ac:dyDescent="0.15">
      <c r="A141" s="108">
        <v>138</v>
      </c>
      <c r="B141" s="213">
        <v>0.76800000667572021</v>
      </c>
      <c r="C141" s="108">
        <f t="shared" si="10"/>
        <v>56</v>
      </c>
      <c r="D141" s="108">
        <v>16932</v>
      </c>
      <c r="E141" s="108" t="s">
        <v>158</v>
      </c>
      <c r="F141" s="108">
        <v>15632</v>
      </c>
      <c r="G141" s="108">
        <f t="shared" si="11"/>
        <v>1.6932E-5</v>
      </c>
      <c r="H141" s="108">
        <f t="shared" si="12"/>
        <v>4.9504697951999998E-6</v>
      </c>
      <c r="I141" s="108">
        <f t="shared" si="14"/>
        <v>1.1592581776000001E-6</v>
      </c>
      <c r="Q141" s="108">
        <v>54</v>
      </c>
    </row>
    <row r="142" spans="1:17" x14ac:dyDescent="0.15">
      <c r="A142" s="108">
        <v>139</v>
      </c>
      <c r="B142" s="213">
        <v>0.76800000667572021</v>
      </c>
      <c r="C142" s="108">
        <f t="shared" si="10"/>
        <v>56</v>
      </c>
      <c r="D142" s="108">
        <v>16932</v>
      </c>
      <c r="E142" s="108" t="s">
        <v>161</v>
      </c>
      <c r="F142" s="108">
        <v>144</v>
      </c>
      <c r="G142" s="108">
        <f t="shared" si="11"/>
        <v>1.6932E-5</v>
      </c>
      <c r="H142" s="108">
        <f t="shared" si="12"/>
        <v>4.9504697951999998E-6</v>
      </c>
      <c r="J142" s="108">
        <f t="shared" si="13"/>
        <v>8.2396224000000001E-9</v>
      </c>
      <c r="Q142" s="108">
        <v>54</v>
      </c>
    </row>
    <row r="143" spans="1:17" x14ac:dyDescent="0.15">
      <c r="A143" s="108">
        <v>140</v>
      </c>
      <c r="B143" s="213">
        <v>0.76800000667572021</v>
      </c>
      <c r="C143" s="108">
        <f t="shared" si="10"/>
        <v>56</v>
      </c>
      <c r="D143" s="108">
        <v>12708</v>
      </c>
      <c r="E143" s="108" t="s">
        <v>158</v>
      </c>
      <c r="F143" s="108">
        <v>15456</v>
      </c>
      <c r="G143" s="108">
        <f t="shared" si="11"/>
        <v>1.2708000000000001E-5</v>
      </c>
      <c r="H143" s="108">
        <f t="shared" si="12"/>
        <v>3.7154837088000006E-6</v>
      </c>
      <c r="I143" s="108">
        <f t="shared" si="14"/>
        <v>1.1462061407999999E-6</v>
      </c>
      <c r="Q143" s="108">
        <v>54</v>
      </c>
    </row>
    <row r="144" spans="1:17" x14ac:dyDescent="0.15">
      <c r="A144" s="108">
        <v>141</v>
      </c>
      <c r="B144" s="213">
        <v>0.76800000667572021</v>
      </c>
      <c r="C144" s="108">
        <f t="shared" si="10"/>
        <v>56</v>
      </c>
      <c r="D144" s="108">
        <v>12708</v>
      </c>
      <c r="E144" s="108" t="s">
        <v>161</v>
      </c>
      <c r="F144" s="108">
        <v>144</v>
      </c>
      <c r="G144" s="108">
        <f t="shared" si="11"/>
        <v>1.2708000000000001E-5</v>
      </c>
      <c r="H144" s="108">
        <f t="shared" si="12"/>
        <v>3.7154837088000006E-6</v>
      </c>
      <c r="J144" s="108">
        <f t="shared" si="13"/>
        <v>8.2396224000000001E-9</v>
      </c>
      <c r="Q144" s="108">
        <v>54</v>
      </c>
    </row>
    <row r="145" spans="1:17" x14ac:dyDescent="0.15">
      <c r="A145" s="108">
        <v>142</v>
      </c>
      <c r="B145" s="213">
        <v>0.76800000667572021</v>
      </c>
      <c r="C145" s="108">
        <f t="shared" si="10"/>
        <v>56</v>
      </c>
      <c r="D145" s="108">
        <v>2008</v>
      </c>
      <c r="E145" s="108" t="s">
        <v>169</v>
      </c>
      <c r="F145" s="108">
        <v>864</v>
      </c>
      <c r="G145" s="108">
        <f t="shared" si="11"/>
        <v>2.0080000000000001E-6</v>
      </c>
      <c r="H145" s="108">
        <f t="shared" si="12"/>
        <v>5.870861888E-7</v>
      </c>
      <c r="I145" s="108">
        <f t="shared" si="14"/>
        <v>6.4073635199999998E-8</v>
      </c>
      <c r="Q145" s="108">
        <v>54</v>
      </c>
    </row>
    <row r="146" spans="1:17" x14ac:dyDescent="0.15">
      <c r="A146" s="108">
        <v>143</v>
      </c>
      <c r="B146" s="213">
        <v>0.76800000667572021</v>
      </c>
      <c r="C146" s="108">
        <f t="shared" si="10"/>
        <v>56</v>
      </c>
      <c r="D146" s="108">
        <v>152100</v>
      </c>
      <c r="E146" s="108" t="s">
        <v>161</v>
      </c>
      <c r="F146" s="108">
        <v>144</v>
      </c>
      <c r="G146" s="108">
        <f t="shared" si="11"/>
        <v>1.5210000000000001E-4</v>
      </c>
      <c r="H146" s="108">
        <f t="shared" si="12"/>
        <v>4.4470024560000002E-5</v>
      </c>
      <c r="J146" s="108">
        <f t="shared" si="13"/>
        <v>8.2396224000000001E-9</v>
      </c>
      <c r="Q146" s="108">
        <v>54</v>
      </c>
    </row>
    <row r="147" spans="1:17" x14ac:dyDescent="0.15">
      <c r="A147" s="108">
        <v>144</v>
      </c>
      <c r="B147" s="213">
        <v>0.76800000667572021</v>
      </c>
      <c r="C147" s="108">
        <f t="shared" si="10"/>
        <v>56</v>
      </c>
      <c r="D147" s="108">
        <v>16932</v>
      </c>
      <c r="E147" s="108" t="s">
        <v>158</v>
      </c>
      <c r="F147" s="108">
        <v>29616</v>
      </c>
      <c r="G147" s="108">
        <f t="shared" si="11"/>
        <v>1.6932E-5</v>
      </c>
      <c r="H147" s="108">
        <f t="shared" si="12"/>
        <v>4.9504697951999998E-6</v>
      </c>
      <c r="I147" s="108">
        <f t="shared" si="14"/>
        <v>2.1963018288000001E-6</v>
      </c>
      <c r="Q147" s="108">
        <v>54</v>
      </c>
    </row>
    <row r="148" spans="1:17" x14ac:dyDescent="0.15">
      <c r="A148" s="108">
        <v>145</v>
      </c>
      <c r="B148" s="213">
        <v>0.76800000667572021</v>
      </c>
      <c r="C148" s="108">
        <f t="shared" si="10"/>
        <v>56</v>
      </c>
      <c r="D148" s="108">
        <v>24612</v>
      </c>
      <c r="E148" s="108" t="s">
        <v>161</v>
      </c>
      <c r="F148" s="108">
        <v>216</v>
      </c>
      <c r="G148" s="108">
        <f t="shared" si="11"/>
        <v>2.4612000000000001E-5</v>
      </c>
      <c r="H148" s="108">
        <f t="shared" si="12"/>
        <v>7.1958990432000006E-6</v>
      </c>
      <c r="J148" s="108">
        <f t="shared" si="13"/>
        <v>1.2359433600000001E-8</v>
      </c>
      <c r="Q148" s="108">
        <v>54</v>
      </c>
    </row>
    <row r="149" spans="1:17" x14ac:dyDescent="0.15">
      <c r="A149" s="108">
        <v>146</v>
      </c>
      <c r="B149" s="213">
        <v>0.76800000667572021</v>
      </c>
      <c r="C149" s="108">
        <f t="shared" si="10"/>
        <v>56</v>
      </c>
      <c r="D149" s="108">
        <v>20772</v>
      </c>
      <c r="E149" s="108" t="s">
        <v>158</v>
      </c>
      <c r="F149" s="108">
        <v>24336</v>
      </c>
      <c r="G149" s="108">
        <f t="shared" si="11"/>
        <v>2.0772E-5</v>
      </c>
      <c r="H149" s="108">
        <f t="shared" si="12"/>
        <v>6.0731844192000006E-6</v>
      </c>
      <c r="I149" s="108">
        <f t="shared" si="14"/>
        <v>1.8047407248000002E-6</v>
      </c>
      <c r="Q149" s="108">
        <v>54</v>
      </c>
    </row>
    <row r="150" spans="1:17" x14ac:dyDescent="0.15">
      <c r="A150" s="108">
        <v>147</v>
      </c>
      <c r="B150" s="213">
        <v>0.76800000667572021</v>
      </c>
      <c r="C150" s="108">
        <f t="shared" si="10"/>
        <v>56</v>
      </c>
      <c r="D150" s="108">
        <v>28260</v>
      </c>
      <c r="E150" s="108" t="s">
        <v>161</v>
      </c>
      <c r="F150" s="108">
        <v>288</v>
      </c>
      <c r="G150" s="108">
        <f t="shared" si="11"/>
        <v>2.826E-5</v>
      </c>
      <c r="H150" s="108">
        <f t="shared" si="12"/>
        <v>8.2624779360000005E-6</v>
      </c>
      <c r="J150" s="108">
        <f t="shared" si="13"/>
        <v>1.64792448E-8</v>
      </c>
      <c r="Q150" s="108">
        <v>54</v>
      </c>
    </row>
    <row r="151" spans="1:17" x14ac:dyDescent="0.15">
      <c r="A151" s="108">
        <v>148</v>
      </c>
      <c r="B151" s="213">
        <v>0.76800000667572021</v>
      </c>
      <c r="C151" s="108">
        <f t="shared" si="10"/>
        <v>56</v>
      </c>
      <c r="D151" s="108">
        <v>24612</v>
      </c>
      <c r="E151" s="108" t="s">
        <v>158</v>
      </c>
      <c r="F151" s="108">
        <v>35664</v>
      </c>
      <c r="G151" s="108">
        <f t="shared" si="11"/>
        <v>2.4612000000000001E-5</v>
      </c>
      <c r="H151" s="108">
        <f t="shared" si="12"/>
        <v>7.1958990432000006E-6</v>
      </c>
      <c r="I151" s="108">
        <f t="shared" si="14"/>
        <v>2.6448172752000003E-6</v>
      </c>
      <c r="Q151" s="108">
        <v>54</v>
      </c>
    </row>
    <row r="152" spans="1:17" x14ac:dyDescent="0.15">
      <c r="A152" s="108">
        <v>149</v>
      </c>
      <c r="B152" s="213">
        <v>0.76800000667572021</v>
      </c>
      <c r="C152" s="108">
        <f t="shared" si="10"/>
        <v>56</v>
      </c>
      <c r="D152" s="108">
        <v>16932</v>
      </c>
      <c r="E152" s="108" t="s">
        <v>161</v>
      </c>
      <c r="F152" s="108">
        <v>144</v>
      </c>
      <c r="G152" s="108">
        <f t="shared" si="11"/>
        <v>1.6932E-5</v>
      </c>
      <c r="H152" s="108">
        <f t="shared" si="12"/>
        <v>4.9504697951999998E-6</v>
      </c>
      <c r="J152" s="108">
        <f t="shared" si="13"/>
        <v>8.2396224000000001E-9</v>
      </c>
      <c r="Q152" s="108">
        <v>54</v>
      </c>
    </row>
    <row r="153" spans="1:17" x14ac:dyDescent="0.15">
      <c r="A153" s="108">
        <v>150</v>
      </c>
      <c r="B153" s="213">
        <v>0.76800000667572021</v>
      </c>
      <c r="C153" s="108">
        <f t="shared" si="10"/>
        <v>56</v>
      </c>
      <c r="D153" s="108">
        <v>16932</v>
      </c>
      <c r="E153" s="108" t="s">
        <v>158</v>
      </c>
      <c r="F153" s="108">
        <v>22096</v>
      </c>
      <c r="G153" s="108">
        <f t="shared" si="11"/>
        <v>1.6932E-5</v>
      </c>
      <c r="H153" s="108">
        <f t="shared" si="12"/>
        <v>4.9504697951999998E-6</v>
      </c>
      <c r="I153" s="108">
        <f t="shared" si="14"/>
        <v>1.6386238928000001E-6</v>
      </c>
      <c r="Q153" s="108">
        <v>54</v>
      </c>
    </row>
    <row r="154" spans="1:17" x14ac:dyDescent="0.15">
      <c r="A154" s="108">
        <v>151</v>
      </c>
      <c r="B154" s="213">
        <v>0.76800000667572021</v>
      </c>
      <c r="C154" s="108">
        <f t="shared" si="10"/>
        <v>56</v>
      </c>
      <c r="D154" s="108">
        <v>12708</v>
      </c>
      <c r="E154" s="108" t="s">
        <v>161</v>
      </c>
      <c r="F154" s="108">
        <v>144</v>
      </c>
      <c r="G154" s="108">
        <f t="shared" si="11"/>
        <v>1.2708000000000001E-5</v>
      </c>
      <c r="H154" s="108">
        <f t="shared" si="12"/>
        <v>3.7154837088000006E-6</v>
      </c>
      <c r="J154" s="108">
        <f t="shared" si="13"/>
        <v>8.2396224000000001E-9</v>
      </c>
      <c r="Q154" s="108">
        <v>54</v>
      </c>
    </row>
    <row r="155" spans="1:17" x14ac:dyDescent="0.15">
      <c r="A155" s="108">
        <v>152</v>
      </c>
      <c r="B155" s="213">
        <v>0.76800000667572021</v>
      </c>
      <c r="C155" s="108">
        <f t="shared" si="10"/>
        <v>56</v>
      </c>
      <c r="D155" s="108">
        <v>12708</v>
      </c>
      <c r="E155" s="108" t="s">
        <v>158</v>
      </c>
      <c r="F155" s="108">
        <v>20304</v>
      </c>
      <c r="G155" s="108">
        <f t="shared" si="11"/>
        <v>1.2708000000000001E-5</v>
      </c>
      <c r="H155" s="108">
        <f t="shared" si="12"/>
        <v>3.7154837088000006E-6</v>
      </c>
      <c r="I155" s="108">
        <f t="shared" si="14"/>
        <v>1.5057304271999999E-6</v>
      </c>
      <c r="Q155" s="108">
        <v>54</v>
      </c>
    </row>
    <row r="156" spans="1:17" x14ac:dyDescent="0.15">
      <c r="A156" s="108">
        <v>153</v>
      </c>
      <c r="B156" s="213">
        <v>0.76800000667572021</v>
      </c>
      <c r="C156" s="108">
        <f t="shared" si="10"/>
        <v>56</v>
      </c>
      <c r="D156" s="108">
        <v>552</v>
      </c>
      <c r="E156" s="108" t="s">
        <v>159</v>
      </c>
      <c r="F156" s="108">
        <v>864</v>
      </c>
      <c r="G156" s="108">
        <f t="shared" si="11"/>
        <v>5.5200000000000007E-7</v>
      </c>
      <c r="H156" s="108">
        <f t="shared" si="12"/>
        <v>1.6139022720000004E-7</v>
      </c>
      <c r="J156" s="108">
        <f t="shared" si="13"/>
        <v>4.9437734400000004E-8</v>
      </c>
      <c r="Q156" s="108">
        <v>54</v>
      </c>
    </row>
    <row r="157" spans="1:17" x14ac:dyDescent="0.15">
      <c r="A157" s="108">
        <v>154</v>
      </c>
      <c r="B157" s="213">
        <v>0.76800000667572021</v>
      </c>
      <c r="C157" s="108">
        <f t="shared" si="10"/>
        <v>56</v>
      </c>
      <c r="D157" s="108">
        <v>152100</v>
      </c>
      <c r="E157" s="108" t="s">
        <v>158</v>
      </c>
      <c r="F157" s="108">
        <v>22992</v>
      </c>
      <c r="G157" s="108">
        <f t="shared" si="11"/>
        <v>1.5210000000000001E-4</v>
      </c>
      <c r="H157" s="108">
        <f t="shared" si="12"/>
        <v>4.4470024560000002E-5</v>
      </c>
      <c r="I157" s="108">
        <f t="shared" si="14"/>
        <v>1.7050706255999999E-6</v>
      </c>
      <c r="Q157" s="108">
        <v>54</v>
      </c>
    </row>
    <row r="158" spans="1:17" x14ac:dyDescent="0.15">
      <c r="A158" s="108">
        <v>155</v>
      </c>
      <c r="B158" s="213">
        <v>0.76800000667572021</v>
      </c>
      <c r="C158" s="108">
        <f t="shared" si="10"/>
        <v>56</v>
      </c>
      <c r="D158" s="108">
        <v>16932</v>
      </c>
      <c r="E158" s="108" t="s">
        <v>161</v>
      </c>
      <c r="F158" s="108">
        <v>144</v>
      </c>
      <c r="G158" s="108">
        <f t="shared" si="11"/>
        <v>1.6932E-5</v>
      </c>
      <c r="H158" s="108">
        <f t="shared" si="12"/>
        <v>4.9504697951999998E-6</v>
      </c>
      <c r="J158" s="108">
        <f t="shared" si="13"/>
        <v>8.2396224000000001E-9</v>
      </c>
      <c r="Q158" s="108">
        <v>54</v>
      </c>
    </row>
    <row r="159" spans="1:17" x14ac:dyDescent="0.15">
      <c r="A159" s="108">
        <v>156</v>
      </c>
      <c r="B159" s="213">
        <v>0.76800000667572021</v>
      </c>
      <c r="C159" s="108">
        <f t="shared" si="10"/>
        <v>56</v>
      </c>
      <c r="D159" s="108">
        <v>24612</v>
      </c>
      <c r="E159" s="108" t="s">
        <v>158</v>
      </c>
      <c r="F159" s="108">
        <v>35664</v>
      </c>
      <c r="G159" s="108">
        <f t="shared" si="11"/>
        <v>2.4612000000000001E-5</v>
      </c>
      <c r="H159" s="108">
        <f t="shared" si="12"/>
        <v>7.1958990432000006E-6</v>
      </c>
      <c r="I159" s="108">
        <f t="shared" si="14"/>
        <v>2.6448172752000003E-6</v>
      </c>
      <c r="Q159" s="108">
        <v>54</v>
      </c>
    </row>
    <row r="160" spans="1:17" x14ac:dyDescent="0.15">
      <c r="A160" s="108">
        <v>157</v>
      </c>
      <c r="B160" s="213">
        <v>0.76800000667572021</v>
      </c>
      <c r="C160" s="108">
        <f t="shared" si="10"/>
        <v>56</v>
      </c>
      <c r="D160" s="108">
        <v>20772</v>
      </c>
      <c r="E160" s="108" t="s">
        <v>161</v>
      </c>
      <c r="F160" s="108">
        <v>252</v>
      </c>
      <c r="G160" s="108">
        <f t="shared" si="11"/>
        <v>2.0772E-5</v>
      </c>
      <c r="H160" s="108">
        <f t="shared" si="12"/>
        <v>6.0731844192000006E-6</v>
      </c>
      <c r="J160" s="108">
        <f t="shared" si="13"/>
        <v>1.4419339200000002E-8</v>
      </c>
      <c r="Q160" s="108">
        <v>54</v>
      </c>
    </row>
    <row r="161" spans="1:17" x14ac:dyDescent="0.15">
      <c r="A161" s="108">
        <v>158</v>
      </c>
      <c r="B161" s="213">
        <v>0.76800000667572021</v>
      </c>
      <c r="C161" s="108">
        <f t="shared" si="10"/>
        <v>56</v>
      </c>
      <c r="D161" s="108">
        <v>28260</v>
      </c>
      <c r="E161" s="108" t="s">
        <v>158</v>
      </c>
      <c r="F161" s="108">
        <v>16272</v>
      </c>
      <c r="G161" s="108">
        <f t="shared" si="11"/>
        <v>2.826E-5</v>
      </c>
      <c r="H161" s="108">
        <f t="shared" si="12"/>
        <v>8.2624779360000005E-6</v>
      </c>
      <c r="I161" s="108">
        <f t="shared" si="14"/>
        <v>1.2067201296000001E-6</v>
      </c>
      <c r="Q161" s="108">
        <v>54</v>
      </c>
    </row>
    <row r="162" spans="1:17" x14ac:dyDescent="0.15">
      <c r="A162" s="108">
        <v>159</v>
      </c>
      <c r="B162" s="213">
        <v>0.76800000667572021</v>
      </c>
      <c r="C162" s="108">
        <f t="shared" si="10"/>
        <v>56</v>
      </c>
      <c r="D162" s="108">
        <v>24612</v>
      </c>
      <c r="E162" s="108" t="s">
        <v>161</v>
      </c>
      <c r="F162" s="108">
        <v>216</v>
      </c>
      <c r="G162" s="108">
        <f t="shared" si="11"/>
        <v>2.4612000000000001E-5</v>
      </c>
      <c r="H162" s="108">
        <f t="shared" si="12"/>
        <v>7.1958990432000006E-6</v>
      </c>
      <c r="J162" s="108">
        <f t="shared" si="13"/>
        <v>1.2359433600000001E-8</v>
      </c>
      <c r="Q162" s="108">
        <v>54</v>
      </c>
    </row>
    <row r="163" spans="1:17" x14ac:dyDescent="0.15">
      <c r="A163" s="108">
        <v>160</v>
      </c>
      <c r="B163" s="213">
        <v>0.76800000667572021</v>
      </c>
      <c r="C163" s="108">
        <f t="shared" si="10"/>
        <v>56</v>
      </c>
      <c r="D163" s="108">
        <v>16932</v>
      </c>
      <c r="E163" s="108" t="s">
        <v>158</v>
      </c>
      <c r="F163" s="108">
        <v>15632</v>
      </c>
      <c r="G163" s="108">
        <f t="shared" si="11"/>
        <v>1.6932E-5</v>
      </c>
      <c r="H163" s="108">
        <f t="shared" si="12"/>
        <v>4.9504697951999998E-6</v>
      </c>
      <c r="I163" s="108">
        <f t="shared" si="14"/>
        <v>1.1592581776000001E-6</v>
      </c>
      <c r="Q163" s="108">
        <v>54</v>
      </c>
    </row>
    <row r="164" spans="1:17" x14ac:dyDescent="0.15">
      <c r="A164" s="108">
        <v>161</v>
      </c>
      <c r="B164" s="213">
        <v>0.76800000667572021</v>
      </c>
      <c r="C164" s="108">
        <f t="shared" si="10"/>
        <v>56</v>
      </c>
      <c r="D164" s="108">
        <v>16932</v>
      </c>
      <c r="E164" s="108" t="s">
        <v>161</v>
      </c>
      <c r="F164" s="108">
        <v>144</v>
      </c>
      <c r="G164" s="108">
        <f t="shared" si="11"/>
        <v>1.6932E-5</v>
      </c>
      <c r="H164" s="108">
        <f t="shared" si="12"/>
        <v>4.9504697951999998E-6</v>
      </c>
      <c r="J164" s="108">
        <f t="shared" si="13"/>
        <v>8.2396224000000001E-9</v>
      </c>
      <c r="Q164" s="108">
        <v>54</v>
      </c>
    </row>
    <row r="165" spans="1:17" x14ac:dyDescent="0.15">
      <c r="A165" s="108">
        <v>162</v>
      </c>
      <c r="B165" s="213">
        <v>0.76800000667572021</v>
      </c>
      <c r="C165" s="108">
        <f t="shared" si="10"/>
        <v>56</v>
      </c>
      <c r="D165" s="108">
        <v>12708</v>
      </c>
      <c r="E165" s="108" t="s">
        <v>158</v>
      </c>
      <c r="F165" s="108">
        <v>15456</v>
      </c>
      <c r="G165" s="108">
        <f t="shared" si="11"/>
        <v>1.2708000000000001E-5</v>
      </c>
      <c r="H165" s="108">
        <f t="shared" si="12"/>
        <v>3.7154837088000006E-6</v>
      </c>
      <c r="I165" s="108">
        <f t="shared" si="14"/>
        <v>1.1462061407999999E-6</v>
      </c>
      <c r="Q165" s="108">
        <v>54</v>
      </c>
    </row>
    <row r="166" spans="1:17" x14ac:dyDescent="0.15">
      <c r="A166" s="108">
        <v>163</v>
      </c>
      <c r="B166" s="213">
        <v>0.76800000667572021</v>
      </c>
      <c r="C166" s="108">
        <f t="shared" si="10"/>
        <v>56</v>
      </c>
      <c r="D166" s="108">
        <v>12708</v>
      </c>
      <c r="E166" s="108" t="s">
        <v>161</v>
      </c>
      <c r="F166" s="108">
        <v>144</v>
      </c>
      <c r="G166" s="108">
        <f t="shared" si="11"/>
        <v>1.2708000000000001E-5</v>
      </c>
      <c r="H166" s="108">
        <f t="shared" si="12"/>
        <v>3.7154837088000006E-6</v>
      </c>
      <c r="J166" s="108">
        <f t="shared" si="13"/>
        <v>8.2396224000000001E-9</v>
      </c>
      <c r="Q166" s="108">
        <v>54</v>
      </c>
    </row>
    <row r="167" spans="1:17" x14ac:dyDescent="0.15">
      <c r="A167" s="108">
        <v>164</v>
      </c>
      <c r="B167" s="213">
        <v>0.76800000667572021</v>
      </c>
      <c r="C167" s="108">
        <f t="shared" si="10"/>
        <v>56</v>
      </c>
      <c r="D167" s="108">
        <v>552</v>
      </c>
      <c r="E167" s="108" t="s">
        <v>169</v>
      </c>
      <c r="F167" s="108">
        <v>864</v>
      </c>
      <c r="G167" s="108">
        <f t="shared" si="11"/>
        <v>5.5200000000000007E-7</v>
      </c>
      <c r="H167" s="108">
        <f t="shared" si="12"/>
        <v>1.6139022720000004E-7</v>
      </c>
      <c r="I167" s="108">
        <f t="shared" si="14"/>
        <v>6.4073635199999998E-8</v>
      </c>
      <c r="Q167" s="108">
        <v>54</v>
      </c>
    </row>
    <row r="168" spans="1:17" x14ac:dyDescent="0.15">
      <c r="A168" s="108">
        <v>165</v>
      </c>
      <c r="B168" s="213">
        <v>0.76800000667572021</v>
      </c>
      <c r="C168" s="108">
        <f t="shared" si="10"/>
        <v>56</v>
      </c>
      <c r="D168" s="108">
        <v>152100</v>
      </c>
      <c r="E168" s="108" t="s">
        <v>161</v>
      </c>
      <c r="F168" s="108">
        <v>144</v>
      </c>
      <c r="G168" s="108">
        <f t="shared" si="11"/>
        <v>1.5210000000000001E-4</v>
      </c>
      <c r="H168" s="108">
        <f t="shared" si="12"/>
        <v>4.4470024560000002E-5</v>
      </c>
      <c r="J168" s="108">
        <f t="shared" si="13"/>
        <v>8.2396224000000001E-9</v>
      </c>
      <c r="Q168" s="108">
        <v>54</v>
      </c>
    </row>
    <row r="169" spans="1:17" x14ac:dyDescent="0.15">
      <c r="A169" s="108">
        <v>166</v>
      </c>
      <c r="B169" s="213">
        <v>0.76800000667572021</v>
      </c>
      <c r="C169" s="108">
        <f t="shared" si="10"/>
        <v>56</v>
      </c>
      <c r="D169" s="108">
        <v>16932</v>
      </c>
      <c r="E169" s="108" t="s">
        <v>158</v>
      </c>
      <c r="F169" s="108">
        <v>29616</v>
      </c>
      <c r="G169" s="108">
        <f t="shared" si="11"/>
        <v>1.6932E-5</v>
      </c>
      <c r="H169" s="108">
        <f t="shared" si="12"/>
        <v>4.9504697951999998E-6</v>
      </c>
      <c r="I169" s="108">
        <f t="shared" si="14"/>
        <v>2.1963018288000001E-6</v>
      </c>
      <c r="Q169" s="108">
        <v>54</v>
      </c>
    </row>
    <row r="170" spans="1:17" x14ac:dyDescent="0.15">
      <c r="A170" s="108">
        <v>167</v>
      </c>
      <c r="B170" s="213">
        <v>0.76800000667572021</v>
      </c>
      <c r="C170" s="108">
        <f t="shared" si="10"/>
        <v>56</v>
      </c>
      <c r="D170" s="108">
        <v>61</v>
      </c>
      <c r="E170" s="108" t="s">
        <v>170</v>
      </c>
      <c r="F170" s="108">
        <v>96</v>
      </c>
      <c r="G170" s="108">
        <f t="shared" si="11"/>
        <v>6.1000000000000004E-8</v>
      </c>
      <c r="H170" s="108">
        <f t="shared" si="12"/>
        <v>1.7834789600000003E-8</v>
      </c>
      <c r="J170" s="108">
        <f t="shared" si="13"/>
        <v>5.4930816000000003E-9</v>
      </c>
      <c r="Q170" s="108">
        <v>54</v>
      </c>
    </row>
    <row r="171" spans="1:17" x14ac:dyDescent="0.15">
      <c r="A171" s="108">
        <v>168</v>
      </c>
      <c r="B171" s="213">
        <v>0.76800000667572021</v>
      </c>
      <c r="C171" s="108">
        <f t="shared" si="10"/>
        <v>56</v>
      </c>
      <c r="D171" s="108">
        <v>4610</v>
      </c>
      <c r="E171" s="108" t="s">
        <v>183</v>
      </c>
      <c r="F171" s="108">
        <v>899664</v>
      </c>
      <c r="G171" s="108">
        <f t="shared" si="11"/>
        <v>4.6099999999999999E-6</v>
      </c>
      <c r="H171" s="108">
        <f t="shared" si="12"/>
        <v>1.3478422959999999E-6</v>
      </c>
      <c r="I171" s="108">
        <f t="shared" si="14"/>
        <v>6.6718452475200002E-5</v>
      </c>
      <c r="Q171" s="108">
        <v>54</v>
      </c>
    </row>
    <row r="172" spans="1:17" x14ac:dyDescent="0.15">
      <c r="A172" s="108">
        <v>169</v>
      </c>
      <c r="B172" s="213">
        <v>0.76800000667572021</v>
      </c>
      <c r="C172" s="108">
        <f t="shared" si="10"/>
        <v>56</v>
      </c>
      <c r="D172" s="108">
        <v>1538</v>
      </c>
      <c r="E172" s="108" t="s">
        <v>167</v>
      </c>
      <c r="F172" s="108">
        <v>0.5</v>
      </c>
      <c r="G172" s="108">
        <f t="shared" si="11"/>
        <v>1.5380000000000001E-6</v>
      </c>
      <c r="H172" s="108">
        <f t="shared" si="12"/>
        <v>4.4967059680000003E-7</v>
      </c>
      <c r="J172" s="108">
        <f t="shared" si="13"/>
        <v>2.8609800000000003E-11</v>
      </c>
      <c r="Q172" s="108">
        <v>54</v>
      </c>
    </row>
    <row r="173" spans="1:17" x14ac:dyDescent="0.15">
      <c r="B173" s="213"/>
      <c r="D173" s="108">
        <f>SUM(D2:D172)</f>
        <v>4699313</v>
      </c>
      <c r="G173" s="108" t="s">
        <v>154</v>
      </c>
      <c r="H173" s="108">
        <f>SUM(H2:H172)</f>
        <v>1.3768603400536009E-3</v>
      </c>
      <c r="I173" s="108">
        <f t="shared" ref="I173:J173" si="15">SUM(I2:I172)</f>
        <v>2.7724872135709169E-4</v>
      </c>
      <c r="J173" s="108">
        <f t="shared" si="15"/>
        <v>5.8378476842249991E-6</v>
      </c>
    </row>
    <row r="174" spans="1:17" x14ac:dyDescent="0.15">
      <c r="B174" s="213"/>
    </row>
    <row r="175" spans="1:17" x14ac:dyDescent="0.15">
      <c r="B175" s="213" t="s">
        <v>197</v>
      </c>
      <c r="E175" s="108" t="s">
        <v>184</v>
      </c>
      <c r="F175" s="108">
        <v>101347.25</v>
      </c>
      <c r="G175" s="108">
        <f>+F175/F176</f>
        <v>1</v>
      </c>
    </row>
    <row r="176" spans="1:17" x14ac:dyDescent="0.15">
      <c r="B176" s="213">
        <v>54</v>
      </c>
      <c r="C176" s="108">
        <f>COUNTIF(C2:C172,54)</f>
        <v>0</v>
      </c>
      <c r="E176" s="108" t="s">
        <v>185</v>
      </c>
      <c r="F176" s="108">
        <f>+'[2]Hoja 1'!F53</f>
        <v>101347.25</v>
      </c>
    </row>
    <row r="177" spans="2:8" x14ac:dyDescent="0.15">
      <c r="B177" s="213">
        <v>56</v>
      </c>
      <c r="C177" s="108">
        <f>COUNTIF(C2:C172,56)</f>
        <v>166</v>
      </c>
      <c r="E177" s="108" t="s">
        <v>82</v>
      </c>
      <c r="F177" s="214">
        <v>3726374.0625</v>
      </c>
      <c r="G177" s="138">
        <f>+F177/F178</f>
        <v>2.3218036113942633</v>
      </c>
    </row>
    <row r="178" spans="2:8" x14ac:dyDescent="0.15">
      <c r="B178" s="213">
        <v>58</v>
      </c>
      <c r="C178" s="108">
        <f>COUNTIF(C2:C172,58)</f>
        <v>4</v>
      </c>
      <c r="E178" s="108" t="s">
        <v>185</v>
      </c>
      <c r="F178" s="108">
        <v>1604948</v>
      </c>
    </row>
    <row r="179" spans="2:8" x14ac:dyDescent="0.15">
      <c r="B179" s="213">
        <v>60</v>
      </c>
      <c r="C179" s="108">
        <f>COUNTIF(C2:C172,60)</f>
        <v>1</v>
      </c>
    </row>
    <row r="180" spans="2:8" x14ac:dyDescent="0.15">
      <c r="B180" s="213"/>
    </row>
    <row r="181" spans="2:8" x14ac:dyDescent="0.15">
      <c r="B181" s="213"/>
      <c r="E181" s="108">
        <f>SUM(F181:F350)+F2</f>
        <v>101347.25</v>
      </c>
      <c r="F181" s="108">
        <f>F3*MOD(A3,2)</f>
        <v>0</v>
      </c>
    </row>
    <row r="182" spans="2:8" x14ac:dyDescent="0.15">
      <c r="B182" s="213"/>
      <c r="E182" s="108">
        <f>SUM(F2:F172)-E181</f>
        <v>3726374.0625</v>
      </c>
      <c r="F182" s="108">
        <f t="shared" ref="F182:F245" si="16">F4*MOD(A4,2)</f>
        <v>10368</v>
      </c>
      <c r="H182" s="108">
        <f>MOD(3,2)</f>
        <v>1</v>
      </c>
    </row>
    <row r="183" spans="2:8" x14ac:dyDescent="0.15">
      <c r="B183" s="213"/>
      <c r="F183" s="108">
        <f t="shared" si="16"/>
        <v>0</v>
      </c>
    </row>
    <row r="184" spans="2:8" x14ac:dyDescent="0.15">
      <c r="B184" s="213"/>
      <c r="F184" s="108">
        <f t="shared" si="16"/>
        <v>6936</v>
      </c>
    </row>
    <row r="185" spans="2:8" x14ac:dyDescent="0.15">
      <c r="B185" s="213"/>
      <c r="F185" s="108">
        <f t="shared" si="16"/>
        <v>0</v>
      </c>
    </row>
    <row r="186" spans="2:8" x14ac:dyDescent="0.15">
      <c r="B186" s="213"/>
      <c r="F186" s="108">
        <f t="shared" si="16"/>
        <v>4624</v>
      </c>
    </row>
    <row r="187" spans="2:8" x14ac:dyDescent="0.15">
      <c r="B187" s="213"/>
      <c r="F187" s="108">
        <f t="shared" si="16"/>
        <v>0</v>
      </c>
    </row>
    <row r="188" spans="2:8" x14ac:dyDescent="0.15">
      <c r="B188" s="213"/>
      <c r="F188" s="108">
        <f t="shared" si="16"/>
        <v>4624</v>
      </c>
    </row>
    <row r="189" spans="2:8" x14ac:dyDescent="0.15">
      <c r="B189" s="213"/>
      <c r="F189" s="108">
        <f t="shared" si="16"/>
        <v>0</v>
      </c>
    </row>
    <row r="190" spans="2:8" x14ac:dyDescent="0.15">
      <c r="B190" s="213"/>
      <c r="F190" s="108">
        <f t="shared" si="16"/>
        <v>6144</v>
      </c>
    </row>
    <row r="191" spans="2:8" x14ac:dyDescent="0.15">
      <c r="B191" s="213"/>
      <c r="F191" s="108">
        <f t="shared" si="16"/>
        <v>0</v>
      </c>
    </row>
    <row r="192" spans="2:8" x14ac:dyDescent="0.15">
      <c r="B192" s="213"/>
      <c r="F192" s="108">
        <f t="shared" si="16"/>
        <v>2700</v>
      </c>
    </row>
    <row r="193" spans="2:6" x14ac:dyDescent="0.15">
      <c r="B193" s="213"/>
      <c r="F193" s="108">
        <f t="shared" si="16"/>
        <v>0</v>
      </c>
    </row>
    <row r="194" spans="2:6" x14ac:dyDescent="0.15">
      <c r="B194" s="213"/>
      <c r="F194" s="108">
        <f t="shared" si="16"/>
        <v>900</v>
      </c>
    </row>
    <row r="195" spans="2:6" x14ac:dyDescent="0.15">
      <c r="B195" s="213"/>
      <c r="F195" s="108">
        <f t="shared" si="16"/>
        <v>0</v>
      </c>
    </row>
    <row r="196" spans="2:6" x14ac:dyDescent="0.15">
      <c r="B196" s="213"/>
      <c r="F196" s="108">
        <f t="shared" si="16"/>
        <v>900</v>
      </c>
    </row>
    <row r="197" spans="2:6" x14ac:dyDescent="0.15">
      <c r="B197" s="213"/>
      <c r="F197" s="108">
        <f t="shared" si="16"/>
        <v>0</v>
      </c>
    </row>
    <row r="198" spans="2:6" x14ac:dyDescent="0.15">
      <c r="B198" s="213"/>
      <c r="F198" s="108">
        <f t="shared" si="16"/>
        <v>1350</v>
      </c>
    </row>
    <row r="199" spans="2:6" x14ac:dyDescent="0.15">
      <c r="B199" s="213"/>
      <c r="F199" s="108">
        <f t="shared" si="16"/>
        <v>0</v>
      </c>
    </row>
    <row r="200" spans="2:6" x14ac:dyDescent="0.15">
      <c r="B200" s="213"/>
      <c r="F200" s="108">
        <f t="shared" si="16"/>
        <v>1350</v>
      </c>
    </row>
    <row r="201" spans="2:6" x14ac:dyDescent="0.15">
      <c r="B201" s="213"/>
      <c r="F201" s="108">
        <f t="shared" si="16"/>
        <v>0</v>
      </c>
    </row>
    <row r="202" spans="2:6" x14ac:dyDescent="0.15">
      <c r="F202" s="108">
        <f t="shared" si="16"/>
        <v>900</v>
      </c>
    </row>
    <row r="203" spans="2:6" x14ac:dyDescent="0.15">
      <c r="F203" s="108">
        <f t="shared" si="16"/>
        <v>0</v>
      </c>
    </row>
    <row r="204" spans="2:6" x14ac:dyDescent="0.15">
      <c r="F204" s="108">
        <f t="shared" si="16"/>
        <v>900</v>
      </c>
    </row>
    <row r="205" spans="2:6" x14ac:dyDescent="0.15">
      <c r="F205" s="108">
        <f t="shared" si="16"/>
        <v>0</v>
      </c>
    </row>
    <row r="206" spans="2:6" x14ac:dyDescent="0.15">
      <c r="F206" s="108">
        <f t="shared" si="16"/>
        <v>1350</v>
      </c>
    </row>
    <row r="207" spans="2:6" x14ac:dyDescent="0.15">
      <c r="F207" s="108">
        <f t="shared" si="16"/>
        <v>0</v>
      </c>
    </row>
    <row r="208" spans="2:6" x14ac:dyDescent="0.15">
      <c r="F208" s="108">
        <f t="shared" si="16"/>
        <v>1350</v>
      </c>
    </row>
    <row r="209" spans="6:6" x14ac:dyDescent="0.15">
      <c r="F209" s="108">
        <f t="shared" si="16"/>
        <v>0</v>
      </c>
    </row>
    <row r="210" spans="6:6" x14ac:dyDescent="0.15">
      <c r="F210" s="108">
        <f t="shared" si="16"/>
        <v>900</v>
      </c>
    </row>
    <row r="211" spans="6:6" x14ac:dyDescent="0.15">
      <c r="F211" s="108">
        <f t="shared" si="16"/>
        <v>0</v>
      </c>
    </row>
    <row r="212" spans="6:6" x14ac:dyDescent="0.15">
      <c r="F212" s="108">
        <f t="shared" si="16"/>
        <v>900</v>
      </c>
    </row>
    <row r="213" spans="6:6" x14ac:dyDescent="0.15">
      <c r="F213" s="108">
        <f t="shared" si="16"/>
        <v>0</v>
      </c>
    </row>
    <row r="214" spans="6:6" x14ac:dyDescent="0.15">
      <c r="F214" s="108">
        <f t="shared" si="16"/>
        <v>1350</v>
      </c>
    </row>
    <row r="215" spans="6:6" x14ac:dyDescent="0.15">
      <c r="F215" s="108">
        <f t="shared" si="16"/>
        <v>0</v>
      </c>
    </row>
    <row r="216" spans="6:6" x14ac:dyDescent="0.15">
      <c r="F216" s="108">
        <f t="shared" si="16"/>
        <v>1350</v>
      </c>
    </row>
    <row r="217" spans="6:6" x14ac:dyDescent="0.15">
      <c r="F217" s="108">
        <f t="shared" si="16"/>
        <v>0</v>
      </c>
    </row>
    <row r="218" spans="6:6" x14ac:dyDescent="0.15">
      <c r="F218" s="108">
        <f t="shared" si="16"/>
        <v>900</v>
      </c>
    </row>
    <row r="219" spans="6:6" x14ac:dyDescent="0.15">
      <c r="F219" s="108">
        <f t="shared" si="16"/>
        <v>0</v>
      </c>
    </row>
    <row r="220" spans="6:6" x14ac:dyDescent="0.15">
      <c r="F220" s="108">
        <f t="shared" si="16"/>
        <v>900</v>
      </c>
    </row>
    <row r="221" spans="6:6" x14ac:dyDescent="0.15">
      <c r="F221" s="108">
        <f t="shared" si="16"/>
        <v>0</v>
      </c>
    </row>
    <row r="222" spans="6:6" x14ac:dyDescent="0.15">
      <c r="F222" s="108">
        <f t="shared" si="16"/>
        <v>1350</v>
      </c>
    </row>
    <row r="223" spans="6:6" x14ac:dyDescent="0.15">
      <c r="F223" s="108">
        <f t="shared" si="16"/>
        <v>0</v>
      </c>
    </row>
    <row r="224" spans="6:6" x14ac:dyDescent="0.15">
      <c r="F224" s="108">
        <f t="shared" si="16"/>
        <v>1350</v>
      </c>
    </row>
    <row r="225" spans="6:6" x14ac:dyDescent="0.15">
      <c r="F225" s="108">
        <f t="shared" si="16"/>
        <v>0</v>
      </c>
    </row>
    <row r="226" spans="6:6" x14ac:dyDescent="0.15">
      <c r="F226" s="108">
        <f t="shared" si="16"/>
        <v>2700</v>
      </c>
    </row>
    <row r="227" spans="6:6" x14ac:dyDescent="0.15">
      <c r="F227" s="108">
        <f t="shared" si="16"/>
        <v>0</v>
      </c>
    </row>
    <row r="228" spans="6:6" x14ac:dyDescent="0.15">
      <c r="F228" s="108">
        <f t="shared" si="16"/>
        <v>784</v>
      </c>
    </row>
    <row r="229" spans="6:6" x14ac:dyDescent="0.15">
      <c r="F229" s="108">
        <f t="shared" si="16"/>
        <v>0</v>
      </c>
    </row>
    <row r="230" spans="6:6" x14ac:dyDescent="0.15">
      <c r="F230" s="108">
        <f t="shared" si="16"/>
        <v>1176</v>
      </c>
    </row>
    <row r="231" spans="6:6" x14ac:dyDescent="0.15">
      <c r="F231" s="108">
        <f t="shared" si="16"/>
        <v>0</v>
      </c>
    </row>
    <row r="232" spans="6:6" x14ac:dyDescent="0.15">
      <c r="F232" s="108">
        <f t="shared" si="16"/>
        <v>588</v>
      </c>
    </row>
    <row r="233" spans="6:6" x14ac:dyDescent="0.15">
      <c r="F233" s="108">
        <f t="shared" si="16"/>
        <v>0</v>
      </c>
    </row>
    <row r="234" spans="6:6" x14ac:dyDescent="0.15">
      <c r="F234" s="108">
        <f t="shared" si="16"/>
        <v>588</v>
      </c>
    </row>
    <row r="235" spans="6:6" x14ac:dyDescent="0.15">
      <c r="F235" s="108">
        <f t="shared" si="16"/>
        <v>0</v>
      </c>
    </row>
    <row r="236" spans="6:6" x14ac:dyDescent="0.15">
      <c r="F236" s="108">
        <f t="shared" si="16"/>
        <v>686</v>
      </c>
    </row>
    <row r="237" spans="6:6" x14ac:dyDescent="0.15">
      <c r="F237" s="108">
        <f t="shared" si="16"/>
        <v>0</v>
      </c>
    </row>
    <row r="238" spans="6:6" x14ac:dyDescent="0.15">
      <c r="F238" s="108">
        <f t="shared" si="16"/>
        <v>784</v>
      </c>
    </row>
    <row r="239" spans="6:6" x14ac:dyDescent="0.15">
      <c r="F239" s="108">
        <f t="shared" si="16"/>
        <v>0</v>
      </c>
    </row>
    <row r="240" spans="6:6" x14ac:dyDescent="0.15">
      <c r="F240" s="108">
        <f t="shared" si="16"/>
        <v>392</v>
      </c>
    </row>
    <row r="241" spans="6:6" x14ac:dyDescent="0.15">
      <c r="F241" s="108">
        <f t="shared" si="16"/>
        <v>0</v>
      </c>
    </row>
    <row r="242" spans="6:6" x14ac:dyDescent="0.15">
      <c r="F242" s="108">
        <f t="shared" si="16"/>
        <v>588</v>
      </c>
    </row>
    <row r="243" spans="6:6" x14ac:dyDescent="0.15">
      <c r="F243" s="108">
        <f t="shared" si="16"/>
        <v>0</v>
      </c>
    </row>
    <row r="244" spans="6:6" x14ac:dyDescent="0.15">
      <c r="F244" s="108">
        <f t="shared" si="16"/>
        <v>686</v>
      </c>
    </row>
    <row r="245" spans="6:6" x14ac:dyDescent="0.15">
      <c r="F245" s="108">
        <f t="shared" si="16"/>
        <v>0</v>
      </c>
    </row>
    <row r="246" spans="6:6" x14ac:dyDescent="0.15">
      <c r="F246" s="108">
        <f t="shared" ref="F246:F309" si="17">F68*MOD(A68,2)</f>
        <v>686</v>
      </c>
    </row>
    <row r="247" spans="6:6" x14ac:dyDescent="0.15">
      <c r="F247" s="108">
        <f t="shared" si="17"/>
        <v>0</v>
      </c>
    </row>
    <row r="248" spans="6:6" x14ac:dyDescent="0.15">
      <c r="F248" s="108">
        <f t="shared" si="17"/>
        <v>3136</v>
      </c>
    </row>
    <row r="249" spans="6:6" x14ac:dyDescent="0.15">
      <c r="F249" s="108">
        <f t="shared" si="17"/>
        <v>0</v>
      </c>
    </row>
    <row r="250" spans="6:6" x14ac:dyDescent="0.15">
      <c r="F250" s="108">
        <f t="shared" si="17"/>
        <v>784</v>
      </c>
    </row>
    <row r="251" spans="6:6" x14ac:dyDescent="0.15">
      <c r="F251" s="108">
        <f t="shared" si="17"/>
        <v>0</v>
      </c>
    </row>
    <row r="252" spans="6:6" x14ac:dyDescent="0.15">
      <c r="F252" s="108">
        <f t="shared" si="17"/>
        <v>1176</v>
      </c>
    </row>
    <row r="253" spans="6:6" x14ac:dyDescent="0.15">
      <c r="F253" s="108">
        <f t="shared" si="17"/>
        <v>0</v>
      </c>
    </row>
    <row r="254" spans="6:6" x14ac:dyDescent="0.15">
      <c r="F254" s="108">
        <f t="shared" si="17"/>
        <v>588</v>
      </c>
    </row>
    <row r="255" spans="6:6" x14ac:dyDescent="0.15">
      <c r="F255" s="108">
        <f t="shared" si="17"/>
        <v>0</v>
      </c>
    </row>
    <row r="256" spans="6:6" x14ac:dyDescent="0.15">
      <c r="F256" s="108">
        <f t="shared" si="17"/>
        <v>588</v>
      </c>
    </row>
    <row r="257" spans="6:6" x14ac:dyDescent="0.15">
      <c r="F257" s="108">
        <f t="shared" si="17"/>
        <v>0</v>
      </c>
    </row>
    <row r="258" spans="6:6" x14ac:dyDescent="0.15">
      <c r="F258" s="108">
        <f t="shared" si="17"/>
        <v>686</v>
      </c>
    </row>
    <row r="259" spans="6:6" x14ac:dyDescent="0.15">
      <c r="F259" s="108">
        <f t="shared" si="17"/>
        <v>0</v>
      </c>
    </row>
    <row r="260" spans="6:6" x14ac:dyDescent="0.15">
      <c r="F260" s="108">
        <f t="shared" si="17"/>
        <v>784</v>
      </c>
    </row>
    <row r="261" spans="6:6" x14ac:dyDescent="0.15">
      <c r="F261" s="108">
        <f t="shared" si="17"/>
        <v>0</v>
      </c>
    </row>
    <row r="262" spans="6:6" x14ac:dyDescent="0.15">
      <c r="F262" s="108">
        <f t="shared" si="17"/>
        <v>392</v>
      </c>
    </row>
    <row r="263" spans="6:6" x14ac:dyDescent="0.15">
      <c r="F263" s="108">
        <f t="shared" si="17"/>
        <v>0</v>
      </c>
    </row>
    <row r="264" spans="6:6" x14ac:dyDescent="0.15">
      <c r="F264" s="108">
        <f t="shared" si="17"/>
        <v>588</v>
      </c>
    </row>
    <row r="265" spans="6:6" x14ac:dyDescent="0.15">
      <c r="F265" s="108">
        <f t="shared" si="17"/>
        <v>0</v>
      </c>
    </row>
    <row r="266" spans="6:6" x14ac:dyDescent="0.15">
      <c r="F266" s="108">
        <f t="shared" si="17"/>
        <v>686</v>
      </c>
    </row>
    <row r="267" spans="6:6" x14ac:dyDescent="0.15">
      <c r="F267" s="108">
        <f t="shared" si="17"/>
        <v>0</v>
      </c>
    </row>
    <row r="268" spans="6:6" x14ac:dyDescent="0.15">
      <c r="F268" s="108">
        <f t="shared" si="17"/>
        <v>686</v>
      </c>
    </row>
    <row r="269" spans="6:6" x14ac:dyDescent="0.15">
      <c r="F269" s="108">
        <f t="shared" si="17"/>
        <v>0</v>
      </c>
    </row>
    <row r="270" spans="6:6" x14ac:dyDescent="0.15">
      <c r="F270" s="108">
        <f t="shared" si="17"/>
        <v>3136</v>
      </c>
    </row>
    <row r="271" spans="6:6" x14ac:dyDescent="0.15">
      <c r="F271" s="108">
        <f t="shared" si="17"/>
        <v>0</v>
      </c>
    </row>
    <row r="272" spans="6:6" x14ac:dyDescent="0.15">
      <c r="F272" s="108">
        <f t="shared" si="17"/>
        <v>784</v>
      </c>
    </row>
    <row r="273" spans="6:6" x14ac:dyDescent="0.15">
      <c r="F273" s="108">
        <f t="shared" si="17"/>
        <v>0</v>
      </c>
    </row>
    <row r="274" spans="6:6" x14ac:dyDescent="0.15">
      <c r="F274" s="108">
        <f t="shared" si="17"/>
        <v>1176</v>
      </c>
    </row>
    <row r="275" spans="6:6" x14ac:dyDescent="0.15">
      <c r="F275" s="108">
        <f t="shared" si="17"/>
        <v>0</v>
      </c>
    </row>
    <row r="276" spans="6:6" x14ac:dyDescent="0.15">
      <c r="F276" s="108">
        <f t="shared" si="17"/>
        <v>588</v>
      </c>
    </row>
    <row r="277" spans="6:6" x14ac:dyDescent="0.15">
      <c r="F277" s="108">
        <f t="shared" si="17"/>
        <v>0</v>
      </c>
    </row>
    <row r="278" spans="6:6" x14ac:dyDescent="0.15">
      <c r="F278" s="108">
        <f t="shared" si="17"/>
        <v>588</v>
      </c>
    </row>
    <row r="279" spans="6:6" x14ac:dyDescent="0.15">
      <c r="F279" s="108">
        <f t="shared" si="17"/>
        <v>0</v>
      </c>
    </row>
    <row r="280" spans="6:6" x14ac:dyDescent="0.15">
      <c r="F280" s="108">
        <f t="shared" si="17"/>
        <v>686</v>
      </c>
    </row>
    <row r="281" spans="6:6" x14ac:dyDescent="0.15">
      <c r="F281" s="108">
        <f t="shared" si="17"/>
        <v>0</v>
      </c>
    </row>
    <row r="282" spans="6:6" x14ac:dyDescent="0.15">
      <c r="F282" s="108">
        <f t="shared" si="17"/>
        <v>784</v>
      </c>
    </row>
    <row r="283" spans="6:6" x14ac:dyDescent="0.15">
      <c r="F283" s="108">
        <f t="shared" si="17"/>
        <v>0</v>
      </c>
    </row>
    <row r="284" spans="6:6" x14ac:dyDescent="0.15">
      <c r="F284" s="108">
        <f t="shared" si="17"/>
        <v>392</v>
      </c>
    </row>
    <row r="285" spans="6:6" x14ac:dyDescent="0.15">
      <c r="F285" s="108">
        <f t="shared" si="17"/>
        <v>0</v>
      </c>
    </row>
    <row r="286" spans="6:6" x14ac:dyDescent="0.15">
      <c r="F286" s="108">
        <f t="shared" si="17"/>
        <v>588</v>
      </c>
    </row>
    <row r="287" spans="6:6" x14ac:dyDescent="0.15">
      <c r="F287" s="108">
        <f t="shared" si="17"/>
        <v>0</v>
      </c>
    </row>
    <row r="288" spans="6:6" x14ac:dyDescent="0.15">
      <c r="F288" s="108">
        <f t="shared" si="17"/>
        <v>686</v>
      </c>
    </row>
    <row r="289" spans="6:6" x14ac:dyDescent="0.15">
      <c r="F289" s="108">
        <f t="shared" si="17"/>
        <v>0</v>
      </c>
    </row>
    <row r="290" spans="6:6" x14ac:dyDescent="0.15">
      <c r="F290" s="108">
        <f t="shared" si="17"/>
        <v>686</v>
      </c>
    </row>
    <row r="291" spans="6:6" x14ac:dyDescent="0.15">
      <c r="F291" s="108">
        <f t="shared" si="17"/>
        <v>0</v>
      </c>
    </row>
    <row r="292" spans="6:6" x14ac:dyDescent="0.15">
      <c r="F292" s="108">
        <f t="shared" si="17"/>
        <v>3136</v>
      </c>
    </row>
    <row r="293" spans="6:6" x14ac:dyDescent="0.15">
      <c r="F293" s="108">
        <f t="shared" si="17"/>
        <v>0</v>
      </c>
    </row>
    <row r="294" spans="6:6" x14ac:dyDescent="0.15">
      <c r="F294" s="108">
        <f t="shared" si="17"/>
        <v>784</v>
      </c>
    </row>
    <row r="295" spans="6:6" x14ac:dyDescent="0.15">
      <c r="F295" s="108">
        <f t="shared" si="17"/>
        <v>0</v>
      </c>
    </row>
    <row r="296" spans="6:6" x14ac:dyDescent="0.15">
      <c r="F296" s="108">
        <f t="shared" si="17"/>
        <v>1176</v>
      </c>
    </row>
    <row r="297" spans="6:6" x14ac:dyDescent="0.15">
      <c r="F297" s="108">
        <f t="shared" si="17"/>
        <v>0</v>
      </c>
    </row>
    <row r="298" spans="6:6" x14ac:dyDescent="0.15">
      <c r="F298" s="108">
        <f t="shared" si="17"/>
        <v>588</v>
      </c>
    </row>
    <row r="299" spans="6:6" x14ac:dyDescent="0.15">
      <c r="F299" s="108">
        <f t="shared" si="17"/>
        <v>0</v>
      </c>
    </row>
    <row r="300" spans="6:6" x14ac:dyDescent="0.15">
      <c r="F300" s="108">
        <f t="shared" si="17"/>
        <v>588</v>
      </c>
    </row>
    <row r="301" spans="6:6" x14ac:dyDescent="0.15">
      <c r="F301" s="108">
        <f t="shared" si="17"/>
        <v>0</v>
      </c>
    </row>
    <row r="302" spans="6:6" x14ac:dyDescent="0.15">
      <c r="F302" s="108">
        <f t="shared" si="17"/>
        <v>686</v>
      </c>
    </row>
    <row r="303" spans="6:6" x14ac:dyDescent="0.15">
      <c r="F303" s="108">
        <f t="shared" si="17"/>
        <v>0</v>
      </c>
    </row>
    <row r="304" spans="6:6" x14ac:dyDescent="0.15">
      <c r="F304" s="108">
        <f t="shared" si="17"/>
        <v>784</v>
      </c>
    </row>
    <row r="305" spans="6:6" x14ac:dyDescent="0.15">
      <c r="F305" s="108">
        <f t="shared" si="17"/>
        <v>0</v>
      </c>
    </row>
    <row r="306" spans="6:6" x14ac:dyDescent="0.15">
      <c r="F306" s="108">
        <f t="shared" si="17"/>
        <v>392</v>
      </c>
    </row>
    <row r="307" spans="6:6" x14ac:dyDescent="0.15">
      <c r="F307" s="108">
        <f t="shared" si="17"/>
        <v>0</v>
      </c>
    </row>
    <row r="308" spans="6:6" x14ac:dyDescent="0.15">
      <c r="F308" s="108">
        <f t="shared" si="17"/>
        <v>784</v>
      </c>
    </row>
    <row r="309" spans="6:6" x14ac:dyDescent="0.15">
      <c r="F309" s="108">
        <f t="shared" si="17"/>
        <v>0</v>
      </c>
    </row>
    <row r="310" spans="6:6" x14ac:dyDescent="0.15">
      <c r="F310" s="108">
        <f t="shared" ref="F310:F373" si="18">F132*MOD(A132,2)</f>
        <v>588</v>
      </c>
    </row>
    <row r="311" spans="6:6" x14ac:dyDescent="0.15">
      <c r="F311" s="108">
        <f t="shared" si="18"/>
        <v>0</v>
      </c>
    </row>
    <row r="312" spans="6:6" x14ac:dyDescent="0.15">
      <c r="F312" s="108">
        <f t="shared" si="18"/>
        <v>108</v>
      </c>
    </row>
    <row r="313" spans="6:6" x14ac:dyDescent="0.15">
      <c r="F313" s="108">
        <f t="shared" si="18"/>
        <v>0</v>
      </c>
    </row>
    <row r="314" spans="6:6" x14ac:dyDescent="0.15">
      <c r="F314" s="108">
        <f t="shared" si="18"/>
        <v>576</v>
      </c>
    </row>
    <row r="315" spans="6:6" x14ac:dyDescent="0.15">
      <c r="F315" s="108">
        <f t="shared" si="18"/>
        <v>0</v>
      </c>
    </row>
    <row r="316" spans="6:6" x14ac:dyDescent="0.15">
      <c r="F316" s="108">
        <f t="shared" si="18"/>
        <v>252</v>
      </c>
    </row>
    <row r="317" spans="6:6" x14ac:dyDescent="0.15">
      <c r="F317" s="108">
        <f t="shared" si="18"/>
        <v>0</v>
      </c>
    </row>
    <row r="318" spans="6:6" x14ac:dyDescent="0.15">
      <c r="F318" s="108">
        <f t="shared" si="18"/>
        <v>216</v>
      </c>
    </row>
    <row r="319" spans="6:6" x14ac:dyDescent="0.15">
      <c r="F319" s="108">
        <f t="shared" si="18"/>
        <v>0</v>
      </c>
    </row>
    <row r="320" spans="6:6" x14ac:dyDescent="0.15">
      <c r="F320" s="108">
        <f t="shared" si="18"/>
        <v>144</v>
      </c>
    </row>
    <row r="321" spans="6:6" x14ac:dyDescent="0.15">
      <c r="F321" s="108">
        <f t="shared" si="18"/>
        <v>0</v>
      </c>
    </row>
    <row r="322" spans="6:6" x14ac:dyDescent="0.15">
      <c r="F322" s="108">
        <f t="shared" si="18"/>
        <v>144</v>
      </c>
    </row>
    <row r="323" spans="6:6" x14ac:dyDescent="0.15">
      <c r="F323" s="108">
        <f t="shared" si="18"/>
        <v>0</v>
      </c>
    </row>
    <row r="324" spans="6:6" x14ac:dyDescent="0.15">
      <c r="F324" s="108">
        <f t="shared" si="18"/>
        <v>144</v>
      </c>
    </row>
    <row r="325" spans="6:6" x14ac:dyDescent="0.15">
      <c r="F325" s="108">
        <f t="shared" si="18"/>
        <v>0</v>
      </c>
    </row>
    <row r="326" spans="6:6" x14ac:dyDescent="0.15">
      <c r="F326" s="108">
        <f t="shared" si="18"/>
        <v>216</v>
      </c>
    </row>
    <row r="327" spans="6:6" x14ac:dyDescent="0.15">
      <c r="F327" s="108">
        <f t="shared" si="18"/>
        <v>0</v>
      </c>
    </row>
    <row r="328" spans="6:6" x14ac:dyDescent="0.15">
      <c r="F328" s="108">
        <f t="shared" si="18"/>
        <v>288</v>
      </c>
    </row>
    <row r="329" spans="6:6" x14ac:dyDescent="0.15">
      <c r="F329" s="108">
        <f t="shared" si="18"/>
        <v>0</v>
      </c>
    </row>
    <row r="330" spans="6:6" x14ac:dyDescent="0.15">
      <c r="F330" s="108">
        <f t="shared" si="18"/>
        <v>144</v>
      </c>
    </row>
    <row r="331" spans="6:6" x14ac:dyDescent="0.15">
      <c r="F331" s="108">
        <f t="shared" si="18"/>
        <v>0</v>
      </c>
    </row>
    <row r="332" spans="6:6" x14ac:dyDescent="0.15">
      <c r="F332" s="108">
        <f t="shared" si="18"/>
        <v>144</v>
      </c>
    </row>
    <row r="333" spans="6:6" x14ac:dyDescent="0.15">
      <c r="F333" s="108">
        <f t="shared" si="18"/>
        <v>0</v>
      </c>
    </row>
    <row r="334" spans="6:6" x14ac:dyDescent="0.15">
      <c r="F334" s="108">
        <f t="shared" si="18"/>
        <v>864</v>
      </c>
    </row>
    <row r="335" spans="6:6" x14ac:dyDescent="0.15">
      <c r="F335" s="108">
        <f t="shared" si="18"/>
        <v>0</v>
      </c>
    </row>
    <row r="336" spans="6:6" x14ac:dyDescent="0.15">
      <c r="F336" s="108">
        <f t="shared" si="18"/>
        <v>144</v>
      </c>
    </row>
    <row r="337" spans="6:6" x14ac:dyDescent="0.15">
      <c r="F337" s="108">
        <f t="shared" si="18"/>
        <v>0</v>
      </c>
    </row>
    <row r="338" spans="6:6" x14ac:dyDescent="0.15">
      <c r="F338" s="108">
        <f t="shared" si="18"/>
        <v>252</v>
      </c>
    </row>
    <row r="339" spans="6:6" x14ac:dyDescent="0.15">
      <c r="F339" s="108">
        <f t="shared" si="18"/>
        <v>0</v>
      </c>
    </row>
    <row r="340" spans="6:6" x14ac:dyDescent="0.15">
      <c r="F340" s="108">
        <f t="shared" si="18"/>
        <v>216</v>
      </c>
    </row>
    <row r="341" spans="6:6" x14ac:dyDescent="0.15">
      <c r="F341" s="108">
        <f t="shared" si="18"/>
        <v>0</v>
      </c>
    </row>
    <row r="342" spans="6:6" x14ac:dyDescent="0.15">
      <c r="F342" s="108">
        <f t="shared" si="18"/>
        <v>144</v>
      </c>
    </row>
    <row r="343" spans="6:6" x14ac:dyDescent="0.15">
      <c r="F343" s="108">
        <f t="shared" si="18"/>
        <v>0</v>
      </c>
    </row>
    <row r="344" spans="6:6" x14ac:dyDescent="0.15">
      <c r="F344" s="108">
        <f t="shared" si="18"/>
        <v>144</v>
      </c>
    </row>
    <row r="345" spans="6:6" x14ac:dyDescent="0.15">
      <c r="F345" s="108">
        <f t="shared" si="18"/>
        <v>0</v>
      </c>
    </row>
    <row r="346" spans="6:6" x14ac:dyDescent="0.15">
      <c r="F346" s="108">
        <f t="shared" si="18"/>
        <v>144</v>
      </c>
    </row>
    <row r="347" spans="6:6" x14ac:dyDescent="0.15">
      <c r="F347" s="108">
        <f t="shared" si="18"/>
        <v>0</v>
      </c>
    </row>
    <row r="348" spans="6:6" x14ac:dyDescent="0.15">
      <c r="F348" s="108">
        <f t="shared" si="18"/>
        <v>96</v>
      </c>
    </row>
    <row r="349" spans="6:6" x14ac:dyDescent="0.15">
      <c r="F349" s="108">
        <f t="shared" si="18"/>
        <v>0</v>
      </c>
    </row>
    <row r="350" spans="6:6" x14ac:dyDescent="0.15">
      <c r="F350" s="108">
        <f t="shared" si="18"/>
        <v>0.5</v>
      </c>
    </row>
  </sheetData>
  <autoFilter ref="E1:F172" xr:uid="{2F083651-1017-424E-A85B-0D4C86057EB9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91D00-5817-154A-ABAE-388A32CEA83F}">
  <sheetPr codeName="Hoja22"/>
  <dimension ref="A1:Z56"/>
  <sheetViews>
    <sheetView workbookViewId="0">
      <selection activeCell="U3" sqref="U3"/>
    </sheetView>
  </sheetViews>
  <sheetFormatPr baseColWidth="10" defaultRowHeight="13" x14ac:dyDescent="0.15"/>
  <cols>
    <col min="1" max="1" width="10.83203125" style="108"/>
    <col min="2" max="2" width="13.33203125" style="108" bestFit="1" customWidth="1"/>
    <col min="3" max="3" width="7.83203125" style="108" bestFit="1" customWidth="1"/>
    <col min="4" max="4" width="10.83203125" style="108"/>
    <col min="5" max="5" width="25.5" style="108" bestFit="1" customWidth="1"/>
    <col min="6" max="6" width="14.5" style="108" bestFit="1" customWidth="1"/>
    <col min="7" max="7" width="10.83203125" style="108"/>
    <col min="8" max="10" width="12.33203125" style="108" bestFit="1" customWidth="1"/>
    <col min="11" max="19" width="10.83203125" style="108"/>
    <col min="20" max="25" width="14.83203125" style="108" customWidth="1"/>
    <col min="26" max="16384" width="10.83203125" style="108"/>
  </cols>
  <sheetData>
    <row r="1" spans="1:26" ht="15" x14ac:dyDescent="0.15">
      <c r="A1" s="207" t="s">
        <v>134</v>
      </c>
      <c r="B1" s="207" t="s">
        <v>135</v>
      </c>
      <c r="C1" s="207" t="s">
        <v>136</v>
      </c>
      <c r="D1" s="216" t="s">
        <v>193</v>
      </c>
      <c r="E1" s="108" t="s">
        <v>188</v>
      </c>
      <c r="F1" s="108" t="s">
        <v>187</v>
      </c>
      <c r="G1" s="222" t="s">
        <v>151</v>
      </c>
      <c r="H1" s="222" t="s">
        <v>152</v>
      </c>
      <c r="I1" s="222" t="s">
        <v>82</v>
      </c>
      <c r="J1" s="222" t="s">
        <v>83</v>
      </c>
      <c r="Q1" s="108" t="s">
        <v>177</v>
      </c>
      <c r="R1" s="108" t="s">
        <v>178</v>
      </c>
    </row>
    <row r="2" spans="1:26" x14ac:dyDescent="0.15">
      <c r="C2" s="108">
        <f>_xlfn.SWITCH(Q2,60,60,59,60,58,60,57,58,56,58,55,56,54,IF(B2&gt;$R$2,54,56))</f>
        <v>60</v>
      </c>
      <c r="D2" s="108">
        <f>+F2*16/25</f>
        <v>2700</v>
      </c>
      <c r="E2" s="108" t="s">
        <v>157</v>
      </c>
      <c r="F2" s="108">
        <v>4218.75</v>
      </c>
      <c r="G2" s="108">
        <f>D2*$U$6</f>
        <v>2.7E-6</v>
      </c>
      <c r="H2" s="108">
        <f>_xlfn.SWITCH(C2+$U$2,54,$Z$10,55,$Y$10,56,$X$10,57,$W$10,58,$V$10,59,$U$10,$U$17)*G2</f>
        <v>8.5037255999999993E-7</v>
      </c>
      <c r="J2" s="108">
        <f>_xlfn.SWITCH(C2+$U$2,54,$Z$12,55,$Y$12,56,$X$12,57,$W$12,58,$V$12,59,$U$12,$U$19)*F2*$U$6</f>
        <v>2.8019376562500001E-7</v>
      </c>
      <c r="Q2" s="108">
        <v>60</v>
      </c>
      <c r="R2">
        <v>0.903999984264373</v>
      </c>
      <c r="T2" s="108" t="s">
        <v>171</v>
      </c>
      <c r="U2" s="108">
        <v>1</v>
      </c>
    </row>
    <row r="3" spans="1:26" x14ac:dyDescent="0.15">
      <c r="A3" s="108">
        <v>0</v>
      </c>
      <c r="B3" s="142">
        <v>0.89999997615814209</v>
      </c>
      <c r="C3" s="108">
        <f t="shared" ref="C3:C48" si="0">_xlfn.SWITCH(Q3,60,60,59,60,58,60,57,58,56,58,55,56,54,IF(B3&gt;$R$2,54,56))</f>
        <v>56</v>
      </c>
      <c r="D3" s="108">
        <v>12202</v>
      </c>
      <c r="E3" s="108" t="s">
        <v>158</v>
      </c>
      <c r="F3" s="108">
        <v>5189.25</v>
      </c>
      <c r="G3" s="108">
        <f t="shared" ref="G3:G48" si="1">D3*$U$6</f>
        <v>1.2202000000000001E-5</v>
      </c>
      <c r="H3" s="108">
        <f t="shared" ref="H3:H48" si="2">_xlfn.SWITCH(C3+$U$2,54,$Z$10,55,$Y$10,56,$X$10,57,$W$10,58,$V$10,59,$U$10,$U$17)*G3</f>
        <v>3.5675426672000006E-6</v>
      </c>
      <c r="I3" s="108">
        <f>_xlfn.SWITCH(C3+$U$2,54,$Z$11,55,$Y$11,56,$X$11,57,$W$11,58,$V$11,59,$U$11,$U$18)*F3*$U$6</f>
        <v>3.8483114752500004E-7</v>
      </c>
      <c r="Q3" s="108">
        <v>54</v>
      </c>
    </row>
    <row r="4" spans="1:26" x14ac:dyDescent="0.15">
      <c r="A4" s="108">
        <v>1</v>
      </c>
      <c r="B4" s="142">
        <v>0.89999997615814209</v>
      </c>
      <c r="C4" s="108">
        <f t="shared" si="0"/>
        <v>56</v>
      </c>
      <c r="D4" s="108">
        <v>194452</v>
      </c>
      <c r="E4" s="108" t="s">
        <v>161</v>
      </c>
      <c r="F4" s="108">
        <v>22500</v>
      </c>
      <c r="G4" s="108">
        <f t="shared" si="1"/>
        <v>1.9445200000000001E-4</v>
      </c>
      <c r="H4" s="108">
        <f>_xlfn.SWITCH(C4+$U$2,54,$Z$10,55,$Y$10,56,$X$10,57,$W$10,58,$V$10,59,$U$10,$U$17)*G4</f>
        <v>5.6852631267200009E-5</v>
      </c>
      <c r="J4" s="108">
        <f t="shared" ref="J3:J48" si="3">_xlfn.SWITCH(C4+$U$2,54,$Z$12,55,$Y$12,56,$X$12,57,$W$12,58,$V$12,59,$U$12,$U$19)*F4*$U$6</f>
        <v>1.287441E-6</v>
      </c>
      <c r="Q4" s="108">
        <v>54</v>
      </c>
    </row>
    <row r="5" spans="1:26" x14ac:dyDescent="0.15">
      <c r="A5" s="108">
        <v>2</v>
      </c>
      <c r="B5" s="142">
        <v>0.89999997615814209</v>
      </c>
      <c r="C5" s="108">
        <f t="shared" si="0"/>
        <v>56</v>
      </c>
      <c r="D5" s="108">
        <v>66</v>
      </c>
      <c r="E5" s="108" t="s">
        <v>192</v>
      </c>
      <c r="F5" s="108">
        <v>21316</v>
      </c>
      <c r="G5" s="108">
        <f t="shared" si="1"/>
        <v>6.6000000000000009E-8</v>
      </c>
      <c r="H5" s="108">
        <f t="shared" si="2"/>
        <v>1.9296657600000004E-8</v>
      </c>
      <c r="I5" s="108">
        <f t="shared" ref="I4:I48" si="4">_xlfn.SWITCH(C5+$U$2,54,$Z$11,55,$Y$11,56,$X$11,57,$W$11,58,$V$11,59,$U$11,$U$18)*F5*$U$6</f>
        <v>1.5807796388E-6</v>
      </c>
      <c r="Q5" s="108">
        <v>54</v>
      </c>
      <c r="T5" s="108" t="s">
        <v>57</v>
      </c>
      <c r="U5" s="108">
        <v>1</v>
      </c>
      <c r="V5" s="108" t="s">
        <v>58</v>
      </c>
    </row>
    <row r="6" spans="1:26" x14ac:dyDescent="0.15">
      <c r="A6" s="108">
        <v>3</v>
      </c>
      <c r="B6" s="142">
        <v>0.72399997711181641</v>
      </c>
      <c r="C6" s="108">
        <f t="shared" si="0"/>
        <v>58</v>
      </c>
      <c r="D6" s="108">
        <v>130</v>
      </c>
      <c r="E6" s="108" t="s">
        <v>191</v>
      </c>
      <c r="F6" s="108">
        <v>45000</v>
      </c>
      <c r="G6" s="108">
        <f t="shared" si="1"/>
        <v>1.3E-7</v>
      </c>
      <c r="H6" s="108">
        <f t="shared" si="2"/>
        <v>3.9965432E-8</v>
      </c>
      <c r="J6" s="108">
        <f t="shared" si="3"/>
        <v>2.8507829998500003E-6</v>
      </c>
      <c r="Q6" s="108">
        <v>57</v>
      </c>
      <c r="U6" s="196">
        <f>U5/1000000000</f>
        <v>1.0000000000000001E-9</v>
      </c>
      <c r="V6" s="108" t="s">
        <v>153</v>
      </c>
    </row>
    <row r="7" spans="1:26" x14ac:dyDescent="0.15">
      <c r="A7" s="108">
        <v>4</v>
      </c>
      <c r="B7" s="142">
        <v>0.89999997615814209</v>
      </c>
      <c r="C7" s="108">
        <f t="shared" si="0"/>
        <v>56</v>
      </c>
      <c r="D7" s="108">
        <f>+F7*16/25</f>
        <v>28800</v>
      </c>
      <c r="E7" s="108" t="s">
        <v>169</v>
      </c>
      <c r="F7" s="108">
        <v>45000</v>
      </c>
      <c r="G7" s="108">
        <f t="shared" si="1"/>
        <v>2.8800000000000002E-5</v>
      </c>
      <c r="H7" s="108">
        <f t="shared" si="2"/>
        <v>8.420359680000001E-6</v>
      </c>
      <c r="I7" s="108">
        <f t="shared" si="4"/>
        <v>3.3371685000000001E-6</v>
      </c>
      <c r="Q7" s="108">
        <v>54</v>
      </c>
    </row>
    <row r="8" spans="1:26" x14ac:dyDescent="0.15">
      <c r="A8" s="108">
        <v>5</v>
      </c>
      <c r="B8" s="142">
        <v>0.29199999570846558</v>
      </c>
      <c r="C8" s="108">
        <f t="shared" si="0"/>
        <v>58</v>
      </c>
      <c r="D8" s="108">
        <v>22324</v>
      </c>
      <c r="E8" s="108" t="s">
        <v>161</v>
      </c>
      <c r="F8" s="108">
        <v>11552</v>
      </c>
      <c r="G8" s="108">
        <f t="shared" si="1"/>
        <v>2.2324000000000002E-5</v>
      </c>
      <c r="H8" s="108">
        <f t="shared" si="2"/>
        <v>6.8629869536000006E-6</v>
      </c>
      <c r="J8" s="108">
        <f t="shared" si="3"/>
        <v>7.3182767142816015E-7</v>
      </c>
      <c r="Q8" s="108">
        <v>57</v>
      </c>
    </row>
    <row r="9" spans="1:26" ht="14" x14ac:dyDescent="0.15">
      <c r="A9" s="108">
        <v>6</v>
      </c>
      <c r="B9" s="142">
        <v>0.34400001168251038</v>
      </c>
      <c r="C9" s="108">
        <f t="shared" si="0"/>
        <v>58</v>
      </c>
      <c r="D9" s="108">
        <v>130</v>
      </c>
      <c r="E9" s="108" t="s">
        <v>192</v>
      </c>
      <c r="F9" s="108">
        <v>43816</v>
      </c>
      <c r="G9" s="108">
        <f t="shared" si="1"/>
        <v>1.3E-7</v>
      </c>
      <c r="H9" s="108">
        <f t="shared" si="2"/>
        <v>3.9965432E-8</v>
      </c>
      <c r="I9" s="108">
        <f t="shared" si="4"/>
        <v>3.53084079401272E-6</v>
      </c>
      <c r="Q9" s="108">
        <v>57</v>
      </c>
      <c r="T9" s="197"/>
      <c r="U9" s="197">
        <v>0.59</v>
      </c>
      <c r="V9" s="197">
        <v>0.57999999999999996</v>
      </c>
      <c r="W9" s="197">
        <v>0.56999999999999995</v>
      </c>
      <c r="X9" s="197">
        <v>0.56000000000000005</v>
      </c>
      <c r="Y9" s="197">
        <v>0.55000000000000004</v>
      </c>
      <c r="Z9" s="144">
        <v>0.54</v>
      </c>
    </row>
    <row r="10" spans="1:26" x14ac:dyDescent="0.15">
      <c r="A10" s="108">
        <v>7</v>
      </c>
      <c r="B10" s="142">
        <v>0.89999997615814209</v>
      </c>
      <c r="C10" s="108">
        <f t="shared" si="0"/>
        <v>56</v>
      </c>
      <c r="D10" s="108">
        <v>258</v>
      </c>
      <c r="E10" s="108" t="s">
        <v>191</v>
      </c>
      <c r="F10" s="108">
        <v>23104</v>
      </c>
      <c r="G10" s="108">
        <f t="shared" si="1"/>
        <v>2.5800000000000001E-7</v>
      </c>
      <c r="H10" s="108">
        <f t="shared" si="2"/>
        <v>7.5432388800000002E-8</v>
      </c>
      <c r="J10" s="108">
        <f t="shared" si="3"/>
        <v>1.3220016384000001E-6</v>
      </c>
      <c r="Q10" s="108">
        <v>54</v>
      </c>
      <c r="T10" s="197" t="s">
        <v>46</v>
      </c>
      <c r="U10" s="198">
        <v>0.30742639999999999</v>
      </c>
      <c r="V10" s="198">
        <v>0.2999</v>
      </c>
      <c r="W10" s="198">
        <v>0.29237360000000001</v>
      </c>
      <c r="X10" s="198">
        <v>0.28484720000000002</v>
      </c>
      <c r="Y10" s="198">
        <v>0.27732079999999998</v>
      </c>
      <c r="Z10" s="93">
        <v>0.26979439999999999</v>
      </c>
    </row>
    <row r="11" spans="1:26" x14ac:dyDescent="0.15">
      <c r="A11" s="108">
        <v>8</v>
      </c>
      <c r="B11" s="142">
        <v>0.79600000381469727</v>
      </c>
      <c r="C11" s="108">
        <f t="shared" si="0"/>
        <v>60</v>
      </c>
      <c r="D11" s="108">
        <f>+F11*16/25</f>
        <v>14786.56</v>
      </c>
      <c r="E11" s="108" t="s">
        <v>169</v>
      </c>
      <c r="F11" s="108">
        <v>23104</v>
      </c>
      <c r="G11" s="108">
        <f t="shared" si="1"/>
        <v>1.4786560000000001E-5</v>
      </c>
      <c r="H11" s="108">
        <f t="shared" si="2"/>
        <v>4.6570684743679999E-6</v>
      </c>
      <c r="I11" s="108">
        <f t="shared" si="4"/>
        <v>1.9360089216000003E-6</v>
      </c>
      <c r="Q11" s="108">
        <v>58</v>
      </c>
      <c r="T11" s="197" t="s">
        <v>48</v>
      </c>
      <c r="U11" s="198">
        <v>8.0583366670000003E-2</v>
      </c>
      <c r="V11" s="198">
        <v>7.737133333E-2</v>
      </c>
      <c r="W11" s="198">
        <v>7.4159299999999997E-2</v>
      </c>
      <c r="X11" s="198">
        <v>7.0947266667000006E-2</v>
      </c>
      <c r="Y11" s="198">
        <v>6.7735233332999994E-2</v>
      </c>
      <c r="Z11" s="93">
        <v>6.4523200000000003E-2</v>
      </c>
    </row>
    <row r="12" spans="1:26" x14ac:dyDescent="0.15">
      <c r="A12" s="108">
        <v>9</v>
      </c>
      <c r="B12" s="142">
        <v>0.89999997615814209</v>
      </c>
      <c r="C12" s="108">
        <f t="shared" si="0"/>
        <v>56</v>
      </c>
      <c r="D12" s="108">
        <v>21172</v>
      </c>
      <c r="E12" s="108" t="s">
        <v>161</v>
      </c>
      <c r="F12" s="108">
        <v>5776</v>
      </c>
      <c r="G12" s="108">
        <f t="shared" si="1"/>
        <v>2.1172E-5</v>
      </c>
      <c r="H12" s="108">
        <f t="shared" si="2"/>
        <v>6.1901338592000001E-6</v>
      </c>
      <c r="J12" s="108">
        <f t="shared" si="3"/>
        <v>3.3050040960000003E-7</v>
      </c>
      <c r="Q12" s="108">
        <v>54</v>
      </c>
      <c r="T12" s="197" t="s">
        <v>49</v>
      </c>
      <c r="U12" s="198">
        <v>6.3350733330000006E-2</v>
      </c>
      <c r="V12" s="198">
        <v>6.0285166666700002E-2</v>
      </c>
      <c r="W12" s="198">
        <v>5.7219600000000002E-2</v>
      </c>
      <c r="X12" s="198">
        <v>5.4154033329999997E-2</v>
      </c>
      <c r="Y12" s="198">
        <v>5.1088466667000003E-2</v>
      </c>
      <c r="Z12" s="93">
        <v>4.80229E-2</v>
      </c>
    </row>
    <row r="13" spans="1:26" x14ac:dyDescent="0.15">
      <c r="A13" s="108">
        <v>10</v>
      </c>
      <c r="B13" s="142">
        <v>0.89200001955032349</v>
      </c>
      <c r="C13" s="108">
        <f t="shared" si="0"/>
        <v>56</v>
      </c>
      <c r="D13" s="108">
        <v>514</v>
      </c>
      <c r="E13" s="108" t="s">
        <v>192</v>
      </c>
      <c r="F13" s="108">
        <v>55400</v>
      </c>
      <c r="G13" s="108">
        <f t="shared" si="1"/>
        <v>5.1400000000000008E-7</v>
      </c>
      <c r="H13" s="108">
        <f t="shared" si="2"/>
        <v>1.5028003040000003E-7</v>
      </c>
      <c r="I13" s="108">
        <f t="shared" si="4"/>
        <v>4.1084252199999999E-6</v>
      </c>
      <c r="Q13" s="108">
        <v>55</v>
      </c>
    </row>
    <row r="14" spans="1:26" x14ac:dyDescent="0.15">
      <c r="A14" s="108">
        <v>11</v>
      </c>
      <c r="B14" s="142">
        <v>0.89999997615814209</v>
      </c>
      <c r="C14" s="108">
        <f t="shared" si="0"/>
        <v>56</v>
      </c>
      <c r="D14" s="108">
        <v>1458</v>
      </c>
      <c r="E14" s="108" t="s">
        <v>191</v>
      </c>
      <c r="F14" s="108">
        <v>16425.5</v>
      </c>
      <c r="G14" s="108">
        <f t="shared" si="1"/>
        <v>1.4580000000000001E-6</v>
      </c>
      <c r="H14" s="108">
        <f t="shared" si="2"/>
        <v>4.2628070880000002E-7</v>
      </c>
      <c r="J14" s="108">
        <f t="shared" si="3"/>
        <v>9.3986053980000017E-7</v>
      </c>
      <c r="Q14" s="108">
        <v>54</v>
      </c>
    </row>
    <row r="15" spans="1:26" x14ac:dyDescent="0.15">
      <c r="A15" s="108">
        <v>12</v>
      </c>
      <c r="B15" s="142">
        <v>0.89600002765655518</v>
      </c>
      <c r="C15" s="108">
        <f t="shared" si="0"/>
        <v>58</v>
      </c>
      <c r="D15" s="108">
        <f>+F15*16/25</f>
        <v>10512.32</v>
      </c>
      <c r="E15" s="108" t="s">
        <v>169</v>
      </c>
      <c r="F15" s="108">
        <v>16425.5</v>
      </c>
      <c r="G15" s="108">
        <f t="shared" si="1"/>
        <v>1.0512320000000001E-5</v>
      </c>
      <c r="H15" s="108">
        <f t="shared" si="2"/>
        <v>3.2317646932480001E-6</v>
      </c>
      <c r="I15" s="108">
        <f t="shared" si="4"/>
        <v>1.323622089238085E-6</v>
      </c>
      <c r="Q15" s="108">
        <v>57</v>
      </c>
      <c r="T15" s="108" t="s">
        <v>45</v>
      </c>
      <c r="U15" s="108" t="s">
        <v>9</v>
      </c>
    </row>
    <row r="16" spans="1:26" x14ac:dyDescent="0.15">
      <c r="A16" s="108">
        <v>13</v>
      </c>
      <c r="B16" s="142">
        <v>0.89999997615814209</v>
      </c>
      <c r="C16" s="108">
        <f t="shared" si="0"/>
        <v>56</v>
      </c>
      <c r="D16" s="108">
        <v>30772</v>
      </c>
      <c r="E16" s="108" t="s">
        <v>161</v>
      </c>
      <c r="F16" s="108">
        <v>4550</v>
      </c>
      <c r="G16" s="108">
        <f t="shared" si="1"/>
        <v>3.0772000000000003E-5</v>
      </c>
      <c r="H16" s="108">
        <f t="shared" si="2"/>
        <v>8.9969204192000004E-6</v>
      </c>
      <c r="J16" s="108">
        <f t="shared" si="3"/>
        <v>2.6034918000000002E-7</v>
      </c>
      <c r="Q16" s="108">
        <v>54</v>
      </c>
      <c r="T16" s="108" t="s">
        <v>102</v>
      </c>
      <c r="U16" s="199">
        <v>3.1</v>
      </c>
    </row>
    <row r="17" spans="1:21" x14ac:dyDescent="0.15">
      <c r="A17" s="108">
        <v>14</v>
      </c>
      <c r="B17" s="142">
        <v>0.8880000114440918</v>
      </c>
      <c r="C17" s="108">
        <f t="shared" si="0"/>
        <v>58</v>
      </c>
      <c r="D17" s="108">
        <v>1458</v>
      </c>
      <c r="E17" s="108" t="s">
        <v>192</v>
      </c>
      <c r="F17" s="108">
        <v>65563.5</v>
      </c>
      <c r="G17" s="108">
        <f t="shared" si="1"/>
        <v>1.4580000000000001E-6</v>
      </c>
      <c r="H17" s="108">
        <f t="shared" si="2"/>
        <v>4.4822769120000002E-7</v>
      </c>
      <c r="I17" s="108">
        <f t="shared" si="4"/>
        <v>5.2833275606685461E-6</v>
      </c>
      <c r="Q17" s="108">
        <v>57</v>
      </c>
      <c r="T17" s="108" t="s">
        <v>46</v>
      </c>
      <c r="U17" s="199">
        <v>0.31495279999999998</v>
      </c>
    </row>
    <row r="18" spans="1:21" x14ac:dyDescent="0.15">
      <c r="A18" s="108">
        <v>15</v>
      </c>
      <c r="B18" s="142">
        <v>0.89999997615814209</v>
      </c>
      <c r="C18" s="108">
        <f t="shared" si="0"/>
        <v>56</v>
      </c>
      <c r="D18" s="108">
        <v>1458</v>
      </c>
      <c r="E18" s="108" t="s">
        <v>191</v>
      </c>
      <c r="F18" s="108">
        <v>4550</v>
      </c>
      <c r="G18" s="108">
        <f t="shared" si="1"/>
        <v>1.4580000000000001E-6</v>
      </c>
      <c r="H18" s="108">
        <f t="shared" si="2"/>
        <v>4.2628070880000002E-7</v>
      </c>
      <c r="J18" s="108">
        <f t="shared" si="3"/>
        <v>2.6034918000000002E-7</v>
      </c>
      <c r="Q18" s="108">
        <v>54</v>
      </c>
      <c r="T18" s="108" t="s">
        <v>48</v>
      </c>
      <c r="U18" s="199">
        <v>8.3795400000000006E-2</v>
      </c>
    </row>
    <row r="19" spans="1:21" x14ac:dyDescent="0.15">
      <c r="A19" s="108">
        <v>16</v>
      </c>
      <c r="B19" s="142">
        <v>0.8880000114440918</v>
      </c>
      <c r="C19" s="108">
        <f t="shared" si="0"/>
        <v>56</v>
      </c>
      <c r="D19" s="108">
        <v>1458</v>
      </c>
      <c r="E19" s="108" t="s">
        <v>192</v>
      </c>
      <c r="F19" s="108">
        <v>65563.5</v>
      </c>
      <c r="G19" s="108">
        <f t="shared" si="1"/>
        <v>1.4580000000000001E-6</v>
      </c>
      <c r="H19" s="108">
        <f t="shared" si="2"/>
        <v>4.2628070880000002E-7</v>
      </c>
      <c r="I19" s="108">
        <f t="shared" si="4"/>
        <v>4.8621432655500007E-6</v>
      </c>
      <c r="Q19" s="108">
        <v>54</v>
      </c>
      <c r="T19" s="108" t="s">
        <v>49</v>
      </c>
      <c r="U19" s="199">
        <v>6.6416299999999998E-2</v>
      </c>
    </row>
    <row r="20" spans="1:21" x14ac:dyDescent="0.15">
      <c r="A20" s="108">
        <v>17</v>
      </c>
      <c r="B20" s="142">
        <v>0.89999997615814209</v>
      </c>
      <c r="C20" s="108">
        <f t="shared" si="0"/>
        <v>56</v>
      </c>
      <c r="D20" s="108">
        <v>1458</v>
      </c>
      <c r="E20" s="108" t="s">
        <v>191</v>
      </c>
      <c r="F20" s="108">
        <v>4550</v>
      </c>
      <c r="G20" s="108">
        <f t="shared" si="1"/>
        <v>1.4580000000000001E-6</v>
      </c>
      <c r="H20" s="108">
        <f t="shared" si="2"/>
        <v>4.2628070880000002E-7</v>
      </c>
      <c r="J20" s="108">
        <f t="shared" si="3"/>
        <v>2.6034918000000002E-7</v>
      </c>
      <c r="Q20" s="108">
        <v>54</v>
      </c>
    </row>
    <row r="21" spans="1:21" x14ac:dyDescent="0.15">
      <c r="A21" s="108">
        <v>18</v>
      </c>
      <c r="B21" s="142">
        <v>0.89600002765655518</v>
      </c>
      <c r="C21" s="108">
        <f t="shared" si="0"/>
        <v>58</v>
      </c>
      <c r="D21" s="108">
        <v>1458</v>
      </c>
      <c r="E21" s="108" t="s">
        <v>192</v>
      </c>
      <c r="F21" s="108">
        <v>65563.5</v>
      </c>
      <c r="G21" s="108">
        <f t="shared" si="1"/>
        <v>1.4580000000000001E-6</v>
      </c>
      <c r="H21" s="108">
        <f t="shared" si="2"/>
        <v>4.4822769120000002E-7</v>
      </c>
      <c r="I21" s="108">
        <f t="shared" si="4"/>
        <v>5.2833275606685461E-6</v>
      </c>
      <c r="Q21" s="108">
        <v>57</v>
      </c>
    </row>
    <row r="22" spans="1:21" x14ac:dyDescent="0.15">
      <c r="A22" s="108">
        <v>19</v>
      </c>
      <c r="B22" s="142">
        <v>0.89999997615814209</v>
      </c>
      <c r="C22" s="108">
        <f t="shared" si="0"/>
        <v>56</v>
      </c>
      <c r="D22" s="108">
        <v>1458</v>
      </c>
      <c r="E22" s="108" t="s">
        <v>191</v>
      </c>
      <c r="F22" s="108">
        <v>4550</v>
      </c>
      <c r="G22" s="108">
        <f t="shared" si="1"/>
        <v>1.4580000000000001E-6</v>
      </c>
      <c r="H22" s="108">
        <f t="shared" si="2"/>
        <v>4.2628070880000002E-7</v>
      </c>
      <c r="J22" s="108">
        <f t="shared" si="3"/>
        <v>2.6034918000000002E-7</v>
      </c>
      <c r="Q22" s="108">
        <v>54</v>
      </c>
    </row>
    <row r="23" spans="1:21" x14ac:dyDescent="0.15">
      <c r="A23" s="108">
        <v>20</v>
      </c>
      <c r="B23" s="142">
        <v>0.89600002765655518</v>
      </c>
      <c r="C23" s="108">
        <f t="shared" si="0"/>
        <v>56</v>
      </c>
      <c r="D23" s="108">
        <v>1458</v>
      </c>
      <c r="E23" s="108" t="s">
        <v>192</v>
      </c>
      <c r="F23" s="108">
        <v>65563.5</v>
      </c>
      <c r="G23" s="108">
        <f t="shared" si="1"/>
        <v>1.4580000000000001E-6</v>
      </c>
      <c r="H23" s="108">
        <f t="shared" si="2"/>
        <v>4.2628070880000002E-7</v>
      </c>
      <c r="I23" s="108">
        <f t="shared" si="4"/>
        <v>4.8621432655500007E-6</v>
      </c>
      <c r="Q23" s="108">
        <v>55</v>
      </c>
    </row>
    <row r="24" spans="1:21" x14ac:dyDescent="0.15">
      <c r="A24" s="108">
        <v>21</v>
      </c>
      <c r="B24" s="142">
        <v>0.89999997615814209</v>
      </c>
      <c r="C24" s="108">
        <f t="shared" si="0"/>
        <v>56</v>
      </c>
      <c r="D24" s="108">
        <v>1458</v>
      </c>
      <c r="E24" s="108" t="s">
        <v>191</v>
      </c>
      <c r="F24" s="108">
        <v>4550</v>
      </c>
      <c r="G24" s="108">
        <f t="shared" si="1"/>
        <v>1.4580000000000001E-6</v>
      </c>
      <c r="H24" s="108">
        <f t="shared" si="2"/>
        <v>4.2628070880000002E-7</v>
      </c>
      <c r="J24" s="108">
        <f t="shared" si="3"/>
        <v>2.6034918000000002E-7</v>
      </c>
      <c r="Q24" s="108">
        <v>54</v>
      </c>
    </row>
    <row r="25" spans="1:21" x14ac:dyDescent="0.15">
      <c r="A25" s="108">
        <v>22</v>
      </c>
      <c r="B25" s="142">
        <v>0.89200001955032349</v>
      </c>
      <c r="C25" s="108">
        <f t="shared" si="0"/>
        <v>56</v>
      </c>
      <c r="D25" s="108">
        <v>1458</v>
      </c>
      <c r="E25" s="108" t="s">
        <v>192</v>
      </c>
      <c r="F25" s="108">
        <v>65563.5</v>
      </c>
      <c r="G25" s="108">
        <f t="shared" si="1"/>
        <v>1.4580000000000001E-6</v>
      </c>
      <c r="H25" s="108">
        <f t="shared" si="2"/>
        <v>4.2628070880000002E-7</v>
      </c>
      <c r="I25" s="108">
        <f t="shared" si="4"/>
        <v>4.8621432655500007E-6</v>
      </c>
      <c r="Q25" s="108">
        <v>55</v>
      </c>
    </row>
    <row r="26" spans="1:21" x14ac:dyDescent="0.15">
      <c r="A26" s="108">
        <v>23</v>
      </c>
      <c r="B26" s="142">
        <v>0.89999997615814209</v>
      </c>
      <c r="C26" s="108">
        <f t="shared" si="0"/>
        <v>56</v>
      </c>
      <c r="D26" s="108">
        <v>1458</v>
      </c>
      <c r="E26" s="108" t="s">
        <v>191</v>
      </c>
      <c r="F26" s="108">
        <v>4550</v>
      </c>
      <c r="G26" s="108">
        <f t="shared" si="1"/>
        <v>1.4580000000000001E-6</v>
      </c>
      <c r="H26" s="108">
        <f t="shared" si="2"/>
        <v>4.2628070880000002E-7</v>
      </c>
      <c r="J26" s="108">
        <f t="shared" si="3"/>
        <v>2.6034918000000002E-7</v>
      </c>
      <c r="Q26" s="108">
        <v>54</v>
      </c>
    </row>
    <row r="27" spans="1:21" x14ac:dyDescent="0.15">
      <c r="A27" s="108">
        <v>24</v>
      </c>
      <c r="B27" s="142">
        <v>0.89999997615814209</v>
      </c>
      <c r="C27" s="108">
        <f t="shared" si="0"/>
        <v>56</v>
      </c>
      <c r="D27" s="108">
        <v>1458</v>
      </c>
      <c r="E27" s="108" t="s">
        <v>192</v>
      </c>
      <c r="F27" s="108">
        <v>65563.5</v>
      </c>
      <c r="G27" s="108">
        <f t="shared" si="1"/>
        <v>1.4580000000000001E-6</v>
      </c>
      <c r="H27" s="108">
        <f t="shared" si="2"/>
        <v>4.2628070880000002E-7</v>
      </c>
      <c r="I27" s="108">
        <f t="shared" si="4"/>
        <v>4.8621432655500007E-6</v>
      </c>
      <c r="Q27" s="108">
        <v>54</v>
      </c>
    </row>
    <row r="28" spans="1:21" x14ac:dyDescent="0.15">
      <c r="A28" s="108">
        <v>25</v>
      </c>
      <c r="B28" s="142">
        <v>0.89999997615814209</v>
      </c>
      <c r="C28" s="108">
        <f t="shared" si="0"/>
        <v>56</v>
      </c>
      <c r="D28" s="108">
        <v>1458</v>
      </c>
      <c r="E28" s="108" t="s">
        <v>191</v>
      </c>
      <c r="F28" s="108">
        <v>4550</v>
      </c>
      <c r="G28" s="108">
        <f t="shared" si="1"/>
        <v>1.4580000000000001E-6</v>
      </c>
      <c r="H28" s="108">
        <f t="shared" si="2"/>
        <v>4.2628070880000002E-7</v>
      </c>
      <c r="J28" s="108">
        <f t="shared" si="3"/>
        <v>2.6034918000000002E-7</v>
      </c>
      <c r="Q28" s="108">
        <v>54</v>
      </c>
    </row>
    <row r="29" spans="1:21" x14ac:dyDescent="0.15">
      <c r="A29" s="108">
        <v>26</v>
      </c>
      <c r="B29" s="142">
        <v>0.89999997615814209</v>
      </c>
      <c r="C29" s="108">
        <f t="shared" si="0"/>
        <v>56</v>
      </c>
      <c r="D29" s="108">
        <v>1458</v>
      </c>
      <c r="E29" s="108" t="s">
        <v>192</v>
      </c>
      <c r="F29" s="108">
        <v>65563.5</v>
      </c>
      <c r="G29" s="108">
        <f t="shared" si="1"/>
        <v>1.4580000000000001E-6</v>
      </c>
      <c r="H29" s="108">
        <f t="shared" si="2"/>
        <v>4.2628070880000002E-7</v>
      </c>
      <c r="I29" s="108">
        <f t="shared" si="4"/>
        <v>4.8621432655500007E-6</v>
      </c>
      <c r="Q29" s="108">
        <v>54</v>
      </c>
    </row>
    <row r="30" spans="1:21" x14ac:dyDescent="0.15">
      <c r="A30" s="108">
        <v>27</v>
      </c>
      <c r="B30" s="142">
        <v>0.89999997615814209</v>
      </c>
      <c r="C30" s="108">
        <f t="shared" si="0"/>
        <v>56</v>
      </c>
      <c r="D30" s="108">
        <v>1458</v>
      </c>
      <c r="E30" s="108" t="s">
        <v>191</v>
      </c>
      <c r="F30" s="108">
        <v>4550</v>
      </c>
      <c r="G30" s="108">
        <f t="shared" si="1"/>
        <v>1.4580000000000001E-6</v>
      </c>
      <c r="H30" s="108">
        <f t="shared" si="2"/>
        <v>4.2628070880000002E-7</v>
      </c>
      <c r="J30" s="108">
        <f t="shared" si="3"/>
        <v>2.6034918000000002E-7</v>
      </c>
      <c r="Q30" s="108">
        <v>54</v>
      </c>
    </row>
    <row r="31" spans="1:21" x14ac:dyDescent="0.15">
      <c r="A31" s="108">
        <v>28</v>
      </c>
      <c r="B31" s="142">
        <v>0.89999997615814209</v>
      </c>
      <c r="C31" s="108">
        <f t="shared" si="0"/>
        <v>56</v>
      </c>
      <c r="D31" s="108">
        <v>1458</v>
      </c>
      <c r="E31" s="108" t="s">
        <v>192</v>
      </c>
      <c r="F31" s="108">
        <v>65563.5</v>
      </c>
      <c r="G31" s="108">
        <f t="shared" si="1"/>
        <v>1.4580000000000001E-6</v>
      </c>
      <c r="H31" s="108">
        <f t="shared" si="2"/>
        <v>4.2628070880000002E-7</v>
      </c>
      <c r="I31" s="108">
        <f t="shared" si="4"/>
        <v>4.8621432655500007E-6</v>
      </c>
      <c r="Q31" s="108">
        <v>54</v>
      </c>
    </row>
    <row r="32" spans="1:21" x14ac:dyDescent="0.15">
      <c r="A32" s="108">
        <v>29</v>
      </c>
      <c r="B32" s="142">
        <v>0.89999997615814209</v>
      </c>
      <c r="C32" s="108">
        <f t="shared" si="0"/>
        <v>56</v>
      </c>
      <c r="D32" s="108">
        <v>1458</v>
      </c>
      <c r="E32" s="108" t="s">
        <v>191</v>
      </c>
      <c r="F32" s="108">
        <v>4550</v>
      </c>
      <c r="G32" s="108">
        <f t="shared" si="1"/>
        <v>1.4580000000000001E-6</v>
      </c>
      <c r="H32" s="108">
        <f t="shared" si="2"/>
        <v>4.2628070880000002E-7</v>
      </c>
      <c r="J32" s="108">
        <f t="shared" si="3"/>
        <v>2.6034918000000002E-7</v>
      </c>
      <c r="Q32" s="108">
        <v>54</v>
      </c>
    </row>
    <row r="33" spans="1:17" x14ac:dyDescent="0.15">
      <c r="A33" s="108">
        <v>30</v>
      </c>
      <c r="B33" s="142">
        <v>0.89999997615814209</v>
      </c>
      <c r="C33" s="108">
        <f t="shared" si="0"/>
        <v>56</v>
      </c>
      <c r="D33" s="108">
        <v>1458</v>
      </c>
      <c r="E33" s="108" t="s">
        <v>192</v>
      </c>
      <c r="F33" s="108">
        <v>65563.5</v>
      </c>
      <c r="G33" s="108">
        <f t="shared" si="1"/>
        <v>1.4580000000000001E-6</v>
      </c>
      <c r="H33" s="108">
        <f t="shared" si="2"/>
        <v>4.2628070880000002E-7</v>
      </c>
      <c r="I33" s="108">
        <f t="shared" si="4"/>
        <v>4.8621432655500007E-6</v>
      </c>
      <c r="Q33" s="108">
        <v>54</v>
      </c>
    </row>
    <row r="34" spans="1:17" x14ac:dyDescent="0.15">
      <c r="A34" s="108">
        <v>31</v>
      </c>
      <c r="B34" s="142">
        <v>0.89999997615814209</v>
      </c>
      <c r="C34" s="108">
        <f t="shared" si="0"/>
        <v>56</v>
      </c>
      <c r="D34" s="108">
        <v>1458</v>
      </c>
      <c r="E34" s="108" t="s">
        <v>191</v>
      </c>
      <c r="F34" s="108">
        <v>4550</v>
      </c>
      <c r="G34" s="108">
        <f t="shared" si="1"/>
        <v>1.4580000000000001E-6</v>
      </c>
      <c r="H34" s="108">
        <f t="shared" si="2"/>
        <v>4.2628070880000002E-7</v>
      </c>
      <c r="J34" s="108">
        <f t="shared" si="3"/>
        <v>2.6034918000000002E-7</v>
      </c>
      <c r="Q34" s="108">
        <v>54</v>
      </c>
    </row>
    <row r="35" spans="1:17" x14ac:dyDescent="0.15">
      <c r="A35" s="108">
        <v>32</v>
      </c>
      <c r="B35" s="142">
        <v>0.89999997615814209</v>
      </c>
      <c r="C35" s="108">
        <f t="shared" si="0"/>
        <v>56</v>
      </c>
      <c r="D35" s="108">
        <v>1458</v>
      </c>
      <c r="E35" s="108" t="s">
        <v>192</v>
      </c>
      <c r="F35" s="108">
        <v>65563.5</v>
      </c>
      <c r="G35" s="108">
        <f t="shared" si="1"/>
        <v>1.4580000000000001E-6</v>
      </c>
      <c r="H35" s="108">
        <f t="shared" si="2"/>
        <v>4.2628070880000002E-7</v>
      </c>
      <c r="I35" s="108">
        <f t="shared" si="4"/>
        <v>4.8621432655500007E-6</v>
      </c>
      <c r="Q35" s="108">
        <v>54</v>
      </c>
    </row>
    <row r="36" spans="1:17" x14ac:dyDescent="0.15">
      <c r="A36" s="108">
        <v>33</v>
      </c>
      <c r="B36" s="142">
        <v>0.89999997615814209</v>
      </c>
      <c r="C36" s="108">
        <f t="shared" si="0"/>
        <v>56</v>
      </c>
      <c r="D36" s="108">
        <v>1458</v>
      </c>
      <c r="E36" s="108" t="s">
        <v>191</v>
      </c>
      <c r="F36" s="108">
        <v>4550</v>
      </c>
      <c r="G36" s="108">
        <f t="shared" si="1"/>
        <v>1.4580000000000001E-6</v>
      </c>
      <c r="H36" s="108">
        <f t="shared" si="2"/>
        <v>4.2628070880000002E-7</v>
      </c>
      <c r="J36" s="108">
        <f t="shared" si="3"/>
        <v>2.6034918000000002E-7</v>
      </c>
      <c r="Q36" s="108">
        <v>54</v>
      </c>
    </row>
    <row r="37" spans="1:17" x14ac:dyDescent="0.15">
      <c r="A37" s="108">
        <v>34</v>
      </c>
      <c r="B37" s="142">
        <v>0.89999997615814209</v>
      </c>
      <c r="C37" s="108">
        <f t="shared" si="0"/>
        <v>56</v>
      </c>
      <c r="D37" s="108">
        <v>1458</v>
      </c>
      <c r="E37" s="108" t="s">
        <v>192</v>
      </c>
      <c r="F37" s="108">
        <v>65563.5</v>
      </c>
      <c r="G37" s="108">
        <f t="shared" si="1"/>
        <v>1.4580000000000001E-6</v>
      </c>
      <c r="H37" s="108">
        <f t="shared" si="2"/>
        <v>4.2628070880000002E-7</v>
      </c>
      <c r="I37" s="108">
        <f t="shared" si="4"/>
        <v>4.8621432655500007E-6</v>
      </c>
      <c r="Q37" s="108">
        <v>54</v>
      </c>
    </row>
    <row r="38" spans="1:17" x14ac:dyDescent="0.15">
      <c r="A38" s="108">
        <v>35</v>
      </c>
      <c r="B38" s="142">
        <v>0.89999997615814209</v>
      </c>
      <c r="C38" s="108">
        <f t="shared" si="0"/>
        <v>56</v>
      </c>
      <c r="D38" s="108">
        <v>1458</v>
      </c>
      <c r="E38" s="108" t="s">
        <v>191</v>
      </c>
      <c r="F38" s="108">
        <v>4550</v>
      </c>
      <c r="G38" s="108">
        <f t="shared" si="1"/>
        <v>1.4580000000000001E-6</v>
      </c>
      <c r="H38" s="108">
        <f t="shared" si="2"/>
        <v>4.2628070880000002E-7</v>
      </c>
      <c r="J38" s="108">
        <f t="shared" si="3"/>
        <v>2.6034918000000002E-7</v>
      </c>
      <c r="Q38" s="108">
        <v>54</v>
      </c>
    </row>
    <row r="39" spans="1:17" x14ac:dyDescent="0.15">
      <c r="A39" s="108">
        <v>36</v>
      </c>
      <c r="B39" s="142">
        <v>0.89999997615814209</v>
      </c>
      <c r="C39" s="108">
        <f t="shared" si="0"/>
        <v>56</v>
      </c>
      <c r="D39" s="108">
        <v>1458</v>
      </c>
      <c r="E39" s="108" t="s">
        <v>192</v>
      </c>
      <c r="F39" s="108">
        <v>65563.5</v>
      </c>
      <c r="G39" s="108">
        <f t="shared" si="1"/>
        <v>1.4580000000000001E-6</v>
      </c>
      <c r="H39" s="108">
        <f t="shared" si="2"/>
        <v>4.2628070880000002E-7</v>
      </c>
      <c r="I39" s="108">
        <f t="shared" si="4"/>
        <v>4.8621432655500007E-6</v>
      </c>
      <c r="Q39" s="108">
        <v>54</v>
      </c>
    </row>
    <row r="40" spans="1:17" x14ac:dyDescent="0.15">
      <c r="A40" s="108">
        <v>37</v>
      </c>
      <c r="B40" s="142">
        <v>0.89999997615814209</v>
      </c>
      <c r="C40" s="108">
        <f t="shared" si="0"/>
        <v>56</v>
      </c>
      <c r="D40" s="108">
        <v>1458</v>
      </c>
      <c r="E40" s="108" t="s">
        <v>191</v>
      </c>
      <c r="F40" s="108">
        <v>4550</v>
      </c>
      <c r="G40" s="108">
        <f t="shared" si="1"/>
        <v>1.4580000000000001E-6</v>
      </c>
      <c r="H40" s="108">
        <f t="shared" si="2"/>
        <v>4.2628070880000002E-7</v>
      </c>
      <c r="J40" s="108">
        <f t="shared" si="3"/>
        <v>2.6034918000000002E-7</v>
      </c>
      <c r="Q40" s="108">
        <v>54</v>
      </c>
    </row>
    <row r="41" spans="1:17" x14ac:dyDescent="0.15">
      <c r="A41" s="108">
        <v>38</v>
      </c>
      <c r="B41" s="142">
        <v>0.89999997615814209</v>
      </c>
      <c r="C41" s="108">
        <f t="shared" si="0"/>
        <v>56</v>
      </c>
      <c r="D41" s="108">
        <v>1458</v>
      </c>
      <c r="E41" s="108" t="s">
        <v>192</v>
      </c>
      <c r="F41" s="108">
        <v>65563.5</v>
      </c>
      <c r="G41" s="108">
        <f t="shared" si="1"/>
        <v>1.4580000000000001E-6</v>
      </c>
      <c r="H41" s="108">
        <f t="shared" si="2"/>
        <v>4.2628070880000002E-7</v>
      </c>
      <c r="I41" s="108">
        <f t="shared" si="4"/>
        <v>4.8621432655500007E-6</v>
      </c>
      <c r="Q41" s="108">
        <v>54</v>
      </c>
    </row>
    <row r="42" spans="1:17" x14ac:dyDescent="0.15">
      <c r="A42" s="108">
        <v>39</v>
      </c>
      <c r="B42" s="142">
        <v>0.89999997615814209</v>
      </c>
      <c r="C42" s="108">
        <f t="shared" si="0"/>
        <v>56</v>
      </c>
      <c r="D42" s="108">
        <v>1458</v>
      </c>
      <c r="E42" s="108" t="s">
        <v>191</v>
      </c>
      <c r="F42" s="108">
        <v>6400</v>
      </c>
      <c r="G42" s="108">
        <f t="shared" si="1"/>
        <v>1.4580000000000001E-6</v>
      </c>
      <c r="H42" s="108">
        <f t="shared" si="2"/>
        <v>4.2628070880000002E-7</v>
      </c>
      <c r="J42" s="108">
        <f t="shared" si="3"/>
        <v>3.6620544000000002E-7</v>
      </c>
      <c r="Q42" s="108">
        <v>54</v>
      </c>
    </row>
    <row r="43" spans="1:17" x14ac:dyDescent="0.15">
      <c r="A43" s="108">
        <v>40</v>
      </c>
      <c r="B43" s="142">
        <v>0.89999997615814209</v>
      </c>
      <c r="C43" s="108">
        <f t="shared" si="0"/>
        <v>56</v>
      </c>
      <c r="D43" s="108">
        <f>+F43*16/25</f>
        <v>4096</v>
      </c>
      <c r="E43" s="108" t="s">
        <v>169</v>
      </c>
      <c r="F43" s="108">
        <v>6400</v>
      </c>
      <c r="G43" s="108">
        <f t="shared" si="1"/>
        <v>4.0960000000000003E-6</v>
      </c>
      <c r="H43" s="108">
        <f t="shared" si="2"/>
        <v>1.1975622656E-6</v>
      </c>
      <c r="I43" s="108">
        <f t="shared" si="4"/>
        <v>4.7461952E-7</v>
      </c>
      <c r="Q43" s="108">
        <v>54</v>
      </c>
    </row>
    <row r="44" spans="1:17" x14ac:dyDescent="0.15">
      <c r="A44" s="108">
        <v>41</v>
      </c>
      <c r="B44" s="142">
        <v>0.89999997615814209</v>
      </c>
      <c r="C44" s="108">
        <f t="shared" si="0"/>
        <v>56</v>
      </c>
      <c r="D44" s="108">
        <v>1458</v>
      </c>
      <c r="E44" s="108" t="s">
        <v>161</v>
      </c>
      <c r="F44" s="108">
        <v>1600</v>
      </c>
      <c r="G44" s="108">
        <f t="shared" si="1"/>
        <v>1.4580000000000001E-6</v>
      </c>
      <c r="H44" s="108">
        <f t="shared" si="2"/>
        <v>4.2628070880000002E-7</v>
      </c>
      <c r="J44" s="108">
        <f t="shared" si="3"/>
        <v>9.1551360000000006E-8</v>
      </c>
      <c r="Q44" s="108">
        <v>54</v>
      </c>
    </row>
    <row r="45" spans="1:17" x14ac:dyDescent="0.15">
      <c r="A45" s="108">
        <v>42</v>
      </c>
      <c r="B45" s="142">
        <v>0.89999997615814209</v>
      </c>
      <c r="C45" s="108">
        <f t="shared" si="0"/>
        <v>56</v>
      </c>
      <c r="D45" s="108">
        <v>1458</v>
      </c>
      <c r="E45" s="108" t="s">
        <v>192</v>
      </c>
      <c r="F45" s="108">
        <v>68027.5</v>
      </c>
      <c r="G45" s="108">
        <f t="shared" si="1"/>
        <v>1.4580000000000001E-6</v>
      </c>
      <c r="H45" s="108">
        <f t="shared" si="2"/>
        <v>4.2628070880000002E-7</v>
      </c>
      <c r="I45" s="108">
        <f t="shared" si="4"/>
        <v>5.0448717807499997E-6</v>
      </c>
      <c r="Q45" s="108">
        <v>54</v>
      </c>
    </row>
    <row r="46" spans="1:17" x14ac:dyDescent="0.15">
      <c r="A46" s="108">
        <v>43</v>
      </c>
      <c r="B46" s="142">
        <v>0.89999997615814209</v>
      </c>
      <c r="C46" s="108">
        <f t="shared" si="0"/>
        <v>56</v>
      </c>
      <c r="D46" s="108">
        <v>29900</v>
      </c>
      <c r="E46" s="108" t="s">
        <v>191</v>
      </c>
      <c r="F46" s="108">
        <v>1600</v>
      </c>
      <c r="G46" s="108">
        <f t="shared" si="1"/>
        <v>2.9900000000000002E-5</v>
      </c>
      <c r="H46" s="108">
        <f t="shared" si="2"/>
        <v>8.7419706400000005E-6</v>
      </c>
      <c r="J46" s="108">
        <f t="shared" si="3"/>
        <v>9.1551360000000006E-8</v>
      </c>
      <c r="Q46" s="108">
        <v>54</v>
      </c>
    </row>
    <row r="47" spans="1:17" x14ac:dyDescent="0.15">
      <c r="A47" s="108">
        <v>44</v>
      </c>
      <c r="B47" s="142">
        <v>0.89999997615814209</v>
      </c>
      <c r="C47" s="108">
        <f t="shared" si="0"/>
        <v>56</v>
      </c>
      <c r="D47" s="108">
        <v>2050</v>
      </c>
      <c r="E47" s="108" t="s">
        <v>166</v>
      </c>
      <c r="F47" s="108">
        <v>1600</v>
      </c>
      <c r="G47" s="108">
        <f t="shared" si="1"/>
        <v>2.0500000000000003E-6</v>
      </c>
      <c r="H47" s="108">
        <f t="shared" si="2"/>
        <v>5.9936588000000014E-7</v>
      </c>
      <c r="I47" s="108">
        <f t="shared" si="4"/>
        <v>1.1865488E-7</v>
      </c>
      <c r="Q47" s="108">
        <v>54</v>
      </c>
    </row>
    <row r="48" spans="1:17" x14ac:dyDescent="0.15">
      <c r="A48" s="108">
        <v>45</v>
      </c>
      <c r="B48" s="142">
        <v>0.89999997615814209</v>
      </c>
      <c r="C48" s="108">
        <f t="shared" si="0"/>
        <v>56</v>
      </c>
      <c r="D48" s="108">
        <v>1458</v>
      </c>
      <c r="E48" s="108" t="s">
        <v>167</v>
      </c>
      <c r="F48" s="108">
        <v>0.5</v>
      </c>
      <c r="G48" s="108">
        <f t="shared" si="1"/>
        <v>1.4580000000000001E-6</v>
      </c>
      <c r="H48" s="108">
        <f t="shared" si="2"/>
        <v>4.2628070880000002E-7</v>
      </c>
      <c r="J48" s="108">
        <f t="shared" si="3"/>
        <v>2.8609800000000003E-11</v>
      </c>
      <c r="Q48" s="108">
        <v>54</v>
      </c>
    </row>
    <row r="49" spans="2:10" x14ac:dyDescent="0.15">
      <c r="D49" s="108">
        <f>SUM(D2:D48)</f>
        <v>418604.88</v>
      </c>
      <c r="G49" s="108" t="s">
        <v>154</v>
      </c>
      <c r="H49" s="108">
        <f>SUM(H2:H48)</f>
        <v>1.2332593452921584E-4</v>
      </c>
      <c r="I49" s="108">
        <f>SUM(I2:I48)</f>
        <v>8.589005353431288E-5</v>
      </c>
      <c r="J49" s="108">
        <f t="shared" ref="I49:J49" si="5">SUM(J2:J48)</f>
        <v>1.1676484134503172E-5</v>
      </c>
    </row>
    <row r="51" spans="2:10" x14ac:dyDescent="0.15">
      <c r="B51" s="108" t="s">
        <v>199</v>
      </c>
      <c r="E51" s="108" t="s">
        <v>184</v>
      </c>
      <c r="F51" s="108">
        <v>197326.75</v>
      </c>
      <c r="G51" s="108">
        <f>+F51/F52</f>
        <v>1</v>
      </c>
    </row>
    <row r="52" spans="2:10" x14ac:dyDescent="0.15">
      <c r="B52" s="108">
        <v>54</v>
      </c>
      <c r="C52" s="108">
        <f>COUNTIF(C2:C48,54)</f>
        <v>0</v>
      </c>
      <c r="E52" s="108" t="s">
        <v>185</v>
      </c>
      <c r="F52" s="108">
        <v>197326.75</v>
      </c>
    </row>
    <row r="53" spans="2:10" x14ac:dyDescent="0.15">
      <c r="B53" s="108">
        <v>56</v>
      </c>
      <c r="C53" s="108">
        <f>COUNTIF(C2:C48,56)</f>
        <v>39</v>
      </c>
      <c r="E53" s="108" t="s">
        <v>82</v>
      </c>
      <c r="F53" s="205">
        <v>1138603.75</v>
      </c>
      <c r="G53" s="108">
        <f>+F53/F54</f>
        <v>1</v>
      </c>
      <c r="I53" s="205">
        <f>F53</f>
        <v>1138603.75</v>
      </c>
    </row>
    <row r="54" spans="2:10" ht="16" x14ac:dyDescent="0.15">
      <c r="B54" s="108">
        <v>58</v>
      </c>
      <c r="C54" s="108">
        <f>COUNTIF(C2:C48,58)</f>
        <v>6</v>
      </c>
      <c r="E54" s="108" t="s">
        <v>185</v>
      </c>
      <c r="F54" s="215">
        <f>F3+F5+F7+F9+F11+F13+F15+F17+F21+F19+F23+F25+F27+F29+F31+F33+F35+F37+F39+F41+F43+F45+F47</f>
        <v>1138603.75</v>
      </c>
    </row>
    <row r="55" spans="2:10" x14ac:dyDescent="0.15">
      <c r="B55" s="108">
        <v>60</v>
      </c>
      <c r="C55" s="108">
        <f>COUNTIF(C2:C48,60)</f>
        <v>2</v>
      </c>
    </row>
    <row r="56" spans="2:10" x14ac:dyDescent="0.15">
      <c r="F56" s="205">
        <f>F53-F54</f>
        <v>0</v>
      </c>
    </row>
  </sheetData>
  <autoFilter ref="E1:E55" xr:uid="{65C8571B-06FA-554D-94A6-D6B111176F59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47"/>
  <sheetViews>
    <sheetView workbookViewId="0">
      <selection activeCell="D10" sqref="D10"/>
    </sheetView>
  </sheetViews>
  <sheetFormatPr baseColWidth="10" defaultColWidth="10.83203125" defaultRowHeight="14" x14ac:dyDescent="0.15"/>
  <cols>
    <col min="1" max="2" width="10.83203125" style="50"/>
    <col min="3" max="3" width="12.33203125" style="50" bestFit="1" customWidth="1"/>
    <col min="4" max="4" width="15.83203125" style="50" bestFit="1" customWidth="1"/>
    <col min="5" max="5" width="15.6640625" style="50" bestFit="1" customWidth="1"/>
    <col min="6" max="16384" width="10.83203125" style="50"/>
  </cols>
  <sheetData>
    <row r="1" spans="1:7" ht="15" thickBot="1" x14ac:dyDescent="0.2">
      <c r="A1" s="47" t="s">
        <v>77</v>
      </c>
      <c r="B1" s="48" t="s">
        <v>78</v>
      </c>
      <c r="C1" s="49" t="s">
        <v>79</v>
      </c>
      <c r="D1" s="175" t="s">
        <v>80</v>
      </c>
      <c r="E1" s="176"/>
      <c r="F1" s="177" t="s">
        <v>81</v>
      </c>
      <c r="G1" s="177"/>
    </row>
    <row r="2" spans="1:7" x14ac:dyDescent="0.15">
      <c r="A2" s="51"/>
      <c r="C2" s="52"/>
      <c r="D2" s="53" t="s">
        <v>82</v>
      </c>
      <c r="E2" s="54" t="s">
        <v>83</v>
      </c>
      <c r="F2" s="53" t="s">
        <v>82</v>
      </c>
      <c r="G2" s="54" t="s">
        <v>83</v>
      </c>
    </row>
    <row r="3" spans="1:7" x14ac:dyDescent="0.15">
      <c r="A3" s="55" t="s">
        <v>25</v>
      </c>
      <c r="B3" s="56">
        <v>1406946</v>
      </c>
      <c r="C3" s="57">
        <f>+B3*150</f>
        <v>211041900</v>
      </c>
      <c r="D3" s="104">
        <v>14</v>
      </c>
      <c r="E3" s="104">
        <v>2</v>
      </c>
      <c r="F3" s="50">
        <v>16200</v>
      </c>
      <c r="G3" s="50">
        <v>150</v>
      </c>
    </row>
    <row r="4" spans="1:7" x14ac:dyDescent="0.15">
      <c r="A4" s="58" t="s">
        <v>26</v>
      </c>
      <c r="B4" s="59">
        <v>1453369</v>
      </c>
      <c r="C4" s="60">
        <f t="shared" ref="C4:C8" si="0">+B4*150</f>
        <v>218005350</v>
      </c>
      <c r="D4" s="104">
        <v>81</v>
      </c>
      <c r="E4" s="104">
        <v>32</v>
      </c>
      <c r="F4" s="50">
        <v>35550</v>
      </c>
      <c r="G4" s="50">
        <v>4650</v>
      </c>
    </row>
    <row r="5" spans="1:7" x14ac:dyDescent="0.15">
      <c r="A5" s="61" t="s">
        <v>27</v>
      </c>
      <c r="B5" s="59">
        <v>6937351</v>
      </c>
      <c r="C5" s="60">
        <f t="shared" si="0"/>
        <v>1040602650</v>
      </c>
      <c r="D5" s="104">
        <v>881</v>
      </c>
      <c r="E5" s="104">
        <v>224</v>
      </c>
      <c r="F5" s="50">
        <v>245550</v>
      </c>
      <c r="G5" s="50">
        <v>33450</v>
      </c>
    </row>
    <row r="6" spans="1:7" x14ac:dyDescent="0.15">
      <c r="A6" s="58" t="s">
        <v>28</v>
      </c>
      <c r="B6" s="59">
        <v>1670088</v>
      </c>
      <c r="C6" s="60">
        <f t="shared" si="0"/>
        <v>250513200</v>
      </c>
      <c r="D6" s="104">
        <v>171</v>
      </c>
      <c r="E6" s="104">
        <v>26</v>
      </c>
      <c r="F6" s="50">
        <v>26700</v>
      </c>
      <c r="G6" s="50">
        <v>3750</v>
      </c>
    </row>
    <row r="7" spans="1:7" x14ac:dyDescent="0.15">
      <c r="A7" s="58" t="s">
        <v>29</v>
      </c>
      <c r="B7" s="59">
        <v>27160746</v>
      </c>
      <c r="C7" s="60">
        <f t="shared" si="0"/>
        <v>4074111900</v>
      </c>
      <c r="D7" s="104">
        <v>746</v>
      </c>
      <c r="E7" s="104">
        <v>135</v>
      </c>
    </row>
    <row r="8" spans="1:7" ht="15" thickBot="1" x14ac:dyDescent="0.2">
      <c r="A8" s="62" t="s">
        <v>30</v>
      </c>
      <c r="B8" s="63">
        <v>2099986</v>
      </c>
      <c r="C8" s="64">
        <f t="shared" si="0"/>
        <v>314997900</v>
      </c>
      <c r="D8" s="104">
        <v>27</v>
      </c>
      <c r="E8" s="104">
        <v>4</v>
      </c>
    </row>
    <row r="9" spans="1:7" x14ac:dyDescent="0.15">
      <c r="A9" s="217" t="s">
        <v>179</v>
      </c>
      <c r="B9" s="217"/>
      <c r="C9" s="217"/>
      <c r="D9" s="217">
        <v>70</v>
      </c>
      <c r="E9" s="217">
        <v>20</v>
      </c>
    </row>
    <row r="10" spans="1:7" x14ac:dyDescent="0.15">
      <c r="A10" s="217" t="s">
        <v>180</v>
      </c>
      <c r="B10" s="217"/>
      <c r="C10" s="219"/>
      <c r="D10" s="217">
        <v>38</v>
      </c>
      <c r="E10" s="217">
        <v>3</v>
      </c>
    </row>
    <row r="11" spans="1:7" x14ac:dyDescent="0.15">
      <c r="A11" s="218" t="s">
        <v>181</v>
      </c>
      <c r="B11" s="217"/>
      <c r="C11" s="217"/>
      <c r="D11" s="217">
        <v>52</v>
      </c>
      <c r="E11" s="217">
        <v>56</v>
      </c>
    </row>
    <row r="12" spans="1:7" x14ac:dyDescent="0.15">
      <c r="A12" s="218" t="s">
        <v>182</v>
      </c>
      <c r="B12" s="217"/>
      <c r="C12" s="217"/>
      <c r="D12" s="217">
        <v>378</v>
      </c>
      <c r="E12" s="217">
        <v>96</v>
      </c>
    </row>
    <row r="14" spans="1:7" x14ac:dyDescent="0.15">
      <c r="C14" s="65"/>
    </row>
    <row r="15" spans="1:7" x14ac:dyDescent="0.15">
      <c r="A15" s="66"/>
    </row>
    <row r="16" spans="1:7" ht="15" thickBot="1" x14ac:dyDescent="0.2">
      <c r="B16" s="50" t="s">
        <v>84</v>
      </c>
    </row>
    <row r="17" spans="1:7" ht="15" thickBot="1" x14ac:dyDescent="0.2">
      <c r="A17" s="47" t="s">
        <v>77</v>
      </c>
      <c r="B17" s="48" t="s">
        <v>78</v>
      </c>
      <c r="C17" s="49" t="s">
        <v>79</v>
      </c>
      <c r="D17" s="175" t="s">
        <v>80</v>
      </c>
      <c r="E17" s="176"/>
      <c r="F17" s="177" t="s">
        <v>81</v>
      </c>
      <c r="G17" s="177"/>
    </row>
    <row r="18" spans="1:7" x14ac:dyDescent="0.15">
      <c r="A18" s="51"/>
      <c r="C18" s="52"/>
      <c r="D18" s="53" t="s">
        <v>82</v>
      </c>
      <c r="E18" s="54" t="s">
        <v>83</v>
      </c>
      <c r="F18" s="53" t="s">
        <v>82</v>
      </c>
      <c r="G18" s="54" t="s">
        <v>83</v>
      </c>
    </row>
    <row r="19" spans="1:7" x14ac:dyDescent="0.15">
      <c r="A19" s="55" t="s">
        <v>25</v>
      </c>
      <c r="B19" s="56"/>
      <c r="C19" s="57"/>
      <c r="D19" s="50">
        <v>84</v>
      </c>
      <c r="E19" s="50">
        <v>15</v>
      </c>
    </row>
    <row r="20" spans="1:7" x14ac:dyDescent="0.15">
      <c r="A20" s="58" t="s">
        <v>26</v>
      </c>
      <c r="B20" s="59"/>
      <c r="C20" s="60"/>
      <c r="D20" s="106">
        <v>228</v>
      </c>
      <c r="E20" s="106">
        <v>128</v>
      </c>
    </row>
    <row r="21" spans="1:7" x14ac:dyDescent="0.15">
      <c r="A21" s="61" t="s">
        <v>27</v>
      </c>
      <c r="B21" s="59"/>
      <c r="C21" s="60"/>
      <c r="D21" s="105">
        <v>5193</v>
      </c>
      <c r="E21" s="105">
        <v>726</v>
      </c>
    </row>
    <row r="22" spans="1:7" x14ac:dyDescent="0.15">
      <c r="A22" s="58" t="s">
        <v>28</v>
      </c>
      <c r="B22" s="59"/>
      <c r="C22" s="60"/>
      <c r="D22" s="105">
        <v>1230</v>
      </c>
      <c r="E22" s="105">
        <v>104</v>
      </c>
    </row>
    <row r="23" spans="1:7" x14ac:dyDescent="0.15">
      <c r="A23" s="58" t="s">
        <v>29</v>
      </c>
      <c r="B23" s="59"/>
      <c r="C23" s="60"/>
      <c r="D23" s="105">
        <v>31178</v>
      </c>
      <c r="E23" s="105">
        <v>292</v>
      </c>
    </row>
    <row r="24" spans="1:7" ht="15" thickBot="1" x14ac:dyDescent="0.2">
      <c r="A24" s="62" t="s">
        <v>30</v>
      </c>
      <c r="B24" s="63"/>
      <c r="C24" s="64"/>
      <c r="D24" s="105">
        <v>2134</v>
      </c>
      <c r="E24" s="105">
        <v>26</v>
      </c>
    </row>
    <row r="28" spans="1:7" ht="15" thickBot="1" x14ac:dyDescent="0.2">
      <c r="B28" s="50" t="s">
        <v>85</v>
      </c>
    </row>
    <row r="29" spans="1:7" ht="15" thickBot="1" x14ac:dyDescent="0.2">
      <c r="A29" s="47" t="s">
        <v>77</v>
      </c>
      <c r="B29" s="48" t="s">
        <v>78</v>
      </c>
      <c r="C29" s="49" t="s">
        <v>79</v>
      </c>
      <c r="D29" s="175" t="s">
        <v>80</v>
      </c>
      <c r="E29" s="176"/>
      <c r="F29" s="177" t="s">
        <v>81</v>
      </c>
      <c r="G29" s="177"/>
    </row>
    <row r="30" spans="1:7" x14ac:dyDescent="0.15">
      <c r="A30" s="51"/>
      <c r="C30" s="52"/>
      <c r="D30" s="53" t="s">
        <v>82</v>
      </c>
      <c r="E30" s="54" t="s">
        <v>83</v>
      </c>
      <c r="F30" s="53" t="s">
        <v>82</v>
      </c>
      <c r="G30" s="54" t="s">
        <v>83</v>
      </c>
    </row>
    <row r="31" spans="1:7" x14ac:dyDescent="0.15">
      <c r="A31" s="55" t="s">
        <v>25</v>
      </c>
      <c r="B31" s="56"/>
      <c r="C31" s="57"/>
      <c r="D31" s="50">
        <v>127</v>
      </c>
      <c r="E31" s="50">
        <v>22</v>
      </c>
    </row>
    <row r="32" spans="1:7" x14ac:dyDescent="0.15">
      <c r="A32" s="58" t="s">
        <v>26</v>
      </c>
      <c r="B32" s="59"/>
      <c r="C32" s="60"/>
      <c r="D32" s="50">
        <v>338</v>
      </c>
      <c r="E32" s="50">
        <v>197</v>
      </c>
    </row>
    <row r="33" spans="1:7" x14ac:dyDescent="0.15">
      <c r="A33" s="61" t="s">
        <v>27</v>
      </c>
      <c r="B33" s="59"/>
      <c r="C33" s="60"/>
      <c r="D33" s="105">
        <v>7686</v>
      </c>
      <c r="E33" s="105">
        <v>1078</v>
      </c>
    </row>
    <row r="34" spans="1:7" x14ac:dyDescent="0.15">
      <c r="A34" s="58" t="s">
        <v>28</v>
      </c>
      <c r="B34" s="59"/>
      <c r="C34" s="60"/>
      <c r="D34" s="105">
        <v>1838</v>
      </c>
      <c r="E34" s="105">
        <v>160</v>
      </c>
    </row>
    <row r="35" spans="1:7" x14ac:dyDescent="0.15">
      <c r="A35" s="58" t="s">
        <v>29</v>
      </c>
      <c r="B35" s="59"/>
      <c r="C35" s="60"/>
      <c r="D35" s="105">
        <v>45975</v>
      </c>
      <c r="E35" s="105">
        <v>432</v>
      </c>
    </row>
    <row r="36" spans="1:7" ht="15" thickBot="1" x14ac:dyDescent="0.2">
      <c r="A36" s="62" t="s">
        <v>30</v>
      </c>
      <c r="B36" s="63"/>
      <c r="C36" s="64"/>
      <c r="D36" s="105">
        <v>3476</v>
      </c>
      <c r="E36" s="105">
        <v>40</v>
      </c>
    </row>
    <row r="39" spans="1:7" ht="15" thickBot="1" x14ac:dyDescent="0.2">
      <c r="B39" s="50" t="s">
        <v>86</v>
      </c>
    </row>
    <row r="40" spans="1:7" ht="15" thickBot="1" x14ac:dyDescent="0.2">
      <c r="A40" s="47" t="s">
        <v>77</v>
      </c>
      <c r="B40" s="48" t="s">
        <v>78</v>
      </c>
      <c r="C40" s="49" t="s">
        <v>79</v>
      </c>
      <c r="D40" s="175" t="s">
        <v>80</v>
      </c>
      <c r="E40" s="176"/>
      <c r="F40" s="177" t="s">
        <v>81</v>
      </c>
      <c r="G40" s="177"/>
    </row>
    <row r="41" spans="1:7" x14ac:dyDescent="0.15">
      <c r="A41" s="51"/>
      <c r="C41" s="52"/>
      <c r="D41" s="53" t="s">
        <v>82</v>
      </c>
      <c r="E41" s="54" t="s">
        <v>83</v>
      </c>
      <c r="F41" s="53" t="s">
        <v>82</v>
      </c>
      <c r="G41" s="54" t="s">
        <v>83</v>
      </c>
    </row>
    <row r="42" spans="1:7" x14ac:dyDescent="0.15">
      <c r="A42" s="55" t="s">
        <v>25</v>
      </c>
      <c r="B42" s="56"/>
      <c r="C42" s="57"/>
      <c r="D42" s="107">
        <v>299390</v>
      </c>
      <c r="E42" s="50">
        <v>54</v>
      </c>
    </row>
    <row r="43" spans="1:7" x14ac:dyDescent="0.15">
      <c r="A43" s="58" t="s">
        <v>26</v>
      </c>
      <c r="B43" s="59"/>
      <c r="C43" s="60"/>
      <c r="D43" s="50">
        <v>565</v>
      </c>
      <c r="E43" s="50">
        <v>341</v>
      </c>
    </row>
    <row r="44" spans="1:7" x14ac:dyDescent="0.15">
      <c r="A44" s="61" t="s">
        <v>27</v>
      </c>
      <c r="B44" s="59"/>
      <c r="C44" s="60"/>
      <c r="D44" s="105">
        <v>13796</v>
      </c>
      <c r="E44" s="105">
        <v>1978</v>
      </c>
    </row>
    <row r="45" spans="1:7" x14ac:dyDescent="0.15">
      <c r="A45" s="58" t="s">
        <v>28</v>
      </c>
      <c r="B45" s="59"/>
      <c r="C45" s="60"/>
      <c r="D45" s="105">
        <v>4534</v>
      </c>
      <c r="E45" s="105">
        <v>300</v>
      </c>
    </row>
    <row r="46" spans="1:7" x14ac:dyDescent="0.15">
      <c r="A46" s="58" t="s">
        <v>29</v>
      </c>
      <c r="B46" s="59"/>
      <c r="C46" s="60"/>
      <c r="D46" s="105">
        <v>1677364</v>
      </c>
      <c r="E46" s="105">
        <v>615</v>
      </c>
    </row>
    <row r="47" spans="1:7" ht="15" thickBot="1" x14ac:dyDescent="0.2">
      <c r="A47" s="62" t="s">
        <v>30</v>
      </c>
      <c r="B47" s="63"/>
      <c r="C47" s="64"/>
      <c r="D47" s="105">
        <v>305822</v>
      </c>
      <c r="E47" s="105">
        <v>77</v>
      </c>
    </row>
  </sheetData>
  <mergeCells count="8">
    <mergeCell ref="D40:E40"/>
    <mergeCell ref="F40:G40"/>
    <mergeCell ref="D1:E1"/>
    <mergeCell ref="F1:G1"/>
    <mergeCell ref="D17:E17"/>
    <mergeCell ref="F17:G17"/>
    <mergeCell ref="D29:E29"/>
    <mergeCell ref="F29:G29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2"/>
  <sheetViews>
    <sheetView workbookViewId="0">
      <selection sqref="A1:B8"/>
    </sheetView>
  </sheetViews>
  <sheetFormatPr baseColWidth="10" defaultColWidth="8.6640625" defaultRowHeight="14" x14ac:dyDescent="0.15"/>
  <cols>
    <col min="1" max="1" width="8.6640625" style="67"/>
    <col min="2" max="2" width="12.83203125" style="67" bestFit="1" customWidth="1"/>
    <col min="3" max="3" width="13.6640625" style="67" bestFit="1" customWidth="1"/>
    <col min="4" max="4" width="11" style="67" bestFit="1" customWidth="1"/>
    <col min="5" max="5" width="8.6640625" style="67"/>
    <col min="6" max="6" width="11.1640625" style="67" bestFit="1" customWidth="1"/>
    <col min="7" max="16384" width="8.6640625" style="67"/>
  </cols>
  <sheetData>
    <row r="1" spans="1:6" ht="15" thickBot="1" x14ac:dyDescent="0.2">
      <c r="A1" s="173" t="s">
        <v>82</v>
      </c>
      <c r="B1" s="174"/>
      <c r="C1" s="173" t="s">
        <v>83</v>
      </c>
      <c r="D1" s="174"/>
    </row>
    <row r="2" spans="1:6" ht="15" thickBot="1" x14ac:dyDescent="0.2">
      <c r="A2" s="68" t="s">
        <v>87</v>
      </c>
      <c r="B2" s="69" t="s">
        <v>88</v>
      </c>
      <c r="C2" s="68" t="s">
        <v>87</v>
      </c>
      <c r="D2" s="69" t="s">
        <v>89</v>
      </c>
    </row>
    <row r="3" spans="1:6" x14ac:dyDescent="0.15">
      <c r="A3" s="70" t="s">
        <v>90</v>
      </c>
      <c r="B3" s="71">
        <v>53139.28125</v>
      </c>
      <c r="C3" s="70" t="s">
        <v>91</v>
      </c>
      <c r="D3" s="71">
        <v>19323.375</v>
      </c>
      <c r="F3" s="67">
        <f>+D3/2</f>
        <v>9661.6875</v>
      </c>
    </row>
    <row r="4" spans="1:6" x14ac:dyDescent="0.15">
      <c r="A4" s="70" t="s">
        <v>90</v>
      </c>
      <c r="B4" s="71">
        <v>43740</v>
      </c>
      <c r="C4" s="70" t="s">
        <v>92</v>
      </c>
      <c r="D4" s="71">
        <v>8748</v>
      </c>
      <c r="F4" s="67">
        <f t="shared" ref="F4:F8" si="0">+D4/2</f>
        <v>4374</v>
      </c>
    </row>
    <row r="5" spans="1:6" x14ac:dyDescent="0.15">
      <c r="A5" s="70" t="s">
        <v>90</v>
      </c>
      <c r="B5" s="71">
        <v>16224</v>
      </c>
      <c r="C5" s="70" t="s">
        <v>92</v>
      </c>
      <c r="D5" s="71">
        <v>5408</v>
      </c>
      <c r="F5" s="67">
        <f t="shared" si="0"/>
        <v>2704</v>
      </c>
    </row>
    <row r="6" spans="1:6" x14ac:dyDescent="0.15">
      <c r="A6" s="70" t="s">
        <v>90</v>
      </c>
      <c r="B6" s="71">
        <v>8112</v>
      </c>
      <c r="C6" s="70" t="s">
        <v>90</v>
      </c>
      <c r="D6" s="71">
        <v>8112</v>
      </c>
      <c r="F6" s="67">
        <f t="shared" si="0"/>
        <v>4056</v>
      </c>
    </row>
    <row r="7" spans="1:6" x14ac:dyDescent="0.15">
      <c r="A7" s="70" t="s">
        <v>93</v>
      </c>
      <c r="B7" s="71">
        <v>1152</v>
      </c>
      <c r="C7" s="70" t="s">
        <v>92</v>
      </c>
      <c r="D7" s="71">
        <v>1152</v>
      </c>
      <c r="F7" s="67">
        <f t="shared" si="0"/>
        <v>576</v>
      </c>
    </row>
    <row r="8" spans="1:6" ht="15" thickBot="1" x14ac:dyDescent="0.2">
      <c r="A8" s="72" t="s">
        <v>93</v>
      </c>
      <c r="B8" s="73">
        <v>512</v>
      </c>
      <c r="C8" s="72" t="s">
        <v>93</v>
      </c>
      <c r="D8" s="73">
        <v>512</v>
      </c>
      <c r="F8" s="67">
        <f t="shared" si="0"/>
        <v>256</v>
      </c>
    </row>
    <row r="10" spans="1:6" x14ac:dyDescent="0.15">
      <c r="B10" s="67">
        <f>+SUM(B3:B8)</f>
        <v>122879.28125</v>
      </c>
      <c r="D10" s="67">
        <f>+SUM(D3:D8)</f>
        <v>43255.375</v>
      </c>
      <c r="F10" s="67">
        <f>+B10/(B10+D10)</f>
        <v>0.7396366539266247</v>
      </c>
    </row>
    <row r="12" spans="1:6" x14ac:dyDescent="0.15">
      <c r="B12" s="67">
        <f>+B10+D10</f>
        <v>166134.65625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2"/>
  <sheetViews>
    <sheetView workbookViewId="0">
      <selection activeCell="G24" sqref="G24"/>
    </sheetView>
  </sheetViews>
  <sheetFormatPr baseColWidth="10" defaultColWidth="8.6640625" defaultRowHeight="14" x14ac:dyDescent="0.15"/>
  <cols>
    <col min="1" max="1" width="12.83203125" style="67" bestFit="1" customWidth="1"/>
    <col min="2" max="2" width="10.5" style="67" bestFit="1" customWidth="1"/>
    <col min="3" max="3" width="21.5" style="67" bestFit="1" customWidth="1"/>
    <col min="4" max="4" width="11" style="67" bestFit="1" customWidth="1"/>
    <col min="5" max="16384" width="8.6640625" style="67"/>
  </cols>
  <sheetData>
    <row r="1" spans="1:4" x14ac:dyDescent="0.15">
      <c r="A1" s="178" t="s">
        <v>82</v>
      </c>
      <c r="B1" s="179"/>
      <c r="C1" s="178" t="s">
        <v>83</v>
      </c>
      <c r="D1" s="179"/>
    </row>
    <row r="2" spans="1:4" x14ac:dyDescent="0.15">
      <c r="A2" s="74" t="s">
        <v>87</v>
      </c>
      <c r="B2" s="75" t="s">
        <v>88</v>
      </c>
      <c r="C2" s="74" t="s">
        <v>87</v>
      </c>
      <c r="D2" s="75" t="s">
        <v>89</v>
      </c>
    </row>
    <row r="3" spans="1:4" x14ac:dyDescent="0.15">
      <c r="A3" s="76" t="s">
        <v>90</v>
      </c>
      <c r="B3" s="76">
        <v>65856</v>
      </c>
      <c r="C3" s="76" t="s">
        <v>91</v>
      </c>
      <c r="D3" s="76">
        <v>18816</v>
      </c>
    </row>
    <row r="4" spans="1:4" x14ac:dyDescent="0.15">
      <c r="A4" s="76" t="s">
        <v>90</v>
      </c>
      <c r="B4" s="76">
        <v>37632</v>
      </c>
      <c r="C4" s="76" t="s">
        <v>92</v>
      </c>
      <c r="D4" s="76">
        <v>37632</v>
      </c>
    </row>
    <row r="5" spans="1:4" x14ac:dyDescent="0.15">
      <c r="A5" s="77" t="s">
        <v>90</v>
      </c>
      <c r="B5" s="77">
        <v>50176</v>
      </c>
      <c r="C5" s="77" t="s">
        <v>90</v>
      </c>
      <c r="D5" s="77">
        <v>25088</v>
      </c>
    </row>
    <row r="6" spans="1:4" x14ac:dyDescent="0.15">
      <c r="A6" s="77" t="s">
        <v>90</v>
      </c>
      <c r="B6" s="77">
        <v>50176</v>
      </c>
      <c r="C6" s="77" t="s">
        <v>90</v>
      </c>
      <c r="D6" s="77">
        <v>25088</v>
      </c>
    </row>
    <row r="7" spans="1:4" x14ac:dyDescent="0.15">
      <c r="A7" s="76" t="s">
        <v>92</v>
      </c>
      <c r="B7" s="76">
        <v>1650401</v>
      </c>
      <c r="C7" s="77" t="s">
        <v>90</v>
      </c>
      <c r="D7" s="78">
        <v>25088</v>
      </c>
    </row>
    <row r="8" spans="1:4" x14ac:dyDescent="0.15">
      <c r="A8" s="76" t="s">
        <v>90</v>
      </c>
      <c r="B8" s="76">
        <v>3136</v>
      </c>
      <c r="C8" s="77" t="s">
        <v>90</v>
      </c>
      <c r="D8" s="78">
        <v>25088</v>
      </c>
    </row>
    <row r="9" spans="1:4" x14ac:dyDescent="0.15">
      <c r="A9" s="76" t="s">
        <v>90</v>
      </c>
      <c r="B9" s="76">
        <v>9408</v>
      </c>
      <c r="C9" s="79" t="s">
        <v>90</v>
      </c>
      <c r="D9" s="79">
        <v>50176</v>
      </c>
    </row>
    <row r="10" spans="1:4" x14ac:dyDescent="0.15">
      <c r="A10" s="76" t="s">
        <v>90</v>
      </c>
      <c r="B10" s="76">
        <v>4704</v>
      </c>
      <c r="C10" s="79" t="s">
        <v>90</v>
      </c>
      <c r="D10" s="79">
        <v>50176</v>
      </c>
    </row>
    <row r="11" spans="1:4" x14ac:dyDescent="0.15">
      <c r="A11" s="76" t="s">
        <v>90</v>
      </c>
      <c r="B11" s="76">
        <v>14112</v>
      </c>
      <c r="C11" s="76" t="s">
        <v>90</v>
      </c>
      <c r="D11" s="76">
        <v>3136</v>
      </c>
    </row>
    <row r="12" spans="1:4" x14ac:dyDescent="0.15">
      <c r="A12" s="76" t="s">
        <v>90</v>
      </c>
      <c r="B12" s="76">
        <v>4704</v>
      </c>
      <c r="C12" s="80" t="s">
        <v>90</v>
      </c>
      <c r="D12" s="80">
        <v>4704</v>
      </c>
    </row>
    <row r="13" spans="1:4" x14ac:dyDescent="0.15">
      <c r="A13" s="76" t="s">
        <v>90</v>
      </c>
      <c r="B13" s="76">
        <v>14112</v>
      </c>
      <c r="C13" s="80" t="s">
        <v>90</v>
      </c>
      <c r="D13" s="80">
        <v>4704</v>
      </c>
    </row>
    <row r="14" spans="1:4" x14ac:dyDescent="0.15">
      <c r="A14" s="76" t="s">
        <v>90</v>
      </c>
      <c r="B14" s="76">
        <v>6272</v>
      </c>
      <c r="C14" s="76" t="s">
        <v>90</v>
      </c>
      <c r="D14" s="76">
        <v>6272</v>
      </c>
    </row>
    <row r="15" spans="1:4" x14ac:dyDescent="0.15">
      <c r="A15" s="76" t="s">
        <v>90</v>
      </c>
      <c r="B15" s="76">
        <v>18816</v>
      </c>
      <c r="C15" s="76" t="s">
        <v>92</v>
      </c>
      <c r="D15" s="76">
        <v>12544</v>
      </c>
    </row>
    <row r="16" spans="1:4" x14ac:dyDescent="0.15">
      <c r="A16" s="81" t="s">
        <v>90</v>
      </c>
      <c r="B16" s="81">
        <v>12544</v>
      </c>
      <c r="C16" s="81" t="s">
        <v>90</v>
      </c>
      <c r="D16" s="81">
        <v>6272</v>
      </c>
    </row>
    <row r="17" spans="1:6" x14ac:dyDescent="0.15">
      <c r="A17" s="81" t="s">
        <v>90</v>
      </c>
      <c r="B17" s="81">
        <v>12544</v>
      </c>
      <c r="C17" s="81" t="s">
        <v>90</v>
      </c>
      <c r="D17" s="81">
        <v>6272</v>
      </c>
    </row>
    <row r="18" spans="1:6" ht="15" thickBot="1" x14ac:dyDescent="0.2">
      <c r="A18" s="72"/>
      <c r="B18" s="82"/>
      <c r="C18" s="76" t="s">
        <v>94</v>
      </c>
      <c r="D18" s="76">
        <v>1</v>
      </c>
    </row>
    <row r="19" spans="1:6" x14ac:dyDescent="0.15">
      <c r="B19" s="67">
        <f>+SUM(B3:B18)</f>
        <v>1954593</v>
      </c>
      <c r="D19" s="67">
        <f>+SUM(D3:D18)</f>
        <v>301057</v>
      </c>
      <c r="F19" s="67">
        <f>+B19/(B19+D19)</f>
        <v>0.8665320417617981</v>
      </c>
    </row>
    <row r="22" spans="1:6" x14ac:dyDescent="0.15">
      <c r="B22" s="67">
        <f>+B19+D19</f>
        <v>2255650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34"/>
  <sheetViews>
    <sheetView topLeftCell="A58" workbookViewId="0">
      <selection activeCell="F156" sqref="F156"/>
    </sheetView>
  </sheetViews>
  <sheetFormatPr baseColWidth="10" defaultColWidth="8.6640625" defaultRowHeight="14" x14ac:dyDescent="0.15"/>
  <cols>
    <col min="1" max="1" width="21.5" style="91" bestFit="1" customWidth="1"/>
    <col min="2" max="2" width="10.5" style="92" bestFit="1" customWidth="1"/>
    <col min="3" max="3" width="17.1640625" style="91" customWidth="1"/>
    <col min="4" max="4" width="17.6640625" style="92" customWidth="1"/>
    <col min="5" max="16384" width="8.6640625" style="88"/>
  </cols>
  <sheetData>
    <row r="1" spans="1:4" x14ac:dyDescent="0.15">
      <c r="A1" s="180" t="s">
        <v>82</v>
      </c>
      <c r="B1" s="181"/>
      <c r="C1" s="180" t="s">
        <v>83</v>
      </c>
      <c r="D1" s="181"/>
    </row>
    <row r="2" spans="1:4" x14ac:dyDescent="0.15">
      <c r="A2" s="89" t="s">
        <v>87</v>
      </c>
      <c r="B2" s="90" t="s">
        <v>88</v>
      </c>
      <c r="C2" s="89" t="s">
        <v>87</v>
      </c>
      <c r="D2" s="90" t="s">
        <v>89</v>
      </c>
    </row>
    <row r="3" spans="1:4" x14ac:dyDescent="0.15">
      <c r="A3" s="91" t="s">
        <v>90</v>
      </c>
      <c r="B3" s="92">
        <v>69431.25</v>
      </c>
      <c r="C3" s="91" t="s">
        <v>91</v>
      </c>
      <c r="D3" s="92">
        <v>18816</v>
      </c>
    </row>
    <row r="4" spans="1:4" x14ac:dyDescent="0.15">
      <c r="A4" s="91" t="s">
        <v>98</v>
      </c>
      <c r="B4" s="92">
        <v>947072</v>
      </c>
      <c r="C4" s="91" t="s">
        <v>92</v>
      </c>
      <c r="D4" s="92">
        <v>25088</v>
      </c>
    </row>
    <row r="5" spans="1:4" x14ac:dyDescent="0.15">
      <c r="A5" s="91" t="s">
        <v>90</v>
      </c>
      <c r="B5" s="92">
        <v>150528</v>
      </c>
      <c r="C5" s="91" t="s">
        <v>90</v>
      </c>
      <c r="D5" s="92">
        <v>50176</v>
      </c>
    </row>
    <row r="6" spans="1:4" x14ac:dyDescent="0.15">
      <c r="A6" s="91" t="s">
        <v>90</v>
      </c>
      <c r="B6" s="92">
        <v>37632</v>
      </c>
      <c r="C6" s="91" t="s">
        <v>98</v>
      </c>
      <c r="D6" s="92">
        <v>37632</v>
      </c>
    </row>
    <row r="7" spans="1:4" x14ac:dyDescent="0.15">
      <c r="A7" s="91" t="s">
        <v>98</v>
      </c>
      <c r="B7" s="92">
        <v>2180096</v>
      </c>
      <c r="C7" s="91" t="s">
        <v>90</v>
      </c>
      <c r="D7" s="92">
        <v>12544</v>
      </c>
    </row>
    <row r="8" spans="1:4" x14ac:dyDescent="0.15">
      <c r="A8" s="91" t="s">
        <v>90</v>
      </c>
      <c r="B8" s="92">
        <v>150528</v>
      </c>
      <c r="C8" s="91" t="s">
        <v>99</v>
      </c>
      <c r="D8" s="92">
        <v>37632</v>
      </c>
    </row>
    <row r="9" spans="1:4" x14ac:dyDescent="0.15">
      <c r="A9" s="91" t="s">
        <v>90</v>
      </c>
      <c r="B9" s="92">
        <v>62720</v>
      </c>
      <c r="C9" s="91" t="s">
        <v>90</v>
      </c>
      <c r="D9" s="92">
        <v>50176</v>
      </c>
    </row>
    <row r="10" spans="1:4" x14ac:dyDescent="0.15">
      <c r="A10" s="91" t="s">
        <v>98</v>
      </c>
      <c r="B10" s="92">
        <v>3638912</v>
      </c>
      <c r="C10" s="91" t="s">
        <v>98</v>
      </c>
      <c r="D10" s="92">
        <v>62720</v>
      </c>
    </row>
    <row r="11" spans="1:4" x14ac:dyDescent="0.15">
      <c r="A11" s="91" t="s">
        <v>90</v>
      </c>
      <c r="B11" s="92">
        <v>150528</v>
      </c>
      <c r="C11" s="91" t="s">
        <v>90</v>
      </c>
      <c r="D11" s="92">
        <v>12544</v>
      </c>
    </row>
    <row r="12" spans="1:4" x14ac:dyDescent="0.15">
      <c r="A12" s="91" t="s">
        <v>90</v>
      </c>
      <c r="B12" s="92">
        <v>87808</v>
      </c>
      <c r="C12" s="91" t="s">
        <v>99</v>
      </c>
      <c r="D12" s="92">
        <v>62720</v>
      </c>
    </row>
    <row r="13" spans="1:4" x14ac:dyDescent="0.15">
      <c r="A13" s="91" t="s">
        <v>98</v>
      </c>
      <c r="B13" s="92">
        <v>5323520</v>
      </c>
      <c r="C13" s="91" t="s">
        <v>90</v>
      </c>
      <c r="D13" s="92">
        <v>50176</v>
      </c>
    </row>
    <row r="14" spans="1:4" x14ac:dyDescent="0.15">
      <c r="A14" s="91" t="s">
        <v>100</v>
      </c>
      <c r="B14" s="92">
        <v>5373696</v>
      </c>
      <c r="C14" s="91" t="s">
        <v>98</v>
      </c>
      <c r="D14" s="92">
        <v>87808</v>
      </c>
    </row>
    <row r="15" spans="1:4" x14ac:dyDescent="0.15">
      <c r="A15" s="91" t="s">
        <v>90</v>
      </c>
      <c r="B15" s="92">
        <v>12544</v>
      </c>
      <c r="C15" s="91" t="s">
        <v>90</v>
      </c>
      <c r="D15" s="92">
        <v>12544</v>
      </c>
    </row>
    <row r="16" spans="1:4" x14ac:dyDescent="0.15">
      <c r="A16" s="91" t="s">
        <v>98</v>
      </c>
      <c r="B16" s="92">
        <v>5489728</v>
      </c>
      <c r="C16" s="91" t="s">
        <v>99</v>
      </c>
      <c r="D16" s="92">
        <v>87808</v>
      </c>
    </row>
    <row r="17" spans="1:4" x14ac:dyDescent="0.15">
      <c r="A17" s="91" t="s">
        <v>90</v>
      </c>
      <c r="B17" s="92">
        <v>37632</v>
      </c>
      <c r="C17" s="91" t="s">
        <v>90</v>
      </c>
      <c r="D17" s="92">
        <v>50176</v>
      </c>
    </row>
    <row r="18" spans="1:4" x14ac:dyDescent="0.15">
      <c r="A18" s="91" t="s">
        <v>90</v>
      </c>
      <c r="B18" s="92">
        <v>18816</v>
      </c>
      <c r="C18" s="91" t="s">
        <v>98</v>
      </c>
      <c r="D18" s="92">
        <v>12544</v>
      </c>
    </row>
    <row r="19" spans="1:4" x14ac:dyDescent="0.15">
      <c r="A19" s="91" t="s">
        <v>98</v>
      </c>
      <c r="B19" s="92">
        <v>5877376</v>
      </c>
      <c r="C19" s="91" t="s">
        <v>90</v>
      </c>
      <c r="D19" s="92">
        <v>3136</v>
      </c>
    </row>
    <row r="20" spans="1:4" x14ac:dyDescent="0.15">
      <c r="A20" s="91" t="s">
        <v>90</v>
      </c>
      <c r="B20" s="92">
        <v>37632</v>
      </c>
      <c r="C20" s="91" t="s">
        <v>100</v>
      </c>
      <c r="D20" s="92">
        <v>12544</v>
      </c>
    </row>
    <row r="21" spans="1:4" x14ac:dyDescent="0.15">
      <c r="A21" s="91" t="s">
        <v>90</v>
      </c>
      <c r="B21" s="92">
        <v>25088</v>
      </c>
      <c r="C21" s="91" t="s">
        <v>90</v>
      </c>
      <c r="D21" s="92">
        <v>12544</v>
      </c>
    </row>
    <row r="22" spans="1:4" x14ac:dyDescent="0.15">
      <c r="A22" s="91" t="s">
        <v>98</v>
      </c>
      <c r="B22" s="92">
        <v>6321472</v>
      </c>
      <c r="C22" s="91" t="s">
        <v>98</v>
      </c>
      <c r="D22" s="92">
        <v>18816</v>
      </c>
    </row>
    <row r="23" spans="1:4" x14ac:dyDescent="0.15">
      <c r="A23" s="91" t="s">
        <v>90</v>
      </c>
      <c r="B23" s="92">
        <v>37632</v>
      </c>
      <c r="C23" s="91" t="s">
        <v>90</v>
      </c>
      <c r="D23" s="92">
        <v>3136</v>
      </c>
    </row>
    <row r="24" spans="1:4" x14ac:dyDescent="0.15">
      <c r="A24" s="91" t="s">
        <v>90</v>
      </c>
      <c r="B24" s="92">
        <v>31360</v>
      </c>
      <c r="C24" s="91" t="s">
        <v>99</v>
      </c>
      <c r="D24" s="92">
        <v>18816</v>
      </c>
    </row>
    <row r="25" spans="1:4" x14ac:dyDescent="0.15">
      <c r="A25" s="91" t="s">
        <v>98</v>
      </c>
      <c r="B25" s="92">
        <v>6822016</v>
      </c>
      <c r="C25" s="91" t="s">
        <v>90</v>
      </c>
      <c r="D25" s="92">
        <v>12544</v>
      </c>
    </row>
    <row r="26" spans="1:4" x14ac:dyDescent="0.15">
      <c r="A26" s="91" t="s">
        <v>90</v>
      </c>
      <c r="B26" s="92">
        <v>37632</v>
      </c>
      <c r="C26" s="91" t="s">
        <v>98</v>
      </c>
      <c r="D26" s="92">
        <v>25088</v>
      </c>
    </row>
    <row r="27" spans="1:4" x14ac:dyDescent="0.15">
      <c r="A27" s="91" t="s">
        <v>90</v>
      </c>
      <c r="B27" s="92">
        <v>37632</v>
      </c>
      <c r="C27" s="91" t="s">
        <v>90</v>
      </c>
      <c r="D27" s="92">
        <v>3136</v>
      </c>
    </row>
    <row r="28" spans="1:4" x14ac:dyDescent="0.15">
      <c r="A28" s="91" t="s">
        <v>98</v>
      </c>
      <c r="B28" s="92">
        <v>7379008</v>
      </c>
      <c r="C28" s="91" t="s">
        <v>99</v>
      </c>
      <c r="D28" s="92">
        <v>25088</v>
      </c>
    </row>
    <row r="29" spans="1:4" x14ac:dyDescent="0.15">
      <c r="A29" s="91" t="s">
        <v>90</v>
      </c>
      <c r="B29" s="92">
        <v>37632</v>
      </c>
      <c r="C29" s="91" t="s">
        <v>90</v>
      </c>
      <c r="D29" s="92">
        <v>12544</v>
      </c>
    </row>
    <row r="30" spans="1:4" x14ac:dyDescent="0.15">
      <c r="A30" s="91" t="s">
        <v>90</v>
      </c>
      <c r="B30" s="92">
        <v>43904</v>
      </c>
      <c r="C30" s="91" t="s">
        <v>98</v>
      </c>
      <c r="D30" s="92">
        <v>31360</v>
      </c>
    </row>
    <row r="31" spans="1:4" x14ac:dyDescent="0.15">
      <c r="A31" s="91" t="s">
        <v>98</v>
      </c>
      <c r="B31" s="92">
        <v>7992448</v>
      </c>
      <c r="C31" s="91" t="s">
        <v>90</v>
      </c>
      <c r="D31" s="92">
        <v>3136</v>
      </c>
    </row>
    <row r="32" spans="1:4" x14ac:dyDescent="0.15">
      <c r="A32" s="91" t="s">
        <v>90</v>
      </c>
      <c r="B32" s="92">
        <v>37632</v>
      </c>
      <c r="C32" s="91" t="s">
        <v>99</v>
      </c>
      <c r="D32" s="92">
        <v>31360</v>
      </c>
    </row>
    <row r="33" spans="1:4" x14ac:dyDescent="0.15">
      <c r="A33" s="91" t="s">
        <v>90</v>
      </c>
      <c r="B33" s="92">
        <v>50176</v>
      </c>
      <c r="C33" s="91" t="s">
        <v>90</v>
      </c>
      <c r="D33" s="92">
        <v>12544</v>
      </c>
    </row>
    <row r="34" spans="1:4" x14ac:dyDescent="0.15">
      <c r="A34" s="91" t="s">
        <v>98</v>
      </c>
      <c r="B34" s="92">
        <v>9016704</v>
      </c>
      <c r="C34" s="91" t="s">
        <v>98</v>
      </c>
      <c r="D34" s="92">
        <v>37632</v>
      </c>
    </row>
    <row r="35" spans="1:4" x14ac:dyDescent="0.15">
      <c r="A35" s="91" t="s">
        <v>90</v>
      </c>
      <c r="B35" s="92">
        <v>9408</v>
      </c>
      <c r="C35" s="91" t="s">
        <v>90</v>
      </c>
      <c r="D35" s="92">
        <v>3136</v>
      </c>
    </row>
    <row r="36" spans="1:4" x14ac:dyDescent="0.15">
      <c r="A36" s="91" t="s">
        <v>90</v>
      </c>
      <c r="B36" s="92">
        <v>7056</v>
      </c>
      <c r="C36" s="91" t="s">
        <v>99</v>
      </c>
      <c r="D36" s="92">
        <v>37632</v>
      </c>
    </row>
    <row r="37" spans="1:4" x14ac:dyDescent="0.15">
      <c r="A37" s="91" t="s">
        <v>98</v>
      </c>
      <c r="B37" s="92">
        <v>9132192</v>
      </c>
      <c r="C37" s="91" t="s">
        <v>90</v>
      </c>
      <c r="D37" s="92">
        <v>12544</v>
      </c>
    </row>
    <row r="38" spans="1:4" x14ac:dyDescent="0.15">
      <c r="A38" s="91" t="s">
        <v>90</v>
      </c>
      <c r="B38" s="92">
        <v>9408</v>
      </c>
      <c r="C38" s="91" t="s">
        <v>98</v>
      </c>
      <c r="D38" s="92">
        <v>43904</v>
      </c>
    </row>
    <row r="39" spans="1:4" x14ac:dyDescent="0.15">
      <c r="A39" s="91" t="s">
        <v>90</v>
      </c>
      <c r="B39" s="92">
        <v>8624</v>
      </c>
      <c r="C39" s="91" t="s">
        <v>90</v>
      </c>
      <c r="D39" s="92">
        <v>3136</v>
      </c>
    </row>
    <row r="40" spans="1:4" x14ac:dyDescent="0.15">
      <c r="A40" s="91" t="s">
        <v>98</v>
      </c>
      <c r="B40" s="92">
        <v>9261792</v>
      </c>
      <c r="C40" s="91" t="s">
        <v>99</v>
      </c>
      <c r="D40" s="92">
        <v>43904</v>
      </c>
    </row>
    <row r="41" spans="1:4" x14ac:dyDescent="0.15">
      <c r="A41" s="91" t="s">
        <v>90</v>
      </c>
      <c r="B41" s="92">
        <v>9408</v>
      </c>
      <c r="C41" s="91" t="s">
        <v>90</v>
      </c>
      <c r="D41" s="92">
        <v>12544</v>
      </c>
    </row>
    <row r="42" spans="1:4" x14ac:dyDescent="0.15">
      <c r="A42" s="91" t="s">
        <v>90</v>
      </c>
      <c r="B42" s="92">
        <v>10192</v>
      </c>
      <c r="C42" s="91" t="s">
        <v>98</v>
      </c>
      <c r="D42" s="92">
        <v>50176</v>
      </c>
    </row>
    <row r="43" spans="1:4" x14ac:dyDescent="0.15">
      <c r="A43" s="91" t="s">
        <v>98</v>
      </c>
      <c r="B43" s="92">
        <v>9405504</v>
      </c>
      <c r="C43" s="91" t="s">
        <v>100</v>
      </c>
      <c r="D43" s="92">
        <v>6272</v>
      </c>
    </row>
    <row r="44" spans="1:4" x14ac:dyDescent="0.15">
      <c r="A44" s="91" t="s">
        <v>90</v>
      </c>
      <c r="B44" s="92">
        <v>9408</v>
      </c>
      <c r="C44" s="91" t="s">
        <v>90</v>
      </c>
      <c r="D44" s="92">
        <v>3136</v>
      </c>
    </row>
    <row r="45" spans="1:4" x14ac:dyDescent="0.15">
      <c r="A45" s="91" t="s">
        <v>90</v>
      </c>
      <c r="B45" s="92">
        <v>11760</v>
      </c>
      <c r="C45" s="91" t="s">
        <v>98</v>
      </c>
      <c r="D45" s="92">
        <v>7056</v>
      </c>
    </row>
    <row r="46" spans="1:4" x14ac:dyDescent="0.15">
      <c r="A46" s="91" t="s">
        <v>98</v>
      </c>
      <c r="B46" s="92">
        <v>9563328</v>
      </c>
      <c r="C46" s="91" t="s">
        <v>90</v>
      </c>
      <c r="D46" s="92">
        <v>784</v>
      </c>
    </row>
    <row r="47" spans="1:4" x14ac:dyDescent="0.15">
      <c r="A47" s="91" t="s">
        <v>90</v>
      </c>
      <c r="B47" s="92">
        <v>9408</v>
      </c>
      <c r="C47" s="91" t="s">
        <v>99</v>
      </c>
      <c r="D47" s="92">
        <v>7056</v>
      </c>
    </row>
    <row r="48" spans="1:4" x14ac:dyDescent="0.15">
      <c r="A48" s="91" t="s">
        <v>90</v>
      </c>
      <c r="B48" s="92">
        <v>13328</v>
      </c>
      <c r="C48" s="91" t="s">
        <v>90</v>
      </c>
      <c r="D48" s="92">
        <v>3136</v>
      </c>
    </row>
    <row r="49" spans="1:4" x14ac:dyDescent="0.15">
      <c r="A49" s="91" t="s">
        <v>98</v>
      </c>
      <c r="B49" s="92">
        <v>9735264</v>
      </c>
      <c r="C49" s="91" t="s">
        <v>98</v>
      </c>
      <c r="D49" s="92">
        <v>8624</v>
      </c>
    </row>
    <row r="50" spans="1:4" x14ac:dyDescent="0.15">
      <c r="A50" s="91" t="s">
        <v>90</v>
      </c>
      <c r="B50" s="92">
        <v>9408</v>
      </c>
      <c r="C50" s="91" t="s">
        <v>90</v>
      </c>
      <c r="D50" s="92">
        <v>784</v>
      </c>
    </row>
    <row r="51" spans="1:4" x14ac:dyDescent="0.15">
      <c r="A51" s="91" t="s">
        <v>90</v>
      </c>
      <c r="B51" s="92">
        <v>14896</v>
      </c>
      <c r="C51" s="91" t="s">
        <v>99</v>
      </c>
      <c r="D51" s="92">
        <v>8624</v>
      </c>
    </row>
    <row r="52" spans="1:4" x14ac:dyDescent="0.15">
      <c r="A52" s="91" t="s">
        <v>98</v>
      </c>
      <c r="B52" s="92">
        <v>9921312</v>
      </c>
      <c r="C52" s="91" t="s">
        <v>90</v>
      </c>
      <c r="D52" s="92">
        <v>3136</v>
      </c>
    </row>
    <row r="53" spans="1:4" x14ac:dyDescent="0.15">
      <c r="A53" s="91" t="s">
        <v>90</v>
      </c>
      <c r="B53" s="92">
        <v>9408</v>
      </c>
      <c r="C53" s="91" t="s">
        <v>98</v>
      </c>
      <c r="D53" s="92">
        <v>10192</v>
      </c>
    </row>
    <row r="54" spans="1:4" x14ac:dyDescent="0.15">
      <c r="A54" s="91" t="s">
        <v>90</v>
      </c>
      <c r="B54" s="92">
        <v>16464</v>
      </c>
      <c r="C54" s="91" t="s">
        <v>90</v>
      </c>
      <c r="D54" s="92">
        <v>784</v>
      </c>
    </row>
    <row r="55" spans="1:4" x14ac:dyDescent="0.15">
      <c r="A55" s="91" t="s">
        <v>98</v>
      </c>
      <c r="B55" s="92">
        <v>10121472</v>
      </c>
      <c r="C55" s="91" t="s">
        <v>99</v>
      </c>
      <c r="D55" s="92">
        <v>10192</v>
      </c>
    </row>
    <row r="56" spans="1:4" x14ac:dyDescent="0.15">
      <c r="A56" s="91" t="s">
        <v>90</v>
      </c>
      <c r="B56" s="92">
        <v>9408</v>
      </c>
      <c r="C56" s="91" t="s">
        <v>90</v>
      </c>
      <c r="D56" s="92">
        <v>3136</v>
      </c>
    </row>
    <row r="57" spans="1:4" x14ac:dyDescent="0.15">
      <c r="A57" s="91" t="s">
        <v>90</v>
      </c>
      <c r="B57" s="92">
        <v>18032</v>
      </c>
      <c r="C57" s="91" t="s">
        <v>98</v>
      </c>
      <c r="D57" s="92">
        <v>11760</v>
      </c>
    </row>
    <row r="58" spans="1:4" x14ac:dyDescent="0.15">
      <c r="A58" s="91" t="s">
        <v>98</v>
      </c>
      <c r="B58" s="92">
        <v>10335744</v>
      </c>
      <c r="C58" s="91" t="s">
        <v>90</v>
      </c>
      <c r="D58" s="92">
        <v>784</v>
      </c>
    </row>
    <row r="59" spans="1:4" x14ac:dyDescent="0.15">
      <c r="A59" s="91" t="s">
        <v>90</v>
      </c>
      <c r="B59" s="92">
        <v>9408</v>
      </c>
      <c r="C59" s="91" t="s">
        <v>99</v>
      </c>
      <c r="D59" s="92">
        <v>11760</v>
      </c>
    </row>
    <row r="60" spans="1:4" x14ac:dyDescent="0.15">
      <c r="A60" s="91" t="s">
        <v>90</v>
      </c>
      <c r="B60" s="92">
        <v>19600</v>
      </c>
      <c r="C60" s="91" t="s">
        <v>90</v>
      </c>
      <c r="D60" s="92">
        <v>3136</v>
      </c>
    </row>
    <row r="61" spans="1:4" x14ac:dyDescent="0.15">
      <c r="A61" s="91" t="s">
        <v>98</v>
      </c>
      <c r="B61" s="92">
        <v>10564128</v>
      </c>
      <c r="C61" s="91" t="s">
        <v>98</v>
      </c>
      <c r="D61" s="92">
        <v>13328</v>
      </c>
    </row>
    <row r="62" spans="1:4" x14ac:dyDescent="0.15">
      <c r="A62" s="91" t="s">
        <v>90</v>
      </c>
      <c r="B62" s="92">
        <v>9408</v>
      </c>
      <c r="C62" s="91" t="s">
        <v>90</v>
      </c>
      <c r="D62" s="92">
        <v>784</v>
      </c>
    </row>
    <row r="63" spans="1:4" x14ac:dyDescent="0.15">
      <c r="A63" s="91" t="s">
        <v>90</v>
      </c>
      <c r="B63" s="92">
        <v>21168</v>
      </c>
      <c r="C63" s="91" t="s">
        <v>99</v>
      </c>
      <c r="D63" s="92">
        <v>13328</v>
      </c>
    </row>
    <row r="64" spans="1:4" x14ac:dyDescent="0.15">
      <c r="A64" s="91" t="s">
        <v>98</v>
      </c>
      <c r="B64" s="92">
        <v>10806624</v>
      </c>
      <c r="C64" s="91" t="s">
        <v>90</v>
      </c>
      <c r="D64" s="92">
        <v>3136</v>
      </c>
    </row>
    <row r="65" spans="1:4" x14ac:dyDescent="0.15">
      <c r="A65" s="91" t="s">
        <v>90</v>
      </c>
      <c r="B65" s="92">
        <v>9408</v>
      </c>
      <c r="C65" s="91" t="s">
        <v>98</v>
      </c>
      <c r="D65" s="92">
        <v>14896</v>
      </c>
    </row>
    <row r="66" spans="1:4" x14ac:dyDescent="0.15">
      <c r="A66" s="91" t="s">
        <v>90</v>
      </c>
      <c r="B66" s="92">
        <v>22736</v>
      </c>
      <c r="C66" s="91" t="s">
        <v>90</v>
      </c>
      <c r="D66" s="92">
        <v>784</v>
      </c>
    </row>
    <row r="67" spans="1:4" x14ac:dyDescent="0.15">
      <c r="A67" s="91" t="s">
        <v>98</v>
      </c>
      <c r="B67" s="92">
        <v>11063232</v>
      </c>
      <c r="C67" s="91" t="s">
        <v>99</v>
      </c>
      <c r="D67" s="92">
        <v>14896</v>
      </c>
    </row>
    <row r="68" spans="1:4" x14ac:dyDescent="0.15">
      <c r="A68" s="91" t="s">
        <v>90</v>
      </c>
      <c r="B68" s="92">
        <v>9408</v>
      </c>
      <c r="C68" s="91" t="s">
        <v>90</v>
      </c>
      <c r="D68" s="92">
        <v>3136</v>
      </c>
    </row>
    <row r="69" spans="1:4" x14ac:dyDescent="0.15">
      <c r="A69" s="91" t="s">
        <v>90</v>
      </c>
      <c r="B69" s="92">
        <v>24304</v>
      </c>
      <c r="C69" s="91" t="s">
        <v>98</v>
      </c>
      <c r="D69" s="92">
        <v>16464</v>
      </c>
    </row>
    <row r="70" spans="1:4" x14ac:dyDescent="0.15">
      <c r="A70" s="91" t="s">
        <v>98</v>
      </c>
      <c r="B70" s="92">
        <v>11333952</v>
      </c>
      <c r="C70" s="91" t="s">
        <v>90</v>
      </c>
      <c r="D70" s="92">
        <v>784</v>
      </c>
    </row>
    <row r="71" spans="1:4" x14ac:dyDescent="0.15">
      <c r="A71" s="91" t="s">
        <v>100</v>
      </c>
      <c r="B71" s="92">
        <v>11346496</v>
      </c>
      <c r="C71" s="91" t="s">
        <v>99</v>
      </c>
      <c r="D71" s="92">
        <v>16464</v>
      </c>
    </row>
    <row r="72" spans="1:4" x14ac:dyDescent="0.15">
      <c r="A72" s="91" t="s">
        <v>90</v>
      </c>
      <c r="B72" s="92">
        <v>3136</v>
      </c>
      <c r="C72" s="91" t="s">
        <v>90</v>
      </c>
      <c r="D72" s="92">
        <v>3136</v>
      </c>
    </row>
    <row r="73" spans="1:4" x14ac:dyDescent="0.15">
      <c r="A73" s="91" t="s">
        <v>98</v>
      </c>
      <c r="B73" s="92">
        <v>11374916</v>
      </c>
      <c r="C73" s="91" t="s">
        <v>98</v>
      </c>
      <c r="D73" s="92">
        <v>18032</v>
      </c>
    </row>
    <row r="74" spans="1:4" x14ac:dyDescent="0.15">
      <c r="A74" s="91" t="s">
        <v>90</v>
      </c>
      <c r="B74" s="92">
        <v>2352</v>
      </c>
      <c r="C74" s="91" t="s">
        <v>90</v>
      </c>
      <c r="D74" s="92">
        <v>784</v>
      </c>
    </row>
    <row r="75" spans="1:4" x14ac:dyDescent="0.15">
      <c r="A75" s="91" t="s">
        <v>90</v>
      </c>
      <c r="B75" s="92">
        <v>3528</v>
      </c>
      <c r="C75" s="91" t="s">
        <v>99</v>
      </c>
      <c r="D75" s="92">
        <v>18032</v>
      </c>
    </row>
    <row r="76" spans="1:4" x14ac:dyDescent="0.15">
      <c r="A76" s="91" t="s">
        <v>98</v>
      </c>
      <c r="B76" s="92">
        <v>11418416</v>
      </c>
      <c r="C76" s="91" t="s">
        <v>90</v>
      </c>
      <c r="D76" s="92">
        <v>3136</v>
      </c>
    </row>
    <row r="77" spans="1:4" x14ac:dyDescent="0.15">
      <c r="A77" s="91" t="s">
        <v>90</v>
      </c>
      <c r="B77" s="92">
        <v>2352</v>
      </c>
      <c r="C77" s="91" t="s">
        <v>98</v>
      </c>
      <c r="D77" s="92">
        <v>19600</v>
      </c>
    </row>
    <row r="78" spans="1:4" x14ac:dyDescent="0.15">
      <c r="A78" s="91" t="s">
        <v>90</v>
      </c>
      <c r="B78" s="92">
        <v>3920</v>
      </c>
      <c r="C78" s="91" t="s">
        <v>90</v>
      </c>
      <c r="D78" s="92">
        <v>784</v>
      </c>
    </row>
    <row r="79" spans="1:4" x14ac:dyDescent="0.15">
      <c r="A79" s="91" t="s">
        <v>98</v>
      </c>
      <c r="B79" s="92">
        <v>11465444</v>
      </c>
      <c r="C79" s="91" t="s">
        <v>99</v>
      </c>
      <c r="D79" s="92">
        <v>19600</v>
      </c>
    </row>
    <row r="80" spans="1:4" x14ac:dyDescent="0.15">
      <c r="A80" s="91" t="s">
        <v>90</v>
      </c>
      <c r="B80" s="92">
        <v>2352</v>
      </c>
      <c r="C80" s="91" t="s">
        <v>90</v>
      </c>
      <c r="D80" s="92">
        <v>3136</v>
      </c>
    </row>
    <row r="81" spans="1:4" x14ac:dyDescent="0.15">
      <c r="A81" s="91" t="s">
        <v>90</v>
      </c>
      <c r="B81" s="92">
        <v>4312</v>
      </c>
      <c r="C81" s="91" t="s">
        <v>98</v>
      </c>
      <c r="D81" s="92">
        <v>21168</v>
      </c>
    </row>
    <row r="82" spans="1:4" x14ac:dyDescent="0.15">
      <c r="A82" s="91" t="s">
        <v>98</v>
      </c>
      <c r="B82" s="92">
        <v>11516000</v>
      </c>
      <c r="C82" s="91" t="s">
        <v>90</v>
      </c>
      <c r="D82" s="92">
        <v>784</v>
      </c>
    </row>
    <row r="83" spans="1:4" x14ac:dyDescent="0.15">
      <c r="A83" s="91" t="s">
        <v>90</v>
      </c>
      <c r="B83" s="92">
        <v>2352</v>
      </c>
      <c r="C83" s="91" t="s">
        <v>99</v>
      </c>
      <c r="D83" s="92">
        <v>21168</v>
      </c>
    </row>
    <row r="84" spans="1:4" x14ac:dyDescent="0.15">
      <c r="A84" s="91" t="s">
        <v>90</v>
      </c>
      <c r="B84" s="92">
        <v>4704</v>
      </c>
      <c r="C84" s="91" t="s">
        <v>90</v>
      </c>
      <c r="D84" s="92">
        <v>3136</v>
      </c>
    </row>
    <row r="85" spans="1:4" x14ac:dyDescent="0.15">
      <c r="A85" s="91" t="s">
        <v>98</v>
      </c>
      <c r="B85" s="92">
        <v>11570084</v>
      </c>
      <c r="C85" s="91" t="s">
        <v>98</v>
      </c>
      <c r="D85" s="92">
        <v>22736</v>
      </c>
    </row>
    <row r="86" spans="1:4" x14ac:dyDescent="0.15">
      <c r="A86" s="91" t="s">
        <v>90</v>
      </c>
      <c r="B86" s="92">
        <v>2352</v>
      </c>
      <c r="C86" s="91" t="s">
        <v>90</v>
      </c>
      <c r="D86" s="92">
        <v>784</v>
      </c>
    </row>
    <row r="87" spans="1:4" x14ac:dyDescent="0.15">
      <c r="A87" s="91" t="s">
        <v>90</v>
      </c>
      <c r="B87" s="92">
        <v>5096</v>
      </c>
      <c r="C87" s="91" t="s">
        <v>99</v>
      </c>
      <c r="D87" s="92">
        <v>22736</v>
      </c>
    </row>
    <row r="88" spans="1:4" x14ac:dyDescent="0.15">
      <c r="A88" s="91" t="s">
        <v>98</v>
      </c>
      <c r="B88" s="92">
        <v>11627696</v>
      </c>
      <c r="C88" s="91" t="s">
        <v>90</v>
      </c>
      <c r="D88" s="92">
        <v>3136</v>
      </c>
    </row>
    <row r="89" spans="1:4" x14ac:dyDescent="0.15">
      <c r="A89" s="91" t="s">
        <v>90</v>
      </c>
      <c r="B89" s="92">
        <v>2352</v>
      </c>
      <c r="C89" s="91" t="s">
        <v>98</v>
      </c>
      <c r="D89" s="92">
        <v>24304</v>
      </c>
    </row>
    <row r="90" spans="1:4" x14ac:dyDescent="0.15">
      <c r="A90" s="91" t="s">
        <v>90</v>
      </c>
      <c r="B90" s="92">
        <v>5488</v>
      </c>
      <c r="C90" s="91" t="s">
        <v>90</v>
      </c>
      <c r="D90" s="92">
        <v>784</v>
      </c>
    </row>
    <row r="91" spans="1:4" x14ac:dyDescent="0.15">
      <c r="A91" s="91" t="s">
        <v>98</v>
      </c>
      <c r="B91" s="92">
        <v>11688836</v>
      </c>
      <c r="C91" s="91" t="s">
        <v>99</v>
      </c>
      <c r="D91" s="92">
        <v>24304</v>
      </c>
    </row>
    <row r="92" spans="1:4" x14ac:dyDescent="0.15">
      <c r="A92" s="91" t="s">
        <v>90</v>
      </c>
      <c r="B92" s="92">
        <v>2352</v>
      </c>
      <c r="C92" s="91" t="s">
        <v>90</v>
      </c>
      <c r="D92" s="92">
        <v>12544</v>
      </c>
    </row>
    <row r="93" spans="1:4" x14ac:dyDescent="0.15">
      <c r="A93" s="91" t="s">
        <v>90</v>
      </c>
      <c r="B93" s="92">
        <v>5880</v>
      </c>
      <c r="C93" s="91" t="s">
        <v>98</v>
      </c>
      <c r="D93" s="92">
        <v>3136</v>
      </c>
    </row>
    <row r="94" spans="1:4" x14ac:dyDescent="0.15">
      <c r="A94" s="91" t="s">
        <v>98</v>
      </c>
      <c r="B94" s="92">
        <v>11753504</v>
      </c>
      <c r="C94" s="91" t="s">
        <v>90</v>
      </c>
      <c r="D94" s="92">
        <v>196</v>
      </c>
    </row>
    <row r="95" spans="1:4" x14ac:dyDescent="0.15">
      <c r="A95" s="91" t="s">
        <v>90</v>
      </c>
      <c r="B95" s="92">
        <v>2352</v>
      </c>
      <c r="C95" s="91" t="s">
        <v>100</v>
      </c>
      <c r="D95" s="92">
        <v>3136</v>
      </c>
    </row>
    <row r="96" spans="1:4" x14ac:dyDescent="0.15">
      <c r="A96" s="91" t="s">
        <v>94</v>
      </c>
      <c r="B96" s="92">
        <v>11771328</v>
      </c>
      <c r="C96" s="91" t="s">
        <v>90</v>
      </c>
      <c r="D96" s="92">
        <v>784</v>
      </c>
    </row>
    <row r="97" spans="2:4" x14ac:dyDescent="0.15">
      <c r="C97" s="91" t="s">
        <v>98</v>
      </c>
      <c r="D97" s="92">
        <v>3528</v>
      </c>
    </row>
    <row r="98" spans="2:4" x14ac:dyDescent="0.15">
      <c r="B98" s="92">
        <f>+SUM(B3:B96)</f>
        <v>304649735.25</v>
      </c>
      <c r="C98" s="91" t="s">
        <v>90</v>
      </c>
      <c r="D98" s="92">
        <v>196</v>
      </c>
    </row>
    <row r="99" spans="2:4" x14ac:dyDescent="0.15">
      <c r="C99" s="91" t="s">
        <v>99</v>
      </c>
      <c r="D99" s="92">
        <v>3528</v>
      </c>
    </row>
    <row r="100" spans="2:4" x14ac:dyDescent="0.15">
      <c r="C100" s="91" t="s">
        <v>90</v>
      </c>
      <c r="D100" s="92">
        <v>784</v>
      </c>
    </row>
    <row r="101" spans="2:4" x14ac:dyDescent="0.15">
      <c r="C101" s="91" t="s">
        <v>98</v>
      </c>
      <c r="D101" s="92">
        <v>3920</v>
      </c>
    </row>
    <row r="102" spans="2:4" x14ac:dyDescent="0.15">
      <c r="C102" s="91" t="s">
        <v>90</v>
      </c>
      <c r="D102" s="92">
        <v>196</v>
      </c>
    </row>
    <row r="103" spans="2:4" x14ac:dyDescent="0.15">
      <c r="C103" s="91" t="s">
        <v>99</v>
      </c>
      <c r="D103" s="92">
        <v>3920</v>
      </c>
    </row>
    <row r="104" spans="2:4" x14ac:dyDescent="0.15">
      <c r="C104" s="91" t="s">
        <v>90</v>
      </c>
      <c r="D104" s="92">
        <v>784</v>
      </c>
    </row>
    <row r="105" spans="2:4" x14ac:dyDescent="0.15">
      <c r="C105" s="91" t="s">
        <v>98</v>
      </c>
      <c r="D105" s="92">
        <v>4312</v>
      </c>
    </row>
    <row r="106" spans="2:4" x14ac:dyDescent="0.15">
      <c r="C106" s="91" t="s">
        <v>90</v>
      </c>
      <c r="D106" s="92">
        <v>196</v>
      </c>
    </row>
    <row r="107" spans="2:4" x14ac:dyDescent="0.15">
      <c r="C107" s="91" t="s">
        <v>99</v>
      </c>
      <c r="D107" s="92">
        <v>4312</v>
      </c>
    </row>
    <row r="108" spans="2:4" x14ac:dyDescent="0.15">
      <c r="C108" s="91" t="s">
        <v>90</v>
      </c>
      <c r="D108" s="92">
        <v>784</v>
      </c>
    </row>
    <row r="109" spans="2:4" x14ac:dyDescent="0.15">
      <c r="C109" s="91" t="s">
        <v>98</v>
      </c>
      <c r="D109" s="92">
        <v>4704</v>
      </c>
    </row>
    <row r="110" spans="2:4" x14ac:dyDescent="0.15">
      <c r="C110" s="91" t="s">
        <v>90</v>
      </c>
      <c r="D110" s="92">
        <v>196</v>
      </c>
    </row>
    <row r="111" spans="2:4" x14ac:dyDescent="0.15">
      <c r="C111" s="91" t="s">
        <v>99</v>
      </c>
      <c r="D111" s="92">
        <v>4704</v>
      </c>
    </row>
    <row r="112" spans="2:4" x14ac:dyDescent="0.15">
      <c r="C112" s="91" t="s">
        <v>90</v>
      </c>
      <c r="D112" s="92">
        <v>784</v>
      </c>
    </row>
    <row r="113" spans="2:4" x14ac:dyDescent="0.15">
      <c r="C113" s="91" t="s">
        <v>98</v>
      </c>
      <c r="D113" s="92">
        <v>5096</v>
      </c>
    </row>
    <row r="114" spans="2:4" x14ac:dyDescent="0.15">
      <c r="C114" s="91" t="s">
        <v>90</v>
      </c>
      <c r="D114" s="92">
        <v>196</v>
      </c>
    </row>
    <row r="115" spans="2:4" x14ac:dyDescent="0.15">
      <c r="C115" s="91" t="s">
        <v>99</v>
      </c>
      <c r="D115" s="92">
        <v>5096</v>
      </c>
    </row>
    <row r="116" spans="2:4" x14ac:dyDescent="0.15">
      <c r="C116" s="91" t="s">
        <v>90</v>
      </c>
      <c r="D116" s="92">
        <v>784</v>
      </c>
    </row>
    <row r="117" spans="2:4" x14ac:dyDescent="0.15">
      <c r="C117" s="91" t="s">
        <v>98</v>
      </c>
      <c r="D117" s="92">
        <v>5488</v>
      </c>
    </row>
    <row r="118" spans="2:4" x14ac:dyDescent="0.15">
      <c r="C118" s="91" t="s">
        <v>90</v>
      </c>
      <c r="D118" s="92">
        <v>196</v>
      </c>
    </row>
    <row r="119" spans="2:4" x14ac:dyDescent="0.15">
      <c r="C119" s="91" t="s">
        <v>99</v>
      </c>
      <c r="D119" s="92">
        <v>5488</v>
      </c>
    </row>
    <row r="120" spans="2:4" x14ac:dyDescent="0.15">
      <c r="C120" s="91" t="s">
        <v>90</v>
      </c>
      <c r="D120" s="92">
        <v>784</v>
      </c>
    </row>
    <row r="121" spans="2:4" x14ac:dyDescent="0.15">
      <c r="C121" s="91" t="s">
        <v>98</v>
      </c>
      <c r="D121" s="92">
        <v>5880</v>
      </c>
    </row>
    <row r="122" spans="2:4" x14ac:dyDescent="0.15">
      <c r="C122" s="91" t="s">
        <v>90</v>
      </c>
      <c r="D122" s="92">
        <v>196</v>
      </c>
    </row>
    <row r="123" spans="2:4" x14ac:dyDescent="0.15">
      <c r="C123" s="91" t="s">
        <v>101</v>
      </c>
      <c r="D123" s="92">
        <v>196</v>
      </c>
    </row>
    <row r="124" spans="2:4" x14ac:dyDescent="0.15">
      <c r="C124" s="91" t="s">
        <v>90</v>
      </c>
      <c r="D124" s="92">
        <v>784</v>
      </c>
    </row>
    <row r="125" spans="2:4" x14ac:dyDescent="0.15">
      <c r="C125" s="91" t="s">
        <v>98</v>
      </c>
      <c r="D125" s="92">
        <v>6272</v>
      </c>
    </row>
    <row r="126" spans="2:4" x14ac:dyDescent="0.15">
      <c r="C126" s="91" t="s">
        <v>93</v>
      </c>
      <c r="D126" s="92">
        <v>1</v>
      </c>
    </row>
    <row r="128" spans="2:4" x14ac:dyDescent="0.15">
      <c r="B128" s="92">
        <v>304649735.25</v>
      </c>
      <c r="D128" s="92">
        <f>+SUM(D3:D126)</f>
        <v>1664237</v>
      </c>
    </row>
    <row r="129" spans="2:7" x14ac:dyDescent="0.15">
      <c r="G129" s="88">
        <f>+B128/(B128+D128)</f>
        <v>0.99456689165115286</v>
      </c>
    </row>
    <row r="134" spans="2:7" x14ac:dyDescent="0.15">
      <c r="B134" s="92">
        <f>+B128+D128</f>
        <v>306313972.25</v>
      </c>
    </row>
  </sheetData>
  <autoFilter ref="D3:E133" xr:uid="{00000000-0009-0000-0000-00000C000000}"/>
  <mergeCells count="2">
    <mergeCell ref="A1:B1"/>
    <mergeCell ref="C1:D1"/>
  </mergeCells>
  <conditionalFormatting sqref="D3:E133">
    <cfRule type="duplicateValues" dxfId="5" priority="1"/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2"/>
  <sheetViews>
    <sheetView workbookViewId="0">
      <selection activeCell="I23" sqref="I23"/>
    </sheetView>
  </sheetViews>
  <sheetFormatPr baseColWidth="10" defaultColWidth="8.6640625" defaultRowHeight="14" x14ac:dyDescent="0.15"/>
  <cols>
    <col min="1" max="1" width="8.6640625" style="67"/>
    <col min="2" max="2" width="10.83203125" style="67" bestFit="1" customWidth="1"/>
    <col min="3" max="3" width="20.6640625" style="67" customWidth="1"/>
    <col min="4" max="4" width="11" style="67" bestFit="1" customWidth="1"/>
    <col min="5" max="16384" width="8.6640625" style="67"/>
  </cols>
  <sheetData>
    <row r="1" spans="1:4" x14ac:dyDescent="0.15">
      <c r="A1" s="182" t="s">
        <v>82</v>
      </c>
      <c r="B1" s="182"/>
      <c r="C1" s="182" t="s">
        <v>83</v>
      </c>
      <c r="D1" s="182"/>
    </row>
    <row r="2" spans="1:4" x14ac:dyDescent="0.15">
      <c r="A2" s="83" t="s">
        <v>87</v>
      </c>
      <c r="B2" s="83" t="s">
        <v>88</v>
      </c>
      <c r="C2" s="83" t="s">
        <v>87</v>
      </c>
      <c r="D2" s="83" t="s">
        <v>89</v>
      </c>
    </row>
    <row r="3" spans="1:4" x14ac:dyDescent="0.15">
      <c r="A3" s="67" t="s">
        <v>90</v>
      </c>
      <c r="B3" s="67">
        <v>28476.5625</v>
      </c>
      <c r="C3" s="67" t="s">
        <v>91</v>
      </c>
      <c r="D3" s="67">
        <v>18816</v>
      </c>
    </row>
    <row r="4" spans="1:4" x14ac:dyDescent="0.15">
      <c r="A4" s="67" t="s">
        <v>90</v>
      </c>
      <c r="B4" s="67">
        <v>51076</v>
      </c>
      <c r="C4" s="67" t="s">
        <v>95</v>
      </c>
      <c r="D4" s="67">
        <v>51076</v>
      </c>
    </row>
    <row r="5" spans="1:4" x14ac:dyDescent="0.15">
      <c r="A5" s="67" t="s">
        <v>90</v>
      </c>
      <c r="B5" s="67">
        <v>25088</v>
      </c>
      <c r="C5" s="67" t="s">
        <v>95</v>
      </c>
      <c r="D5" s="67">
        <v>25088</v>
      </c>
    </row>
    <row r="6" spans="1:4" x14ac:dyDescent="0.15">
      <c r="A6" s="67" t="s">
        <v>90</v>
      </c>
      <c r="B6" s="67">
        <v>50176</v>
      </c>
      <c r="C6" s="67" t="s">
        <v>95</v>
      </c>
      <c r="D6" s="67">
        <v>50176</v>
      </c>
    </row>
    <row r="7" spans="1:4" x14ac:dyDescent="0.15">
      <c r="A7" s="67" t="s">
        <v>90</v>
      </c>
      <c r="B7" s="67">
        <v>12544</v>
      </c>
      <c r="C7" s="67" t="s">
        <v>95</v>
      </c>
      <c r="D7" s="67">
        <v>12544</v>
      </c>
    </row>
    <row r="8" spans="1:4" x14ac:dyDescent="0.15">
      <c r="A8" s="67" t="s">
        <v>90</v>
      </c>
      <c r="B8" s="67">
        <v>25088</v>
      </c>
      <c r="C8" s="67" t="s">
        <v>95</v>
      </c>
      <c r="D8" s="67">
        <v>25088</v>
      </c>
    </row>
    <row r="9" spans="1:4" x14ac:dyDescent="0.15">
      <c r="A9" s="67" t="s">
        <v>90</v>
      </c>
      <c r="B9" s="67">
        <v>6272</v>
      </c>
      <c r="C9" s="67" t="s">
        <v>95</v>
      </c>
      <c r="D9" s="67">
        <v>6272</v>
      </c>
    </row>
    <row r="10" spans="1:4" x14ac:dyDescent="0.15">
      <c r="A10" s="84" t="s">
        <v>90</v>
      </c>
      <c r="B10" s="84">
        <v>12544</v>
      </c>
      <c r="C10" s="67" t="s">
        <v>95</v>
      </c>
      <c r="D10" s="67">
        <v>12544</v>
      </c>
    </row>
    <row r="11" spans="1:4" x14ac:dyDescent="0.15">
      <c r="A11" s="84" t="s">
        <v>90</v>
      </c>
      <c r="B11" s="84">
        <v>12544</v>
      </c>
      <c r="C11" s="67" t="s">
        <v>95</v>
      </c>
      <c r="D11" s="67">
        <v>12544</v>
      </c>
    </row>
    <row r="12" spans="1:4" x14ac:dyDescent="0.15">
      <c r="A12" s="84" t="s">
        <v>90</v>
      </c>
      <c r="B12" s="84">
        <v>12544</v>
      </c>
      <c r="C12" s="67" t="s">
        <v>95</v>
      </c>
      <c r="D12" s="67">
        <v>12544</v>
      </c>
    </row>
    <row r="13" spans="1:4" x14ac:dyDescent="0.15">
      <c r="A13" s="84" t="s">
        <v>90</v>
      </c>
      <c r="B13" s="84">
        <v>12544</v>
      </c>
      <c r="C13" s="67" t="s">
        <v>95</v>
      </c>
      <c r="D13" s="67">
        <v>12544</v>
      </c>
    </row>
    <row r="14" spans="1:4" x14ac:dyDescent="0.15">
      <c r="A14" s="84" t="s">
        <v>90</v>
      </c>
      <c r="B14" s="84">
        <v>12544</v>
      </c>
      <c r="C14" s="67" t="s">
        <v>95</v>
      </c>
      <c r="D14" s="67">
        <v>12544</v>
      </c>
    </row>
    <row r="15" spans="1:4" x14ac:dyDescent="0.15">
      <c r="A15" s="67" t="s">
        <v>90</v>
      </c>
      <c r="B15" s="67">
        <v>3136</v>
      </c>
      <c r="C15" s="67" t="s">
        <v>95</v>
      </c>
      <c r="D15" s="67">
        <v>3136</v>
      </c>
    </row>
    <row r="16" spans="1:4" x14ac:dyDescent="0.15">
      <c r="A16" s="67" t="s">
        <v>90</v>
      </c>
      <c r="B16" s="67">
        <v>6272</v>
      </c>
      <c r="C16" s="67" t="s">
        <v>95</v>
      </c>
      <c r="D16" s="67">
        <v>6272</v>
      </c>
    </row>
    <row r="17" spans="1:6" x14ac:dyDescent="0.15">
      <c r="A17" s="67" t="s">
        <v>90</v>
      </c>
      <c r="B17" s="67">
        <v>128</v>
      </c>
      <c r="C17" s="67" t="s">
        <v>94</v>
      </c>
      <c r="D17" s="67">
        <v>128</v>
      </c>
    </row>
    <row r="19" spans="1:6" x14ac:dyDescent="0.15">
      <c r="B19" s="67">
        <f t="shared" ref="B19:C19" si="0">+SUM(B3:B17)</f>
        <v>270976.5625</v>
      </c>
      <c r="C19" s="67">
        <f t="shared" si="0"/>
        <v>0</v>
      </c>
      <c r="D19" s="67">
        <f>+SUM(D3:D17)</f>
        <v>261316</v>
      </c>
      <c r="F19" s="67">
        <f>+B19/(B19+D19)</f>
        <v>0.50907448570634495</v>
      </c>
    </row>
    <row r="22" spans="1:6" x14ac:dyDescent="0.15">
      <c r="B22" s="67">
        <f>+B19+D19</f>
        <v>532292.5625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8"/>
  <sheetViews>
    <sheetView workbookViewId="0">
      <selection activeCell="D22" sqref="D22"/>
    </sheetView>
  </sheetViews>
  <sheetFormatPr baseColWidth="10" defaultColWidth="8.6640625" defaultRowHeight="14" x14ac:dyDescent="0.15"/>
  <cols>
    <col min="1" max="1" width="8.6640625" style="67"/>
    <col min="2" max="2" width="10.5" style="67" bestFit="1" customWidth="1"/>
    <col min="3" max="3" width="12.83203125" style="67" bestFit="1" customWidth="1"/>
    <col min="4" max="4" width="11" style="67" bestFit="1" customWidth="1"/>
    <col min="5" max="16384" width="8.6640625" style="67"/>
  </cols>
  <sheetData>
    <row r="1" spans="1:6" x14ac:dyDescent="0.15">
      <c r="A1" s="183" t="s">
        <v>96</v>
      </c>
      <c r="B1" s="184"/>
      <c r="C1" s="183" t="s">
        <v>97</v>
      </c>
      <c r="D1" s="184"/>
    </row>
    <row r="2" spans="1:6" x14ac:dyDescent="0.15">
      <c r="A2" s="74" t="s">
        <v>87</v>
      </c>
      <c r="B2" s="75" t="s">
        <v>88</v>
      </c>
      <c r="C2" s="74" t="s">
        <v>87</v>
      </c>
      <c r="D2" s="75" t="s">
        <v>89</v>
      </c>
    </row>
    <row r="3" spans="1:6" x14ac:dyDescent="0.15">
      <c r="A3" s="70" t="s">
        <v>90</v>
      </c>
      <c r="B3" s="71">
        <v>56448</v>
      </c>
      <c r="C3" s="70" t="s">
        <v>91</v>
      </c>
      <c r="D3" s="71">
        <v>18816</v>
      </c>
    </row>
    <row r="4" spans="1:6" x14ac:dyDescent="0.15">
      <c r="A4" s="70" t="s">
        <v>92</v>
      </c>
      <c r="B4" s="71">
        <v>804422</v>
      </c>
      <c r="C4" s="70" t="s">
        <v>90</v>
      </c>
      <c r="D4" s="71">
        <v>401408</v>
      </c>
    </row>
    <row r="5" spans="1:6" x14ac:dyDescent="0.15">
      <c r="A5" s="70" t="s">
        <v>90</v>
      </c>
      <c r="B5" s="71">
        <v>602112</v>
      </c>
      <c r="C5" s="70" t="s">
        <v>90</v>
      </c>
      <c r="D5" s="71">
        <v>200704</v>
      </c>
    </row>
    <row r="6" spans="1:6" x14ac:dyDescent="0.15">
      <c r="A6" s="70" t="s">
        <v>90</v>
      </c>
      <c r="B6" s="71">
        <v>150528</v>
      </c>
      <c r="C6" s="70" t="s">
        <v>92</v>
      </c>
      <c r="D6" s="71">
        <v>50176</v>
      </c>
    </row>
    <row r="7" spans="1:6" x14ac:dyDescent="0.15">
      <c r="A7" s="70" t="s">
        <v>90</v>
      </c>
      <c r="B7" s="71">
        <v>301056</v>
      </c>
      <c r="C7" s="70" t="s">
        <v>90</v>
      </c>
      <c r="D7" s="71">
        <v>100352</v>
      </c>
    </row>
    <row r="8" spans="1:6" x14ac:dyDescent="0.15">
      <c r="A8" s="70" t="s">
        <v>90</v>
      </c>
      <c r="B8" s="71">
        <v>75264</v>
      </c>
      <c r="C8" s="70" t="s">
        <v>92</v>
      </c>
      <c r="D8" s="71">
        <v>25088</v>
      </c>
    </row>
    <row r="9" spans="1:6" x14ac:dyDescent="0.15">
      <c r="A9" s="70" t="s">
        <v>90</v>
      </c>
      <c r="B9" s="71">
        <v>150528</v>
      </c>
      <c r="C9" s="70" t="s">
        <v>90</v>
      </c>
      <c r="D9" s="71">
        <v>50176</v>
      </c>
    </row>
    <row r="10" spans="1:6" x14ac:dyDescent="0.15">
      <c r="A10" s="85" t="s">
        <v>90</v>
      </c>
      <c r="B10" s="86">
        <v>37632</v>
      </c>
      <c r="C10" s="70" t="s">
        <v>92</v>
      </c>
      <c r="D10" s="71">
        <v>12544</v>
      </c>
    </row>
    <row r="11" spans="1:6" x14ac:dyDescent="0.15">
      <c r="A11" s="85" t="s">
        <v>90</v>
      </c>
      <c r="B11" s="86">
        <v>37632</v>
      </c>
      <c r="C11" s="70" t="s">
        <v>90</v>
      </c>
      <c r="D11" s="71">
        <v>12544</v>
      </c>
    </row>
    <row r="12" spans="1:6" x14ac:dyDescent="0.15">
      <c r="A12" s="70" t="s">
        <v>93</v>
      </c>
      <c r="B12" s="71">
        <v>3136</v>
      </c>
      <c r="C12" s="70" t="s">
        <v>92</v>
      </c>
      <c r="D12" s="71">
        <v>3136</v>
      </c>
    </row>
    <row r="13" spans="1:6" ht="15" thickBot="1" x14ac:dyDescent="0.2">
      <c r="A13" s="72" t="s">
        <v>93</v>
      </c>
      <c r="B13" s="73">
        <v>512</v>
      </c>
      <c r="C13" s="72" t="s">
        <v>93</v>
      </c>
      <c r="D13" s="73">
        <v>512</v>
      </c>
    </row>
    <row r="15" spans="1:6" x14ac:dyDescent="0.15">
      <c r="B15" s="67">
        <f t="shared" ref="B15:C15" si="0">+SUM(B3:B13)</f>
        <v>2219270</v>
      </c>
      <c r="C15" s="67">
        <f t="shared" si="0"/>
        <v>0</v>
      </c>
      <c r="D15" s="67">
        <f>+SUM(D3:D13)</f>
        <v>875456</v>
      </c>
      <c r="F15" s="67">
        <f>+B15/(B15+D15)</f>
        <v>0.7171135667584142</v>
      </c>
    </row>
    <row r="18" spans="2:2" x14ac:dyDescent="0.15">
      <c r="B18" s="67">
        <f>+B15+D15</f>
        <v>3094726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3"/>
  <sheetViews>
    <sheetView workbookViewId="0">
      <selection activeCell="D17" sqref="D17"/>
    </sheetView>
  </sheetViews>
  <sheetFormatPr baseColWidth="10" defaultColWidth="8.6640625" defaultRowHeight="14" x14ac:dyDescent="0.15"/>
  <cols>
    <col min="1" max="1" width="13.6640625" style="122" bestFit="1" customWidth="1"/>
    <col min="2" max="2" width="11.1640625" style="122" bestFit="1" customWidth="1"/>
    <col min="3" max="16384" width="8.6640625" style="122"/>
  </cols>
  <sheetData>
    <row r="1" spans="1:3" x14ac:dyDescent="0.15">
      <c r="A1" s="123" t="s">
        <v>87</v>
      </c>
      <c r="B1" s="123" t="s">
        <v>89</v>
      </c>
    </row>
    <row r="2" spans="1:3" x14ac:dyDescent="0.15">
      <c r="A2" s="122" t="s">
        <v>91</v>
      </c>
      <c r="B2" s="122">
        <v>9661.6875</v>
      </c>
    </row>
    <row r="3" spans="1:3" x14ac:dyDescent="0.15">
      <c r="A3" s="122" t="s">
        <v>92</v>
      </c>
      <c r="B3" s="122">
        <v>4374</v>
      </c>
    </row>
    <row r="4" spans="1:3" x14ac:dyDescent="0.15">
      <c r="A4" s="122" t="s">
        <v>92</v>
      </c>
      <c r="B4" s="122">
        <v>2704</v>
      </c>
    </row>
    <row r="5" spans="1:3" x14ac:dyDescent="0.15">
      <c r="A5" s="122" t="s">
        <v>90</v>
      </c>
      <c r="B5" s="122">
        <v>4056</v>
      </c>
    </row>
    <row r="6" spans="1:3" x14ac:dyDescent="0.15">
      <c r="A6" s="122" t="s">
        <v>92</v>
      </c>
      <c r="B6" s="122">
        <v>576</v>
      </c>
    </row>
    <row r="7" spans="1:3" x14ac:dyDescent="0.15">
      <c r="A7" s="122" t="s">
        <v>93</v>
      </c>
      <c r="B7" s="122">
        <v>256</v>
      </c>
    </row>
    <row r="8" spans="1:3" x14ac:dyDescent="0.15">
      <c r="A8" s="122" t="s">
        <v>144</v>
      </c>
      <c r="B8" s="126">
        <f>+SUM(B2:B7)</f>
        <v>21627.6875</v>
      </c>
      <c r="C8" s="122" t="s">
        <v>143</v>
      </c>
    </row>
    <row r="10" spans="1:3" x14ac:dyDescent="0.15">
      <c r="A10" s="122" t="s">
        <v>139</v>
      </c>
    </row>
    <row r="11" spans="1:3" ht="15" thickBot="1" x14ac:dyDescent="0.2">
      <c r="A11" s="122" t="s">
        <v>138</v>
      </c>
    </row>
    <row r="12" spans="1:3" ht="15" thickBot="1" x14ac:dyDescent="0.2">
      <c r="A12" s="173" t="s">
        <v>82</v>
      </c>
      <c r="B12" s="174"/>
    </row>
    <row r="13" spans="1:3" ht="15" thickBot="1" x14ac:dyDescent="0.2">
      <c r="A13" s="68" t="s">
        <v>87</v>
      </c>
      <c r="B13" s="69" t="s">
        <v>88</v>
      </c>
    </row>
    <row r="14" spans="1:3" x14ac:dyDescent="0.15">
      <c r="A14" s="70" t="s">
        <v>90</v>
      </c>
      <c r="B14" s="124">
        <v>53139.28125</v>
      </c>
    </row>
    <row r="15" spans="1:3" x14ac:dyDescent="0.15">
      <c r="A15" s="70" t="s">
        <v>90</v>
      </c>
      <c r="B15" s="124">
        <v>43740</v>
      </c>
    </row>
    <row r="16" spans="1:3" x14ac:dyDescent="0.15">
      <c r="A16" s="70" t="s">
        <v>90</v>
      </c>
      <c r="B16" s="124">
        <v>16224</v>
      </c>
    </row>
    <row r="17" spans="1:2" x14ac:dyDescent="0.15">
      <c r="A17" s="70" t="s">
        <v>90</v>
      </c>
      <c r="B17" s="124">
        <v>8112</v>
      </c>
    </row>
    <row r="18" spans="1:2" x14ac:dyDescent="0.15">
      <c r="A18" s="70" t="s">
        <v>93</v>
      </c>
      <c r="B18" s="124">
        <v>1152</v>
      </c>
    </row>
    <row r="19" spans="1:2" ht="15" thickBot="1" x14ac:dyDescent="0.2">
      <c r="A19" s="72" t="s">
        <v>93</v>
      </c>
      <c r="B19" s="125">
        <v>512</v>
      </c>
    </row>
    <row r="21" spans="1:2" x14ac:dyDescent="0.15">
      <c r="A21" s="122" t="s">
        <v>140</v>
      </c>
    </row>
    <row r="22" spans="1:2" x14ac:dyDescent="0.15">
      <c r="A22" s="122" t="s">
        <v>141</v>
      </c>
    </row>
    <row r="23" spans="1:2" x14ac:dyDescent="0.15">
      <c r="A23" s="122" t="s">
        <v>142</v>
      </c>
    </row>
  </sheetData>
  <mergeCells count="1">
    <mergeCell ref="A12:B1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3"/>
  <sheetViews>
    <sheetView workbookViewId="0">
      <selection activeCell="F18" sqref="F18"/>
    </sheetView>
  </sheetViews>
  <sheetFormatPr baseColWidth="10" defaultColWidth="8.6640625" defaultRowHeight="14" x14ac:dyDescent="0.15"/>
  <cols>
    <col min="1" max="1" width="8.6640625" style="67"/>
    <col min="2" max="2" width="10.5" style="67" bestFit="1" customWidth="1"/>
    <col min="3" max="3" width="12.83203125" style="67" bestFit="1" customWidth="1"/>
    <col min="4" max="4" width="11" style="67" bestFit="1" customWidth="1"/>
    <col min="5" max="16384" width="8.6640625" style="67"/>
  </cols>
  <sheetData>
    <row r="1" spans="1:4" x14ac:dyDescent="0.15">
      <c r="A1" s="178" t="s">
        <v>82</v>
      </c>
      <c r="B1" s="179"/>
      <c r="C1" s="178" t="s">
        <v>83</v>
      </c>
      <c r="D1" s="179"/>
    </row>
    <row r="2" spans="1:4" x14ac:dyDescent="0.15">
      <c r="A2" s="74" t="s">
        <v>87</v>
      </c>
      <c r="B2" s="75" t="s">
        <v>88</v>
      </c>
      <c r="C2" s="74" t="s">
        <v>87</v>
      </c>
      <c r="D2" s="75" t="s">
        <v>89</v>
      </c>
    </row>
    <row r="3" spans="1:4" x14ac:dyDescent="0.15">
      <c r="A3" s="70" t="s">
        <v>90</v>
      </c>
      <c r="B3" s="71">
        <v>65856</v>
      </c>
      <c r="C3" s="70" t="s">
        <v>91</v>
      </c>
      <c r="D3" s="71">
        <v>18816</v>
      </c>
    </row>
    <row r="4" spans="1:4" x14ac:dyDescent="0.15">
      <c r="A4" s="70" t="s">
        <v>90</v>
      </c>
      <c r="B4" s="71">
        <v>87480</v>
      </c>
      <c r="C4" s="70" t="s">
        <v>92</v>
      </c>
      <c r="D4" s="71">
        <v>34992</v>
      </c>
    </row>
    <row r="5" spans="1:4" x14ac:dyDescent="0.15">
      <c r="A5" s="70" t="s">
        <v>90</v>
      </c>
      <c r="B5" s="71">
        <v>16224</v>
      </c>
      <c r="C5" s="70" t="s">
        <v>92</v>
      </c>
      <c r="D5" s="71">
        <v>5408</v>
      </c>
    </row>
    <row r="6" spans="1:4" x14ac:dyDescent="0.15">
      <c r="A6" s="70" t="s">
        <v>90</v>
      </c>
      <c r="B6" s="71">
        <v>24336</v>
      </c>
      <c r="C6" s="70" t="s">
        <v>90</v>
      </c>
      <c r="D6" s="71">
        <v>8112</v>
      </c>
    </row>
    <row r="7" spans="1:4" x14ac:dyDescent="0.15">
      <c r="A7" s="70" t="s">
        <v>93</v>
      </c>
      <c r="B7" s="71">
        <v>1152</v>
      </c>
      <c r="C7" s="70" t="s">
        <v>92</v>
      </c>
      <c r="D7" s="71">
        <v>1152</v>
      </c>
    </row>
    <row r="8" spans="1:4" ht="15" thickBot="1" x14ac:dyDescent="0.2">
      <c r="A8" s="72" t="s">
        <v>93</v>
      </c>
      <c r="B8" s="73">
        <v>512</v>
      </c>
      <c r="C8" s="72" t="s">
        <v>93</v>
      </c>
      <c r="D8" s="73">
        <v>512</v>
      </c>
    </row>
    <row r="10" spans="1:4" x14ac:dyDescent="0.15">
      <c r="B10" s="67">
        <f t="shared" ref="B10" si="0">+SUM(B3:B8)</f>
        <v>195560</v>
      </c>
      <c r="D10" s="67">
        <f>+SUM(D3:D8)</f>
        <v>68992</v>
      </c>
    </row>
    <row r="13" spans="1:4" x14ac:dyDescent="0.15">
      <c r="B13" s="67">
        <f>+B10+D10</f>
        <v>264552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99"/>
  <sheetViews>
    <sheetView topLeftCell="Q29" zoomScale="180" zoomScaleNormal="180" workbookViewId="0">
      <selection activeCell="K40" sqref="K40"/>
    </sheetView>
  </sheetViews>
  <sheetFormatPr baseColWidth="10" defaultColWidth="12.6640625" defaultRowHeight="15.75" customHeight="1" x14ac:dyDescent="0.15"/>
  <cols>
    <col min="2" max="2" width="14" customWidth="1"/>
    <col min="3" max="3" width="20.5" bestFit="1" customWidth="1"/>
    <col min="4" max="4" width="14.83203125" customWidth="1"/>
    <col min="5" max="5" width="15.5" customWidth="1"/>
    <col min="8" max="8" width="13.33203125" customWidth="1"/>
    <col min="9" max="9" width="18.5" customWidth="1"/>
    <col min="11" max="11" width="13.6640625" customWidth="1"/>
  </cols>
  <sheetData>
    <row r="1" spans="1:13" ht="15.7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 t="s">
        <v>1</v>
      </c>
      <c r="J1" s="171" t="s">
        <v>2</v>
      </c>
      <c r="K1" s="172"/>
      <c r="L1" s="172"/>
      <c r="M1" s="1">
        <v>32</v>
      </c>
    </row>
    <row r="2" spans="1:13" ht="15.75" customHeight="1" x14ac:dyDescent="0.2">
      <c r="A2" s="2"/>
      <c r="B2" s="2"/>
      <c r="C2" s="2"/>
      <c r="D2" s="2"/>
      <c r="E2" s="2"/>
      <c r="F2" s="2" t="s">
        <v>3</v>
      </c>
      <c r="G2" s="2"/>
      <c r="H2" s="2"/>
      <c r="I2" s="2"/>
      <c r="J2" s="2" t="s">
        <v>3</v>
      </c>
      <c r="K2" s="2"/>
      <c r="L2" s="2"/>
      <c r="M2" s="2"/>
    </row>
    <row r="3" spans="1:13" ht="15.75" customHeight="1" x14ac:dyDescent="0.2">
      <c r="A3" s="2"/>
      <c r="B3" s="2"/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/>
      <c r="I3" s="2" t="s">
        <v>5</v>
      </c>
      <c r="J3" s="2" t="s">
        <v>7</v>
      </c>
      <c r="K3" s="2"/>
      <c r="L3" s="2"/>
      <c r="M3" s="2"/>
    </row>
    <row r="4" spans="1:13" ht="15.75" customHeight="1" x14ac:dyDescent="0.2">
      <c r="A4" s="1" t="s">
        <v>9</v>
      </c>
      <c r="B4" s="1" t="s">
        <v>10</v>
      </c>
      <c r="C4" s="2" t="s">
        <v>11</v>
      </c>
      <c r="D4" s="3">
        <f>I4/$M$1</f>
        <v>1.9266687500000001E-2</v>
      </c>
      <c r="E4" s="4">
        <f>D4*0.001</f>
        <v>1.9266687500000002E-5</v>
      </c>
      <c r="F4" s="5">
        <f>J4/$M$1</f>
        <v>7.3315312499999997E-5</v>
      </c>
      <c r="G4" s="6">
        <f>F4*0.000000001</f>
        <v>7.3315312500000005E-14</v>
      </c>
      <c r="H4" s="7"/>
      <c r="I4" s="7">
        <v>0.61653400000000003</v>
      </c>
      <c r="J4" s="8">
        <v>2.3460899999999999E-3</v>
      </c>
    </row>
    <row r="5" spans="1:13" ht="15.75" customHeight="1" x14ac:dyDescent="0.2">
      <c r="A5" s="1" t="s">
        <v>9</v>
      </c>
      <c r="B5" s="1" t="s">
        <v>12</v>
      </c>
      <c r="C5" s="2" t="s">
        <v>13</v>
      </c>
      <c r="D5" s="3">
        <f t="shared" ref="D5:D6" si="0">I5/$M$1</f>
        <v>3.5548125E-2</v>
      </c>
      <c r="E5" s="4">
        <f t="shared" ref="E5:E6" si="1">D5*0.001</f>
        <v>3.5548125000000001E-5</v>
      </c>
      <c r="F5" s="5">
        <f t="shared" ref="F5:F7" si="2">J5/$M$1</f>
        <v>1.158971875E-4</v>
      </c>
      <c r="G5" s="6">
        <f t="shared" ref="G5:G7" si="3">F5*0.000000001</f>
        <v>1.1589718750000001E-13</v>
      </c>
      <c r="H5" s="2"/>
      <c r="I5" s="2">
        <v>1.13754</v>
      </c>
      <c r="J5" s="8">
        <v>3.70871E-3</v>
      </c>
    </row>
    <row r="6" spans="1:13" ht="15.75" customHeight="1" x14ac:dyDescent="0.2">
      <c r="A6" s="1" t="s">
        <v>9</v>
      </c>
      <c r="B6" s="1" t="s">
        <v>14</v>
      </c>
      <c r="C6" s="2" t="s">
        <v>15</v>
      </c>
      <c r="D6" s="3">
        <f t="shared" si="0"/>
        <v>6.7205312500000003E-2</v>
      </c>
      <c r="E6" s="4">
        <f t="shared" si="1"/>
        <v>6.7205312500000003E-5</v>
      </c>
      <c r="F6" s="5">
        <f t="shared" si="2"/>
        <v>1.565746875E-4</v>
      </c>
      <c r="G6" s="6">
        <f t="shared" si="3"/>
        <v>1.5657468750000001E-13</v>
      </c>
      <c r="H6" s="2"/>
      <c r="I6" s="2">
        <v>2.1505700000000001</v>
      </c>
      <c r="J6" s="8">
        <v>5.01039E-3</v>
      </c>
    </row>
    <row r="7" spans="1:13" ht="15.75" customHeight="1" x14ac:dyDescent="0.2">
      <c r="A7" s="1" t="s">
        <v>9</v>
      </c>
      <c r="B7" s="1" t="s">
        <v>16</v>
      </c>
      <c r="C7" s="2" t="s">
        <v>17</v>
      </c>
      <c r="D7" s="3">
        <f>I7/$M$1</f>
        <v>0.1300603125</v>
      </c>
      <c r="E7" s="4">
        <f>D7*0.001</f>
        <v>1.3006031250000001E-4</v>
      </c>
      <c r="F7" s="5">
        <f t="shared" si="2"/>
        <v>2.0267249999999999E-4</v>
      </c>
      <c r="G7" s="6">
        <f t="shared" si="3"/>
        <v>2.0267250000000001E-13</v>
      </c>
      <c r="H7" s="2"/>
      <c r="I7" s="2">
        <v>4.1619299999999999</v>
      </c>
      <c r="J7" s="8">
        <v>6.4855199999999998E-3</v>
      </c>
    </row>
    <row r="8" spans="1:13" ht="15.75" customHeight="1" x14ac:dyDescent="0.2">
      <c r="A8" s="2"/>
      <c r="B8" s="2"/>
      <c r="C8" s="2"/>
      <c r="E8" s="4"/>
      <c r="G8" s="6"/>
    </row>
    <row r="9" spans="1:13" ht="15.75" customHeight="1" x14ac:dyDescent="0.2">
      <c r="A9" s="2"/>
      <c r="B9" s="1" t="s">
        <v>9</v>
      </c>
      <c r="C9" s="2" t="s">
        <v>18</v>
      </c>
      <c r="D9" s="16">
        <v>476.98599999999999</v>
      </c>
      <c r="E9" s="4">
        <f t="shared" ref="E9:E10" si="4">D9*0.001</f>
        <v>0.47698600000000002</v>
      </c>
      <c r="F9" s="9">
        <v>0.105882</v>
      </c>
      <c r="G9" s="6">
        <f t="shared" ref="G9:G10" si="5">F9*0.000000001</f>
        <v>1.05882E-10</v>
      </c>
    </row>
    <row r="10" spans="1:13" ht="15.75" customHeight="1" x14ac:dyDescent="0.2">
      <c r="A10" s="2"/>
      <c r="B10" s="1" t="s">
        <v>19</v>
      </c>
      <c r="C10" s="2" t="s">
        <v>18</v>
      </c>
      <c r="D10" s="10">
        <v>449.72300000000001</v>
      </c>
      <c r="E10" s="4">
        <f t="shared" si="4"/>
        <v>0.44972300000000004</v>
      </c>
      <c r="F10" s="9">
        <v>7.8992000000000007E-2</v>
      </c>
      <c r="G10" s="6">
        <f t="shared" si="5"/>
        <v>7.8992000000000008E-11</v>
      </c>
    </row>
    <row r="11" spans="1:13" ht="13" x14ac:dyDescent="0.15">
      <c r="G11" s="11" t="s">
        <v>20</v>
      </c>
    </row>
    <row r="12" spans="1:13" ht="13" x14ac:dyDescent="0.15">
      <c r="E12" s="11" t="s">
        <v>21</v>
      </c>
    </row>
    <row r="14" spans="1:13" ht="15.75" customHeight="1" x14ac:dyDescent="0.15">
      <c r="A14" s="14" t="s">
        <v>25</v>
      </c>
    </row>
    <row r="15" spans="1:13" ht="15.75" customHeight="1" x14ac:dyDescent="0.15">
      <c r="B15">
        <v>166134.65625</v>
      </c>
      <c r="D15">
        <f>+B15*16</f>
        <v>2658154.5</v>
      </c>
      <c r="F15">
        <v>304686</v>
      </c>
      <c r="G15" s="12">
        <f>+F15*G7</f>
        <v>6.1751473334999999E-8</v>
      </c>
    </row>
    <row r="16" spans="1:13" ht="15.75" customHeight="1" x14ac:dyDescent="0.15">
      <c r="G16" s="12"/>
    </row>
    <row r="17" spans="1:41" ht="15.75" customHeight="1" x14ac:dyDescent="0.15">
      <c r="B17" s="12">
        <f>+B15*G9</f>
        <v>1.75906696730625E-5</v>
      </c>
    </row>
    <row r="18" spans="1:41" ht="15.75" customHeight="1" x14ac:dyDescent="0.15">
      <c r="B18" s="12">
        <f>+B15*G10</f>
        <v>1.3123308766500001E-5</v>
      </c>
    </row>
    <row r="20" spans="1:41" ht="15.75" customHeight="1" x14ac:dyDescent="0.15">
      <c r="A20" t="s">
        <v>22</v>
      </c>
      <c r="B20">
        <v>1406946</v>
      </c>
      <c r="C20" s="13">
        <f>E9*B20*0.000000001</f>
        <v>6.7109354475600007E-4</v>
      </c>
      <c r="D20">
        <f>(B20+F15)*E7</f>
        <v>222.61539280500003</v>
      </c>
      <c r="E20">
        <f>D20*0.000000001</f>
        <v>2.2261539280500005E-7</v>
      </c>
    </row>
    <row r="21" spans="1:41" ht="15.75" customHeight="1" x14ac:dyDescent="0.15">
      <c r="C21">
        <f>B20*E10*0.000000001</f>
        <v>6.3273597595800012E-4</v>
      </c>
    </row>
    <row r="22" spans="1:41" ht="15.75" customHeight="1" x14ac:dyDescent="0.15">
      <c r="B22" s="14" t="s">
        <v>23</v>
      </c>
      <c r="C22" s="12">
        <f>+C21+B18</f>
        <v>6.4585928472450009E-4</v>
      </c>
      <c r="D22" s="12">
        <f>C22+G15+E20</f>
        <v>6.4614365159064012E-4</v>
      </c>
    </row>
    <row r="23" spans="1:41" ht="15.75" customHeight="1" x14ac:dyDescent="0.15">
      <c r="B23" s="14" t="s">
        <v>24</v>
      </c>
      <c r="C23" s="13">
        <f>C20+B17</f>
        <v>6.8868421442906257E-4</v>
      </c>
      <c r="F23" s="13">
        <f>C23/D22</f>
        <v>1.0658376240851373</v>
      </c>
      <c r="G23" s="15">
        <f>+C23/C22</f>
        <v>1.0663069041777886</v>
      </c>
      <c r="H23" s="24">
        <f>G7/G4</f>
        <v>2.76439522780456</v>
      </c>
    </row>
    <row r="25" spans="1:41" ht="15.75" customHeight="1" thickBot="1" x14ac:dyDescent="0.2">
      <c r="AC25" s="14" t="s">
        <v>176</v>
      </c>
      <c r="AD25">
        <v>0.89070000000000005</v>
      </c>
      <c r="AJ25" s="14" t="s">
        <v>149</v>
      </c>
      <c r="AK25" s="14" t="s">
        <v>150</v>
      </c>
    </row>
    <row r="26" spans="1:41" ht="15.75" customHeight="1" thickBot="1" x14ac:dyDescent="0.2">
      <c r="A26" s="37"/>
      <c r="B26" s="39" t="s">
        <v>39</v>
      </c>
      <c r="C26" s="38" t="s">
        <v>32</v>
      </c>
      <c r="D26" s="38" t="s">
        <v>33</v>
      </c>
      <c r="E26" s="38" t="s">
        <v>31</v>
      </c>
      <c r="F26" s="38" t="s">
        <v>34</v>
      </c>
      <c r="G26" s="38" t="s">
        <v>36</v>
      </c>
      <c r="H26" s="38" t="s">
        <v>35</v>
      </c>
      <c r="I26" s="38" t="s">
        <v>37</v>
      </c>
      <c r="J26" s="39" t="s">
        <v>40</v>
      </c>
      <c r="K26" s="39" t="s">
        <v>41</v>
      </c>
      <c r="L26" s="39" t="s">
        <v>42</v>
      </c>
      <c r="M26" s="39" t="s">
        <v>23</v>
      </c>
      <c r="N26" s="39" t="s">
        <v>24</v>
      </c>
      <c r="O26" s="39" t="s">
        <v>38</v>
      </c>
      <c r="P26" s="39" t="s">
        <v>43</v>
      </c>
      <c r="Q26" s="40" t="s">
        <v>44</v>
      </c>
    </row>
    <row r="27" spans="1:41" ht="15.75" customHeight="1" thickBot="1" x14ac:dyDescent="0.2">
      <c r="A27" s="17" t="s">
        <v>25</v>
      </c>
      <c r="B27" s="18">
        <v>1406946</v>
      </c>
      <c r="C27" s="33">
        <v>166134.65625</v>
      </c>
      <c r="D27" s="33">
        <f>+C27*16</f>
        <v>2658154.5</v>
      </c>
      <c r="E27" s="33">
        <v>304686</v>
      </c>
      <c r="F27" s="34">
        <f>+E27*$G$7</f>
        <v>6.1751473334999999E-8</v>
      </c>
      <c r="G27" s="35">
        <f>+(B27+E27)*$E$7</f>
        <v>222.61539280500003</v>
      </c>
      <c r="H27" s="33">
        <f>+G27*0.000000001</f>
        <v>2.2261539280500005E-7</v>
      </c>
      <c r="I27" s="34">
        <f>+C27*$G$9</f>
        <v>1.75906696730625E-5</v>
      </c>
      <c r="J27" s="34">
        <f>+C27*$G$10</f>
        <v>1.3123308766500001E-5</v>
      </c>
      <c r="K27" s="33">
        <f>+$E$9*B27*0.000000001</f>
        <v>6.7109354475600007E-4</v>
      </c>
      <c r="L27" s="33">
        <f>+B27*$E$10*0.000000001</f>
        <v>6.3273597595800012E-4</v>
      </c>
      <c r="M27" s="36">
        <f>+L27+J27</f>
        <v>6.4585928472450009E-4</v>
      </c>
      <c r="N27" s="36">
        <f>+K27+I27</f>
        <v>6.8868421442906257E-4</v>
      </c>
      <c r="O27" s="34">
        <f>+M27+F27+H27</f>
        <v>6.4614365159064012E-4</v>
      </c>
      <c r="P27" s="41">
        <f>+N27/O27</f>
        <v>1.0658376240851373</v>
      </c>
      <c r="Q27" s="44">
        <f>+N27/M27</f>
        <v>1.0663069041777886</v>
      </c>
      <c r="R27" t="s">
        <v>126</v>
      </c>
      <c r="V27" s="127"/>
      <c r="W27" s="127">
        <v>0.59</v>
      </c>
      <c r="X27" s="127">
        <v>0.57999999999999996</v>
      </c>
      <c r="Y27" s="127">
        <v>0.56999999999999995</v>
      </c>
      <c r="Z27" s="127">
        <v>0.56000000000000005</v>
      </c>
      <c r="AA27" s="127">
        <v>0.55000000000000004</v>
      </c>
    </row>
    <row r="28" spans="1:41" ht="15.75" customHeight="1" thickBot="1" x14ac:dyDescent="0.2">
      <c r="A28" s="19" t="s">
        <v>26</v>
      </c>
      <c r="B28" s="20">
        <v>1453369</v>
      </c>
      <c r="C28" s="25">
        <v>2255650</v>
      </c>
      <c r="D28" s="25">
        <f t="shared" ref="D28:D32" si="6">+C28*16</f>
        <v>36090400</v>
      </c>
      <c r="E28" s="25">
        <v>4761</v>
      </c>
      <c r="F28" s="26">
        <f t="shared" ref="F28:F32" si="7">+E28*$G$7</f>
        <v>9.6492377250000002E-10</v>
      </c>
      <c r="G28" s="27">
        <f t="shared" ref="G28:G32" si="8">+(B28+E28)*$E$7</f>
        <v>189.644843465625</v>
      </c>
      <c r="H28" s="25">
        <f t="shared" ref="H28:H32" si="9">+G28*0.000000001</f>
        <v>1.8964484346562501E-7</v>
      </c>
      <c r="I28" s="26">
        <f t="shared" ref="I28:I32" si="10">+C28*$G$9</f>
        <v>2.3883273330000001E-4</v>
      </c>
      <c r="J28" s="26">
        <f t="shared" ref="J28:J32" si="11">+C28*$G$10</f>
        <v>1.7817830480000002E-4</v>
      </c>
      <c r="K28" s="25">
        <f t="shared" ref="K28:K32" si="12">+$E$9*B28*0.000000001</f>
        <v>6.9323666583399998E-4</v>
      </c>
      <c r="L28" s="25">
        <f t="shared" ref="L28:L32" si="13">+B28*$E$10*0.000000001</f>
        <v>6.5361346678700016E-4</v>
      </c>
      <c r="M28" s="28">
        <f t="shared" ref="M28:M32" si="14">+L28+J28</f>
        <v>8.3179177158700015E-4</v>
      </c>
      <c r="N28" s="28">
        <f t="shared" ref="N28:N32" si="15">+K28+I28</f>
        <v>9.3206939913399994E-4</v>
      </c>
      <c r="O28" s="26">
        <f t="shared" ref="O28:O32" si="16">+M28+F28+H28</f>
        <v>8.3198238135423833E-4</v>
      </c>
      <c r="P28" s="42">
        <f t="shared" ref="P28:P32" si="17">+N28/O28</f>
        <v>1.120299443861837</v>
      </c>
      <c r="Q28" s="45">
        <f t="shared" ref="Q28:Q32" si="18">+N28/M28</f>
        <v>1.1205561667864028</v>
      </c>
      <c r="R28" t="s">
        <v>102</v>
      </c>
      <c r="S28" s="103">
        <v>3.75</v>
      </c>
      <c r="T28" s="100" t="s">
        <v>59</v>
      </c>
      <c r="V28" s="127" t="s">
        <v>46</v>
      </c>
      <c r="W28" s="127">
        <v>0.30742639999999999</v>
      </c>
      <c r="X28" s="127">
        <v>0.2999</v>
      </c>
      <c r="Y28" s="127">
        <v>0.29237360000000001</v>
      </c>
      <c r="Z28" s="127">
        <v>0.28484720000000002</v>
      </c>
      <c r="AA28" s="127">
        <v>0.27732079999999998</v>
      </c>
      <c r="AC28" s="14" t="s">
        <v>10</v>
      </c>
      <c r="AD28" s="111" t="s">
        <v>134</v>
      </c>
      <c r="AE28" s="112" t="s">
        <v>135</v>
      </c>
      <c r="AF28" s="112" t="s">
        <v>136</v>
      </c>
      <c r="AG28" s="113" t="s">
        <v>87</v>
      </c>
      <c r="AH28" s="114" t="s">
        <v>137</v>
      </c>
      <c r="AI28" s="115" t="s">
        <v>87</v>
      </c>
      <c r="AJ28" s="116" t="s">
        <v>145</v>
      </c>
      <c r="AK28" s="130" t="s">
        <v>151</v>
      </c>
      <c r="AL28" s="130" t="s">
        <v>152</v>
      </c>
      <c r="AM28" s="130" t="s">
        <v>82</v>
      </c>
      <c r="AN28" s="130" t="s">
        <v>83</v>
      </c>
      <c r="AO28" s="115"/>
    </row>
    <row r="29" spans="1:41" ht="15.75" customHeight="1" x14ac:dyDescent="0.15">
      <c r="A29" s="21" t="s">
        <v>27</v>
      </c>
      <c r="B29" s="20">
        <v>6937351</v>
      </c>
      <c r="C29" s="25">
        <v>306313972.25</v>
      </c>
      <c r="D29" s="25">
        <f t="shared" si="6"/>
        <v>4901023556</v>
      </c>
      <c r="E29" s="25">
        <v>13796</v>
      </c>
      <c r="F29" s="26">
        <f t="shared" si="7"/>
        <v>2.79606981E-9</v>
      </c>
      <c r="G29" s="27">
        <f t="shared" si="8"/>
        <v>904.0683510534376</v>
      </c>
      <c r="H29" s="25">
        <f t="shared" si="9"/>
        <v>9.0406835105343764E-7</v>
      </c>
      <c r="I29" s="26">
        <f t="shared" si="10"/>
        <v>3.2433136009774502E-2</v>
      </c>
      <c r="J29" s="26">
        <f t="shared" si="11"/>
        <v>2.4196353295972001E-2</v>
      </c>
      <c r="K29" s="25">
        <f t="shared" si="12"/>
        <v>3.3090193040860006E-3</v>
      </c>
      <c r="L29" s="25">
        <f t="shared" si="13"/>
        <v>3.1198863037730008E-3</v>
      </c>
      <c r="M29" s="28">
        <f t="shared" si="14"/>
        <v>2.7316239599745003E-2</v>
      </c>
      <c r="N29" s="28">
        <f t="shared" si="15"/>
        <v>3.5742155313860505E-2</v>
      </c>
      <c r="O29" s="26">
        <f t="shared" si="16"/>
        <v>2.7317146464165866E-2</v>
      </c>
      <c r="P29" s="42">
        <f t="shared" si="17"/>
        <v>1.3084146750373951</v>
      </c>
      <c r="Q29" s="45">
        <f t="shared" si="18"/>
        <v>1.3084581127408972</v>
      </c>
      <c r="R29" t="s">
        <v>46</v>
      </c>
      <c r="S29" s="100">
        <v>0.46139439999999998</v>
      </c>
      <c r="T29" s="100" t="s">
        <v>47</v>
      </c>
      <c r="V29" s="127" t="s">
        <v>48</v>
      </c>
      <c r="W29" s="127">
        <v>8.0583366670000003E-2</v>
      </c>
      <c r="X29" s="127">
        <v>7.737133333E-2</v>
      </c>
      <c r="Y29" s="127">
        <v>7.4159299999999997E-2</v>
      </c>
      <c r="Z29" s="127">
        <v>7.0947266667000006E-2</v>
      </c>
      <c r="AA29" s="127">
        <v>6.7735233332999994E-2</v>
      </c>
      <c r="AC29" s="127">
        <v>59</v>
      </c>
      <c r="AD29" s="117"/>
      <c r="AE29" s="117"/>
      <c r="AF29" s="117">
        <v>60</v>
      </c>
      <c r="AG29" s="117" t="s">
        <v>91</v>
      </c>
      <c r="AH29" s="118">
        <v>6184</v>
      </c>
      <c r="AI29" s="115" t="s">
        <v>91</v>
      </c>
      <c r="AJ29" s="128">
        <v>9661.6875</v>
      </c>
      <c r="AK29" s="115">
        <f>$C$42*AH29</f>
        <v>6.1840000000000004E-6</v>
      </c>
      <c r="AL29" s="133">
        <f>_xlfn.SWITCH(AF29,54,$G$37,55,$AA$28,56,$Z$28,57,$Y$28,58,$X$28,59,$W$28,60,$C$37)*AK29</f>
        <v>1.9476681151999998E-6</v>
      </c>
      <c r="AM29" s="115"/>
      <c r="AN29" s="115">
        <f>AJ29*_xlfn.SWITCH(AF29,54,$G$39,55,$AA$30,56,$Z$30,57,$Y$30,58,$X$30,59,$W$30,60,$C$39)*0.000000001</f>
        <v>6.4169353550624998E-7</v>
      </c>
      <c r="AO29" s="115"/>
    </row>
    <row r="30" spans="1:41" ht="15.75" customHeight="1" x14ac:dyDescent="0.15">
      <c r="A30" s="19" t="s">
        <v>28</v>
      </c>
      <c r="B30" s="20">
        <v>1670088</v>
      </c>
      <c r="C30" s="25">
        <v>532292.5625</v>
      </c>
      <c r="D30" s="25">
        <f t="shared" si="6"/>
        <v>8516681</v>
      </c>
      <c r="E30" s="25">
        <v>4534</v>
      </c>
      <c r="F30" s="26">
        <f t="shared" si="7"/>
        <v>9.1891711500000004E-10</v>
      </c>
      <c r="G30" s="27">
        <f t="shared" si="8"/>
        <v>217.80186063937501</v>
      </c>
      <c r="H30" s="25">
        <f t="shared" si="9"/>
        <v>2.1780186063937501E-7</v>
      </c>
      <c r="I30" s="26">
        <f t="shared" si="10"/>
        <v>5.6360201102625E-5</v>
      </c>
      <c r="J30" s="26">
        <f t="shared" si="11"/>
        <v>4.2046854097000004E-5</v>
      </c>
      <c r="K30" s="25">
        <f t="shared" si="12"/>
        <v>7.9660859476800012E-4</v>
      </c>
      <c r="L30" s="25">
        <f t="shared" si="13"/>
        <v>7.510769856240001E-4</v>
      </c>
      <c r="M30" s="28">
        <f t="shared" si="14"/>
        <v>7.9312383972100016E-4</v>
      </c>
      <c r="N30" s="28">
        <f t="shared" si="15"/>
        <v>8.5296879587062511E-4</v>
      </c>
      <c r="O30" s="26">
        <f t="shared" si="16"/>
        <v>7.9334256049875455E-4</v>
      </c>
      <c r="P30" s="42">
        <f t="shared" si="17"/>
        <v>1.0751582460600437</v>
      </c>
      <c r="Q30" s="45">
        <f t="shared" si="18"/>
        <v>1.0754547438274922</v>
      </c>
      <c r="R30" t="s">
        <v>48</v>
      </c>
      <c r="S30" s="100">
        <v>0.161075</v>
      </c>
      <c r="T30" s="100" t="s">
        <v>107</v>
      </c>
      <c r="V30" s="127" t="s">
        <v>49</v>
      </c>
      <c r="W30" s="127">
        <v>6.3350733330000006E-2</v>
      </c>
      <c r="X30" s="127">
        <v>6.0285166666700002E-2</v>
      </c>
      <c r="Y30" s="127">
        <v>5.7219600000000002E-2</v>
      </c>
      <c r="Z30" s="127">
        <v>5.4154033329999997E-2</v>
      </c>
      <c r="AA30" s="127">
        <v>5.1088466667000003E-2</v>
      </c>
      <c r="AC30" s="119">
        <v>55</v>
      </c>
      <c r="AD30" s="119">
        <v>0</v>
      </c>
      <c r="AE30" s="120">
        <v>0.75866669416427612</v>
      </c>
      <c r="AF30" s="119">
        <v>56</v>
      </c>
      <c r="AG30" s="119" t="s">
        <v>90</v>
      </c>
      <c r="AH30" s="121">
        <v>175744</v>
      </c>
      <c r="AI30" s="115" t="s">
        <v>90</v>
      </c>
      <c r="AJ30" s="129">
        <v>50650.3125</v>
      </c>
      <c r="AK30" s="115">
        <f t="shared" ref="AK30:AK40" si="19">$C$42*AH30</f>
        <v>1.75744E-4</v>
      </c>
      <c r="AL30" s="133">
        <f>_xlfn.SWITCH(AF30,54,$G$37,55,$AA$28,56,$Z$28,57,$Y$28,58,$X$28,59,$W$28,60,$C$37)*AK30</f>
        <v>5.0060186316800006E-5</v>
      </c>
      <c r="AM30" s="115">
        <f>AJ30*_xlfn.SWITCH(AF30,54,$G$38,55,$AA$29,56,$Z$29,57,$Y$29,58,$X$29,59,$W$29,60,$C$38)*0.000000001</f>
        <v>3.593501227704384E-6</v>
      </c>
      <c r="AN30" s="115"/>
      <c r="AO30" s="115"/>
    </row>
    <row r="31" spans="1:41" ht="15.75" customHeight="1" x14ac:dyDescent="0.15">
      <c r="A31" s="19" t="s">
        <v>29</v>
      </c>
      <c r="B31" s="20">
        <v>27160746</v>
      </c>
      <c r="C31" s="25">
        <v>3094726</v>
      </c>
      <c r="D31" s="25">
        <f t="shared" si="6"/>
        <v>49515616</v>
      </c>
      <c r="E31" s="25">
        <v>1677364</v>
      </c>
      <c r="F31" s="26">
        <f t="shared" si="7"/>
        <v>3.3995555529E-7</v>
      </c>
      <c r="G31" s="27">
        <f t="shared" si="8"/>
        <v>3750.6935985093751</v>
      </c>
      <c r="H31" s="25">
        <f t="shared" si="9"/>
        <v>3.7506935985093753E-6</v>
      </c>
      <c r="I31" s="26">
        <f t="shared" si="10"/>
        <v>3.2767577833200002E-4</v>
      </c>
      <c r="J31" s="26">
        <f t="shared" si="11"/>
        <v>2.4445859619200003E-4</v>
      </c>
      <c r="K31" s="25">
        <f t="shared" si="12"/>
        <v>1.2955295591556002E-2</v>
      </c>
      <c r="L31" s="25">
        <f t="shared" si="13"/>
        <v>1.2214812173358002E-2</v>
      </c>
      <c r="M31" s="28">
        <f t="shared" si="14"/>
        <v>1.2459270769550002E-2</v>
      </c>
      <c r="N31" s="28">
        <f t="shared" si="15"/>
        <v>1.3282971369888003E-2</v>
      </c>
      <c r="O31" s="26">
        <f t="shared" si="16"/>
        <v>1.24633614187038E-2</v>
      </c>
      <c r="P31" s="42">
        <f t="shared" si="17"/>
        <v>1.0657615488831298</v>
      </c>
      <c r="Q31" s="45">
        <f t="shared" si="18"/>
        <v>1.0661114615432465</v>
      </c>
      <c r="R31" t="s">
        <v>49</v>
      </c>
      <c r="S31" s="100">
        <v>0.14517099999999999</v>
      </c>
      <c r="T31" s="100" t="s">
        <v>107</v>
      </c>
      <c r="AC31" s="119">
        <v>56</v>
      </c>
      <c r="AD31" s="119">
        <v>1</v>
      </c>
      <c r="AE31" s="120">
        <v>0.76133334636688232</v>
      </c>
      <c r="AF31" s="119">
        <v>56</v>
      </c>
      <c r="AG31" s="119" t="s">
        <v>92</v>
      </c>
      <c r="AH31" s="121">
        <v>2800</v>
      </c>
      <c r="AI31" s="115" t="s">
        <v>92</v>
      </c>
      <c r="AJ31" s="128">
        <v>4374</v>
      </c>
      <c r="AK31" s="115">
        <f t="shared" si="19"/>
        <v>2.8000000000000003E-6</v>
      </c>
      <c r="AL31" s="133">
        <f t="shared" ref="AL31:AL40" si="20">_xlfn.SWITCH(AF31,54,$G$37,55,$AA$28,56,$Z$28,57,$Y$28,58,$X$28,59,$W$28,60,$C$37)*AK31</f>
        <v>7.9757216000000012E-7</v>
      </c>
      <c r="AM31" s="115"/>
      <c r="AN31" s="115">
        <f t="shared" ref="AN31:AN39" si="21">AJ31*_xlfn.SWITCH(AF31,54,$G$39,55,$AA$30,56,$Z$30,57,$Y$30,58,$X$30,59,$W$30,60,$C$39)*0.000000001</f>
        <v>2.3686974178542E-7</v>
      </c>
      <c r="AO31" s="115"/>
    </row>
    <row r="32" spans="1:41" ht="15.75" customHeight="1" thickBot="1" x14ac:dyDescent="0.2">
      <c r="A32" s="22" t="s">
        <v>30</v>
      </c>
      <c r="B32" s="23">
        <v>2099986</v>
      </c>
      <c r="C32" s="29">
        <v>3094726</v>
      </c>
      <c r="D32" s="29">
        <f t="shared" si="6"/>
        <v>49515616</v>
      </c>
      <c r="E32" s="29">
        <v>305822</v>
      </c>
      <c r="F32" s="30">
        <f t="shared" si="7"/>
        <v>6.1981709294999998E-8</v>
      </c>
      <c r="G32" s="31">
        <f t="shared" si="8"/>
        <v>312.90014029500003</v>
      </c>
      <c r="H32" s="29">
        <f t="shared" si="9"/>
        <v>3.1290014029500006E-7</v>
      </c>
      <c r="I32" s="30">
        <f t="shared" si="10"/>
        <v>3.2767577833200002E-4</v>
      </c>
      <c r="J32" s="30">
        <f t="shared" si="11"/>
        <v>2.4445859619200003E-4</v>
      </c>
      <c r="K32" s="29">
        <f t="shared" si="12"/>
        <v>1.001663922196E-3</v>
      </c>
      <c r="L32" s="29">
        <f t="shared" si="13"/>
        <v>9.4441200387800019E-4</v>
      </c>
      <c r="M32" s="32">
        <f t="shared" si="14"/>
        <v>1.1888706000700003E-3</v>
      </c>
      <c r="N32" s="32">
        <f t="shared" si="15"/>
        <v>1.3293397005279999E-3</v>
      </c>
      <c r="O32" s="30">
        <f t="shared" si="16"/>
        <v>1.1892454819195902E-3</v>
      </c>
      <c r="P32" s="43">
        <f t="shared" si="17"/>
        <v>1.1178009256611008</v>
      </c>
      <c r="Q32" s="46">
        <f t="shared" si="18"/>
        <v>1.1181533973922215</v>
      </c>
      <c r="X32" s="127">
        <v>0.30742639999999999</v>
      </c>
      <c r="Z32" s="127">
        <v>0.29237360000000001</v>
      </c>
      <c r="AC32" s="119">
        <v>55</v>
      </c>
      <c r="AD32" s="119">
        <v>2</v>
      </c>
      <c r="AE32" s="120">
        <v>0.81066668033599854</v>
      </c>
      <c r="AF32" s="119">
        <v>56</v>
      </c>
      <c r="AG32" s="119" t="s">
        <v>90</v>
      </c>
      <c r="AH32" s="121">
        <v>792052</v>
      </c>
      <c r="AI32" s="115" t="s">
        <v>90</v>
      </c>
      <c r="AJ32" s="129">
        <v>63072</v>
      </c>
      <c r="AK32" s="115">
        <f t="shared" si="19"/>
        <v>7.9205200000000001E-4</v>
      </c>
      <c r="AL32" s="133">
        <f t="shared" si="20"/>
        <v>2.2561379445440002E-4</v>
      </c>
      <c r="AM32" s="115">
        <f t="shared" ref="AM32:AM40" si="22">AJ32*_xlfn.SWITCH(AF32,54,$G$38,55,$AA$29,56,$Z$29,57,$Y$29,58,$X$29,59,$W$29,60,$C$38)*0.000000001</f>
        <v>4.4747860032210248E-6</v>
      </c>
      <c r="AN32" s="115"/>
      <c r="AO32" s="115"/>
    </row>
    <row r="33" spans="1:41" ht="15.75" customHeight="1" x14ac:dyDescent="0.15">
      <c r="X33" s="127">
        <v>8.0583366670000003E-2</v>
      </c>
      <c r="Z33" s="127">
        <v>7.4159299999999997E-2</v>
      </c>
      <c r="AC33" s="119">
        <v>54</v>
      </c>
      <c r="AD33" s="119">
        <v>3</v>
      </c>
      <c r="AE33" s="120">
        <v>0.89466667175292969</v>
      </c>
      <c r="AF33" s="119">
        <v>54</v>
      </c>
      <c r="AG33" s="119" t="s">
        <v>92</v>
      </c>
      <c r="AH33" s="121">
        <v>1731</v>
      </c>
      <c r="AI33" s="115" t="s">
        <v>92</v>
      </c>
      <c r="AJ33" s="128">
        <v>2704</v>
      </c>
      <c r="AK33" s="115">
        <f t="shared" si="19"/>
        <v>1.731E-6</v>
      </c>
      <c r="AL33" s="133">
        <f t="shared" si="20"/>
        <v>4.670141064E-7</v>
      </c>
      <c r="AM33" s="115"/>
      <c r="AN33" s="115">
        <f>AJ33*_xlfn.SWITCH(AF33,54,$G$39,55,$AA$30,56,$Z$30,57,$Y$30,58,$X$30,59,$W$30,60,$C$39)*0.000000001</f>
        <v>1.2985392160000002E-7</v>
      </c>
      <c r="AO33" s="115"/>
    </row>
    <row r="34" spans="1:41" ht="15.75" customHeight="1" x14ac:dyDescent="0.15">
      <c r="X34" s="127">
        <v>6.3350733330000006E-2</v>
      </c>
      <c r="Z34" s="127">
        <v>5.7219600000000002E-2</v>
      </c>
      <c r="AC34" s="119">
        <v>54</v>
      </c>
      <c r="AD34" s="119">
        <v>4</v>
      </c>
      <c r="AE34" s="120">
        <v>0.8933333158493042</v>
      </c>
      <c r="AF34" s="119">
        <v>54</v>
      </c>
      <c r="AG34" s="119" t="s">
        <v>90</v>
      </c>
      <c r="AH34" s="121">
        <v>258100</v>
      </c>
      <c r="AI34" s="115" t="s">
        <v>90</v>
      </c>
      <c r="AJ34" s="129">
        <v>58368</v>
      </c>
      <c r="AK34" s="115">
        <f t="shared" si="19"/>
        <v>2.5810000000000004E-4</v>
      </c>
      <c r="AL34" s="133">
        <f t="shared" si="20"/>
        <v>6.9633934640000013E-5</v>
      </c>
      <c r="AM34" s="115">
        <f t="shared" si="22"/>
        <v>3.7660901376000004E-6</v>
      </c>
      <c r="AN34" s="115"/>
      <c r="AO34" s="115"/>
    </row>
    <row r="35" spans="1:41" ht="15.75" customHeight="1" x14ac:dyDescent="0.15">
      <c r="B35" t="s">
        <v>45</v>
      </c>
      <c r="C35" t="s">
        <v>9</v>
      </c>
      <c r="D35" s="14" t="s">
        <v>103</v>
      </c>
      <c r="F35" t="s">
        <v>45</v>
      </c>
      <c r="G35" t="s">
        <v>19</v>
      </c>
      <c r="H35" s="14" t="s">
        <v>103</v>
      </c>
      <c r="J35" s="14" t="s">
        <v>105</v>
      </c>
      <c r="L35" s="14" t="s">
        <v>9</v>
      </c>
      <c r="N35" t="s">
        <v>106</v>
      </c>
      <c r="R35" t="s">
        <v>124</v>
      </c>
      <c r="AC35" s="119">
        <v>56</v>
      </c>
      <c r="AD35" s="119">
        <v>5</v>
      </c>
      <c r="AE35" s="120">
        <v>0.8880000114440918</v>
      </c>
      <c r="AF35" s="119">
        <v>58</v>
      </c>
      <c r="AG35" s="119" t="s">
        <v>90</v>
      </c>
      <c r="AH35" s="121">
        <v>43060</v>
      </c>
      <c r="AI35" s="115" t="s">
        <v>90</v>
      </c>
      <c r="AJ35" s="128">
        <v>4056</v>
      </c>
      <c r="AK35" s="115">
        <f t="shared" si="19"/>
        <v>4.3060000000000004E-5</v>
      </c>
      <c r="AL35" s="133">
        <f t="shared" si="20"/>
        <v>1.2913694000000002E-5</v>
      </c>
      <c r="AM35" s="115"/>
      <c r="AN35" s="115">
        <f t="shared" si="21"/>
        <v>2.445166360001352E-7</v>
      </c>
      <c r="AO35" s="115"/>
    </row>
    <row r="36" spans="1:41" ht="15.75" customHeight="1" x14ac:dyDescent="0.15">
      <c r="B36" t="s">
        <v>102</v>
      </c>
      <c r="C36" s="93">
        <v>3.1</v>
      </c>
      <c r="D36" s="93" t="s">
        <v>59</v>
      </c>
      <c r="F36" s="14" t="s">
        <v>104</v>
      </c>
      <c r="G36">
        <v>2.89</v>
      </c>
      <c r="H36" t="s">
        <v>59</v>
      </c>
      <c r="J36" t="s">
        <v>102</v>
      </c>
      <c r="K36" s="94">
        <v>0.52</v>
      </c>
      <c r="L36" s="94" t="s">
        <v>59</v>
      </c>
      <c r="N36" t="s">
        <v>102</v>
      </c>
      <c r="O36" s="95">
        <v>2.96</v>
      </c>
      <c r="P36" s="95" t="s">
        <v>59</v>
      </c>
      <c r="R36" t="s">
        <v>102</v>
      </c>
      <c r="S36" s="102" t="s">
        <v>125</v>
      </c>
      <c r="T36" s="101" t="s">
        <v>59</v>
      </c>
      <c r="AC36" s="119">
        <v>56</v>
      </c>
      <c r="AD36" s="119">
        <v>6</v>
      </c>
      <c r="AE36" s="120">
        <v>0.88933330774307251</v>
      </c>
      <c r="AF36" s="119">
        <v>58</v>
      </c>
      <c r="AG36" s="119" t="s">
        <v>90</v>
      </c>
      <c r="AH36" s="121">
        <v>29620</v>
      </c>
      <c r="AI36" s="115" t="s">
        <v>90</v>
      </c>
      <c r="AJ36" s="129">
        <v>55296</v>
      </c>
      <c r="AK36" s="115">
        <f t="shared" si="19"/>
        <v>2.9620000000000001E-5</v>
      </c>
      <c r="AL36" s="133">
        <f t="shared" si="20"/>
        <v>8.8830380000000001E-6</v>
      </c>
      <c r="AM36" s="115">
        <f t="shared" si="22"/>
        <v>4.27832524781568E-6</v>
      </c>
      <c r="AN36" s="115"/>
      <c r="AO36" s="115"/>
    </row>
    <row r="37" spans="1:41" ht="15.75" customHeight="1" x14ac:dyDescent="0.15">
      <c r="B37" t="s">
        <v>46</v>
      </c>
      <c r="C37" s="93">
        <v>0.31495279999999998</v>
      </c>
      <c r="D37" t="s">
        <v>47</v>
      </c>
      <c r="F37" t="s">
        <v>46</v>
      </c>
      <c r="G37" s="93">
        <v>0.26979439999999999</v>
      </c>
      <c r="H37" t="s">
        <v>47</v>
      </c>
      <c r="J37" t="s">
        <v>46</v>
      </c>
      <c r="K37" s="94">
        <v>7.7999999999999996E-3</v>
      </c>
      <c r="L37" t="s">
        <v>47</v>
      </c>
      <c r="N37" t="s">
        <v>46</v>
      </c>
      <c r="O37" s="95">
        <v>0.30349359999999997</v>
      </c>
      <c r="P37" s="95" t="s">
        <v>47</v>
      </c>
      <c r="R37" t="s">
        <v>46</v>
      </c>
      <c r="S37" s="101">
        <v>0.28848079999999998</v>
      </c>
      <c r="T37" s="101" t="s">
        <v>47</v>
      </c>
      <c r="AC37" s="119">
        <v>56</v>
      </c>
      <c r="AD37" s="119">
        <v>7</v>
      </c>
      <c r="AE37" s="120">
        <v>0.88933330774307251</v>
      </c>
      <c r="AF37" s="119">
        <v>58</v>
      </c>
      <c r="AG37" s="119" t="s">
        <v>92</v>
      </c>
      <c r="AH37" s="121">
        <v>369</v>
      </c>
      <c r="AI37" s="115" t="s">
        <v>92</v>
      </c>
      <c r="AJ37" s="128">
        <v>576</v>
      </c>
      <c r="AK37" s="115">
        <f t="shared" si="19"/>
        <v>3.6900000000000004E-7</v>
      </c>
      <c r="AL37" s="133">
        <f t="shared" si="20"/>
        <v>1.1066310000000001E-7</v>
      </c>
      <c r="AM37" s="115"/>
      <c r="AN37" s="115">
        <f t="shared" si="21"/>
        <v>3.4724256000019206E-8</v>
      </c>
      <c r="AO37" s="115"/>
    </row>
    <row r="38" spans="1:41" ht="15.75" customHeight="1" x14ac:dyDescent="0.15">
      <c r="B38" t="s">
        <v>48</v>
      </c>
      <c r="C38" s="93">
        <v>8.3795400000000006E-2</v>
      </c>
      <c r="D38" s="14" t="s">
        <v>107</v>
      </c>
      <c r="F38" t="s">
        <v>48</v>
      </c>
      <c r="G38" s="93">
        <v>6.4523200000000003E-2</v>
      </c>
      <c r="H38" s="14" t="s">
        <v>107</v>
      </c>
      <c r="J38" t="s">
        <v>50</v>
      </c>
      <c r="K38" s="94">
        <v>2.5000000000000001E-3</v>
      </c>
      <c r="L38" s="14" t="s">
        <v>107</v>
      </c>
      <c r="N38" t="s">
        <v>48</v>
      </c>
      <c r="O38" s="95">
        <v>7.4424699999999996E-2</v>
      </c>
      <c r="P38" s="95" t="s">
        <v>107</v>
      </c>
      <c r="R38" t="s">
        <v>48</v>
      </c>
      <c r="S38" s="101">
        <v>7.1254200000000004E-2</v>
      </c>
      <c r="T38" s="101" t="s">
        <v>107</v>
      </c>
      <c r="AC38" s="119">
        <v>55</v>
      </c>
      <c r="AD38" s="119">
        <v>8</v>
      </c>
      <c r="AE38" s="120">
        <v>0.88933330774307251</v>
      </c>
      <c r="AF38" s="119">
        <v>56</v>
      </c>
      <c r="AG38" s="119" t="s">
        <v>93</v>
      </c>
      <c r="AH38" s="121">
        <v>64514</v>
      </c>
      <c r="AI38" s="115" t="s">
        <v>93</v>
      </c>
      <c r="AJ38" s="129">
        <v>84934656</v>
      </c>
      <c r="AK38" s="115">
        <f t="shared" si="19"/>
        <v>6.4513999999999999E-5</v>
      </c>
      <c r="AL38" s="133">
        <f t="shared" si="20"/>
        <v>1.8376632260800002E-5</v>
      </c>
      <c r="AM38" s="115">
        <f t="shared" si="22"/>
        <v>6.0258816885019129E-3</v>
      </c>
      <c r="AN38" s="115"/>
      <c r="AO38" s="115"/>
    </row>
    <row r="39" spans="1:41" ht="15.75" customHeight="1" x14ac:dyDescent="0.15">
      <c r="B39" t="s">
        <v>49</v>
      </c>
      <c r="C39" s="93">
        <v>6.6416299999999998E-2</v>
      </c>
      <c r="D39" s="14" t="s">
        <v>107</v>
      </c>
      <c r="F39" t="s">
        <v>49</v>
      </c>
      <c r="G39" s="93">
        <v>4.80229E-2</v>
      </c>
      <c r="H39" s="14" t="s">
        <v>107</v>
      </c>
      <c r="J39" t="s">
        <v>51</v>
      </c>
      <c r="K39" s="94">
        <v>2.7000000000000001E-3</v>
      </c>
      <c r="L39" s="14" t="s">
        <v>107</v>
      </c>
      <c r="N39" t="s">
        <v>49</v>
      </c>
      <c r="O39" s="95">
        <v>5.5861899999999999E-2</v>
      </c>
      <c r="P39" s="95" t="s">
        <v>107</v>
      </c>
      <c r="R39" t="s">
        <v>49</v>
      </c>
      <c r="S39" s="101">
        <v>5.36926E-2</v>
      </c>
      <c r="T39" s="101" t="s">
        <v>107</v>
      </c>
      <c r="AC39" s="119">
        <v>54</v>
      </c>
      <c r="AD39" s="119">
        <v>9</v>
      </c>
      <c r="AE39" s="120">
        <v>0.890666663646698</v>
      </c>
      <c r="AF39" s="119">
        <v>54</v>
      </c>
      <c r="AG39" s="119" t="s">
        <v>93</v>
      </c>
      <c r="AH39" s="121">
        <v>28674</v>
      </c>
      <c r="AI39" s="115" t="s">
        <v>93</v>
      </c>
      <c r="AJ39" s="128">
        <v>256</v>
      </c>
      <c r="AK39" s="115">
        <f t="shared" si="19"/>
        <v>2.8674E-5</v>
      </c>
      <c r="AL39" s="133">
        <f t="shared" si="20"/>
        <v>7.7360846256E-6</v>
      </c>
      <c r="AM39" s="115"/>
      <c r="AN39" s="115">
        <f t="shared" si="21"/>
        <v>1.2293862400000002E-8</v>
      </c>
      <c r="AO39" s="115"/>
    </row>
    <row r="40" spans="1:41" ht="15.75" customHeight="1" x14ac:dyDescent="0.15">
      <c r="AC40" s="119">
        <v>54</v>
      </c>
      <c r="AD40" s="119">
        <v>10</v>
      </c>
      <c r="AE40" s="120">
        <v>0.890666663646698</v>
      </c>
      <c r="AF40" s="119">
        <v>54</v>
      </c>
      <c r="AG40" s="119" t="s">
        <v>93</v>
      </c>
      <c r="AH40" s="121">
        <v>4098</v>
      </c>
      <c r="AI40" s="115" t="s">
        <v>93</v>
      </c>
      <c r="AJ40" s="129">
        <v>1048576</v>
      </c>
      <c r="AK40" s="115">
        <f t="shared" si="19"/>
        <v>4.0980000000000004E-6</v>
      </c>
      <c r="AL40" s="133">
        <f t="shared" si="20"/>
        <v>1.1056174512000001E-6</v>
      </c>
      <c r="AM40" s="115">
        <f t="shared" si="22"/>
        <v>6.7657478963200013E-5</v>
      </c>
      <c r="AN40" s="115"/>
      <c r="AO40" s="115"/>
    </row>
    <row r="41" spans="1:41" ht="15.75" customHeight="1" x14ac:dyDescent="0.15">
      <c r="B41" s="14" t="s">
        <v>57</v>
      </c>
      <c r="C41">
        <v>1</v>
      </c>
      <c r="D41" t="s">
        <v>58</v>
      </c>
      <c r="AD41" s="115"/>
      <c r="AE41" s="115"/>
      <c r="AF41" s="115"/>
      <c r="AG41" s="115"/>
      <c r="AH41" s="115">
        <f>+SUM(AH29:AH40)</f>
        <v>1406946</v>
      </c>
      <c r="AI41" s="115"/>
      <c r="AJ41" s="115"/>
      <c r="AK41" s="130" t="s">
        <v>154</v>
      </c>
      <c r="AL41" s="133">
        <f>SUM(AL29:AL40)</f>
        <v>3.9764589923039996E-4</v>
      </c>
      <c r="AM41" s="115">
        <f>SUM(AM29:AM40)</f>
        <v>6.1096518700814546E-3</v>
      </c>
      <c r="AN41" s="130">
        <f>SUM(AN29:AN40)</f>
        <v>1.2999519532918244E-6</v>
      </c>
      <c r="AO41" s="130"/>
    </row>
    <row r="42" spans="1:41" ht="15.75" customHeight="1" x14ac:dyDescent="0.15">
      <c r="C42">
        <f>C41/1000000000</f>
        <v>1.0000000000000001E-9</v>
      </c>
      <c r="D42" s="14" t="s">
        <v>153</v>
      </c>
      <c r="E42">
        <f>+D46+F46</f>
        <v>86176289.6875</v>
      </c>
      <c r="F42">
        <f>+E42*2</f>
        <v>172352579.375</v>
      </c>
      <c r="N42">
        <f>S46/M46</f>
        <v>1.0692616303377682</v>
      </c>
      <c r="AD42" s="115"/>
      <c r="AE42" s="115"/>
      <c r="AF42" s="115"/>
      <c r="AG42" s="115"/>
      <c r="AH42" s="115"/>
      <c r="AI42" s="115"/>
      <c r="AJ42" s="130" t="s">
        <v>82</v>
      </c>
      <c r="AK42" s="131">
        <f>+(AJ30+AJ32+AJ34+AJ36+AJ38+AJ40)</f>
        <v>86210618.3125</v>
      </c>
      <c r="AL42" s="115"/>
      <c r="AM42" s="115"/>
      <c r="AN42" s="115"/>
      <c r="AO42" s="132"/>
    </row>
    <row r="43" spans="1:41" ht="15.75" customHeight="1" x14ac:dyDescent="0.15">
      <c r="S43" s="14" t="s">
        <v>109</v>
      </c>
      <c r="AD43" s="115"/>
      <c r="AE43" s="115"/>
      <c r="AF43" s="115"/>
      <c r="AG43" s="115"/>
      <c r="AH43" s="115"/>
      <c r="AI43" s="115"/>
      <c r="AJ43" s="130" t="s">
        <v>83</v>
      </c>
      <c r="AK43" s="128">
        <f>+(AJ29+AJ31+AJ33+AJ35+AJ37+AJ39)</f>
        <v>21627.6875</v>
      </c>
      <c r="AL43" s="129"/>
      <c r="AM43" s="132"/>
      <c r="AN43" s="130" t="s">
        <v>155</v>
      </c>
      <c r="AO43" s="133">
        <f>SUM(AL41:AN41)</f>
        <v>6.5085977212651462E-3</v>
      </c>
    </row>
    <row r="44" spans="1:41" ht="15.75" customHeight="1" x14ac:dyDescent="0.15">
      <c r="G44" t="s">
        <v>74</v>
      </c>
      <c r="J44" s="87" t="s">
        <v>66</v>
      </c>
      <c r="L44" s="14" t="s">
        <v>108</v>
      </c>
      <c r="M44" s="87" t="s">
        <v>68</v>
      </c>
      <c r="O44" s="14" t="s">
        <v>108</v>
      </c>
      <c r="P44" s="87" t="s">
        <v>61</v>
      </c>
      <c r="R44" s="14" t="s">
        <v>108</v>
      </c>
      <c r="S44" s="87" t="s">
        <v>68</v>
      </c>
      <c r="U44" s="14" t="s">
        <v>108</v>
      </c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30" t="s">
        <v>156</v>
      </c>
      <c r="AO44" s="115">
        <f>SUM(L61:Q61)</f>
        <v>6.5568986311838641E-3</v>
      </c>
    </row>
    <row r="45" spans="1:41" ht="15.75" customHeight="1" x14ac:dyDescent="0.15">
      <c r="B45" t="s">
        <v>52</v>
      </c>
      <c r="C45" t="s">
        <v>53</v>
      </c>
      <c r="D45" t="s">
        <v>54</v>
      </c>
      <c r="E45" t="s">
        <v>55</v>
      </c>
      <c r="F45" s="14" t="s">
        <v>56</v>
      </c>
      <c r="G45" s="96" t="s">
        <v>72</v>
      </c>
      <c r="H45" s="96" t="s">
        <v>73</v>
      </c>
      <c r="I45" t="s">
        <v>60</v>
      </c>
      <c r="J45" t="s">
        <v>65</v>
      </c>
      <c r="K45" t="s">
        <v>63</v>
      </c>
      <c r="L45" t="s">
        <v>64</v>
      </c>
      <c r="M45" t="s">
        <v>67</v>
      </c>
      <c r="N45" t="s">
        <v>69</v>
      </c>
      <c r="O45" t="s">
        <v>70</v>
      </c>
      <c r="P45" t="s">
        <v>62</v>
      </c>
      <c r="Q45" t="s">
        <v>71</v>
      </c>
      <c r="R45" t="s">
        <v>64</v>
      </c>
      <c r="S45" t="s">
        <v>67</v>
      </c>
      <c r="T45" t="s">
        <v>69</v>
      </c>
      <c r="U45" t="s">
        <v>70</v>
      </c>
      <c r="AD45" s="115"/>
      <c r="AE45" s="115"/>
      <c r="AF45" s="115"/>
      <c r="AG45" s="115"/>
      <c r="AH45" s="115"/>
      <c r="AI45" s="128" t="s">
        <v>146</v>
      </c>
      <c r="AJ45" s="130" t="s">
        <v>83</v>
      </c>
      <c r="AK45" s="131" t="s">
        <v>147</v>
      </c>
      <c r="AL45" s="130" t="s">
        <v>82</v>
      </c>
      <c r="AM45" s="115"/>
      <c r="AN45" s="133"/>
      <c r="AO45" s="115"/>
    </row>
    <row r="46" spans="1:41" ht="15.75" customHeight="1" x14ac:dyDescent="0.15">
      <c r="A46" s="17" t="s">
        <v>25</v>
      </c>
      <c r="B46" s="18">
        <v>1406946</v>
      </c>
      <c r="C46">
        <v>1378418857</v>
      </c>
      <c r="D46" s="87">
        <v>86154662</v>
      </c>
      <c r="E46">
        <v>346043</v>
      </c>
      <c r="F46" s="87">
        <v>21627.6875</v>
      </c>
      <c r="G46" s="50">
        <v>14</v>
      </c>
      <c r="H46" s="50">
        <v>2</v>
      </c>
      <c r="I46">
        <f>B46*$C$42</f>
        <v>1.4069460000000001E-3</v>
      </c>
      <c r="J46">
        <f>I46*$C$37</f>
        <v>4.4312158214879997E-4</v>
      </c>
      <c r="K46">
        <f>D46*$C$38*0.000000001</f>
        <v>7.2193643641548016E-3</v>
      </c>
      <c r="L46">
        <f>F46*$C$39*0.000000001</f>
        <v>1.43643098130625E-6</v>
      </c>
      <c r="M46">
        <f>(I46+SUM(G46:H46)*$C$42)*$G$37</f>
        <v>3.795904686128E-4</v>
      </c>
      <c r="N46">
        <f>D46*$G$38*0.000000001</f>
        <v>5.5589744871583999E-3</v>
      </c>
      <c r="O46">
        <f>F46*$G$39*0.000000001</f>
        <v>1.0386242740437502E-6</v>
      </c>
      <c r="P46">
        <f>(I46+SUM(G46:H46)*$C$42)*$K$37</f>
        <v>1.09743036E-5</v>
      </c>
      <c r="Q46">
        <f>G46*$K$38*0.000000001</f>
        <v>3.5000000000000008E-11</v>
      </c>
      <c r="R46">
        <f>H46*$K$39*0.000000001</f>
        <v>5.4000000000000004E-12</v>
      </c>
      <c r="S46">
        <f>(I46+SUM(G46:H46)*$C$42)*$S$37</f>
        <v>4.058815233296E-4</v>
      </c>
      <c r="T46">
        <f>D46*$S$38*0.000000001</f>
        <v>6.1388815170804007E-3</v>
      </c>
      <c r="U46">
        <f>F46*$S$39*0.000000001</f>
        <v>1.1612467738625001E-6</v>
      </c>
      <c r="AC46" s="108"/>
      <c r="AD46" s="115"/>
      <c r="AE46" s="115"/>
      <c r="AF46" s="115"/>
      <c r="AG46" s="115"/>
      <c r="AH46" s="115"/>
      <c r="AI46" s="130" t="s">
        <v>148</v>
      </c>
      <c r="AJ46" s="115"/>
      <c r="AK46" s="115"/>
      <c r="AL46" s="115"/>
      <c r="AM46" s="115"/>
      <c r="AN46" s="115"/>
      <c r="AO46" s="115"/>
    </row>
    <row r="47" spans="1:41" ht="15.75" customHeight="1" x14ac:dyDescent="0.15">
      <c r="A47" s="19" t="s">
        <v>26</v>
      </c>
      <c r="B47" s="20">
        <v>1453369</v>
      </c>
      <c r="C47">
        <v>3967229</v>
      </c>
      <c r="D47" s="87">
        <v>253081</v>
      </c>
      <c r="E47">
        <v>2408456</v>
      </c>
      <c r="F47" s="87">
        <v>150528.5</v>
      </c>
      <c r="G47" s="50">
        <v>81</v>
      </c>
      <c r="H47" s="50">
        <v>32</v>
      </c>
      <c r="I47">
        <f t="shared" ref="I47:I50" si="23">B47*$C$42</f>
        <v>1.4533690000000001E-3</v>
      </c>
      <c r="J47">
        <f t="shared" ref="J47:J50" si="24">I47*$C$37</f>
        <v>4.5774263598319999E-4</v>
      </c>
      <c r="K47">
        <f t="shared" ref="K47:K55" si="25">D47*$C$38*0.000000001</f>
        <v>2.1207023627400003E-5</v>
      </c>
      <c r="L47">
        <f t="shared" ref="L47:L51" si="26">F47*$C$39*0.000000001</f>
        <v>9.9975460145500012E-6</v>
      </c>
      <c r="M47">
        <f t="shared" ref="M47:M51" si="27">(I47+SUM(G47:H47)*$C$42)*$G$37</f>
        <v>3.9214130410080003E-4</v>
      </c>
      <c r="N47">
        <f t="shared" ref="N47:N51" si="28">D47*$G$38*0.000000001</f>
        <v>1.6329595979200001E-5</v>
      </c>
      <c r="O47">
        <f t="shared" ref="O47:O51" si="29">F47*$G$39*0.000000001</f>
        <v>7.2288151026500005E-6</v>
      </c>
      <c r="P47">
        <f>(I47+SUM(G47:H47)*$C$42)*$K$37</f>
        <v>1.13371596E-5</v>
      </c>
      <c r="Q47">
        <f t="shared" ref="Q47:Q51" si="30">G47*$K$38*0.000000001</f>
        <v>2.0250000000000002E-10</v>
      </c>
      <c r="R47">
        <f t="shared" ref="R47:R51" si="31">H47*$K$39*0.000000001</f>
        <v>8.6400000000000007E-11</v>
      </c>
      <c r="S47">
        <f>(I47+SUM(G47:H47)*$C$42)*$S$37</f>
        <v>4.1930165014559997E-4</v>
      </c>
      <c r="T47">
        <f t="shared" ref="T47:T51" si="32">D47*$S$38*0.000000001</f>
        <v>1.80330841902E-5</v>
      </c>
      <c r="U47">
        <f t="shared" ref="U47:U51" si="33">F47*$S$39*0.000000001</f>
        <v>8.0822665391000002E-6</v>
      </c>
    </row>
    <row r="48" spans="1:41" ht="15.75" customHeight="1" x14ac:dyDescent="0.15">
      <c r="A48" s="21" t="s">
        <v>27</v>
      </c>
      <c r="B48" s="20">
        <v>6937351</v>
      </c>
      <c r="C48">
        <v>34349440</v>
      </c>
      <c r="D48" s="108">
        <v>5571887.9375</v>
      </c>
      <c r="E48">
        <v>13313896</v>
      </c>
      <c r="F48" s="87">
        <v>832118.5</v>
      </c>
      <c r="G48" s="50">
        <v>881</v>
      </c>
      <c r="H48" s="50">
        <v>224</v>
      </c>
      <c r="I48">
        <f t="shared" si="23"/>
        <v>6.9373510000000005E-3</v>
      </c>
      <c r="J48">
        <f t="shared" si="24"/>
        <v>2.1849381220328001E-3</v>
      </c>
      <c r="K48">
        <f t="shared" si="25"/>
        <v>4.6689857847798756E-4</v>
      </c>
      <c r="L48">
        <f t="shared" si="26"/>
        <v>5.5266231931550004E-5</v>
      </c>
      <c r="M48">
        <f t="shared" si="27"/>
        <v>1.8719565734464001E-3</v>
      </c>
      <c r="N48">
        <f t="shared" si="28"/>
        <v>3.5951603976890002E-4</v>
      </c>
      <c r="O48">
        <f t="shared" si="29"/>
        <v>3.9960743513650004E-5</v>
      </c>
      <c r="P48">
        <f t="shared" ref="P48:P51" si="34">(I48+SUM(G48:H48)*$C$42)*$K$37</f>
        <v>5.4119956800000003E-5</v>
      </c>
      <c r="Q48">
        <f t="shared" si="30"/>
        <v>2.2025000000000002E-9</v>
      </c>
      <c r="R48">
        <f t="shared" si="31"/>
        <v>6.0480000000000002E-10</v>
      </c>
      <c r="S48">
        <f t="shared" ref="S48:S50" si="35">(I48+SUM(G48:H48)*$C$42)*$S$37</f>
        <v>2.0016113376448001E-3</v>
      </c>
      <c r="T48">
        <f t="shared" si="32"/>
        <v>3.9702041747621255E-4</v>
      </c>
      <c r="U48">
        <f>F48*$S$39*0.000000001</f>
        <v>4.4678605773099998E-5</v>
      </c>
    </row>
    <row r="49" spans="1:30" ht="15.75" customHeight="1" x14ac:dyDescent="0.15">
      <c r="A49" s="19" t="s">
        <v>28</v>
      </c>
      <c r="B49" s="20">
        <v>1670088</v>
      </c>
      <c r="C49">
        <v>29687712</v>
      </c>
      <c r="D49" s="87">
        <v>1862748</v>
      </c>
      <c r="E49">
        <v>2090528</v>
      </c>
      <c r="F49" s="87">
        <v>130658</v>
      </c>
      <c r="G49" s="50">
        <v>171</v>
      </c>
      <c r="H49" s="50">
        <v>26</v>
      </c>
      <c r="I49">
        <f t="shared" si="23"/>
        <v>1.6700880000000001E-3</v>
      </c>
      <c r="J49">
        <f t="shared" si="24"/>
        <v>5.2599889184639997E-4</v>
      </c>
      <c r="K49">
        <f t="shared" si="25"/>
        <v>1.5608971375920001E-4</v>
      </c>
      <c r="L49">
        <f t="shared" si="26"/>
        <v>8.6778209254E-6</v>
      </c>
      <c r="M49">
        <f t="shared" si="27"/>
        <v>4.5063353940400002E-4</v>
      </c>
      <c r="N49">
        <f t="shared" si="28"/>
        <v>1.2019046175360001E-4</v>
      </c>
      <c r="O49">
        <f t="shared" si="29"/>
        <v>6.2745760682000006E-6</v>
      </c>
      <c r="P49">
        <f t="shared" si="34"/>
        <v>1.3028223E-5</v>
      </c>
      <c r="Q49">
        <f t="shared" si="30"/>
        <v>4.2750000000000002E-10</v>
      </c>
      <c r="R49">
        <f t="shared" si="31"/>
        <v>7.0200000000000001E-11</v>
      </c>
      <c r="S49">
        <f t="shared" si="35"/>
        <v>4.81845153028E-4</v>
      </c>
      <c r="T49">
        <f t="shared" si="32"/>
        <v>1.3272861854160003E-4</v>
      </c>
      <c r="U49">
        <f t="shared" si="33"/>
        <v>7.0153677308E-6</v>
      </c>
    </row>
    <row r="50" spans="1:30" ht="15.75" customHeight="1" x14ac:dyDescent="0.15">
      <c r="A50" s="19" t="s">
        <v>29</v>
      </c>
      <c r="B50" s="20">
        <v>27160746</v>
      </c>
      <c r="C50">
        <v>10108481912</v>
      </c>
      <c r="D50" s="87">
        <v>631780120</v>
      </c>
      <c r="E50">
        <v>4283902</v>
      </c>
      <c r="F50" s="87">
        <v>267743.875</v>
      </c>
      <c r="G50" s="50">
        <v>746</v>
      </c>
      <c r="H50" s="50">
        <v>135</v>
      </c>
      <c r="I50">
        <f t="shared" si="23"/>
        <v>2.7160746000000003E-2</v>
      </c>
      <c r="J50">
        <f t="shared" si="24"/>
        <v>8.5543530027888011E-3</v>
      </c>
      <c r="K50">
        <f t="shared" si="25"/>
        <v>5.2940267867448008E-2</v>
      </c>
      <c r="L50">
        <f t="shared" si="26"/>
        <v>1.7782557525162498E-5</v>
      </c>
      <c r="M50">
        <f t="shared" si="27"/>
        <v>7.328054859488801E-3</v>
      </c>
      <c r="N50">
        <f t="shared" si="28"/>
        <v>4.0764475038784005E-2</v>
      </c>
      <c r="O50">
        <f t="shared" si="29"/>
        <v>1.2857837334737501E-5</v>
      </c>
      <c r="P50">
        <f t="shared" si="34"/>
        <v>2.1186069060000003E-4</v>
      </c>
      <c r="Q50">
        <f t="shared" si="30"/>
        <v>1.8650000000000001E-9</v>
      </c>
      <c r="R50">
        <f t="shared" si="31"/>
        <v>3.6450000000000009E-10</v>
      </c>
      <c r="S50">
        <f t="shared" si="35"/>
        <v>7.8356078862616002E-3</v>
      </c>
      <c r="T50">
        <f t="shared" si="32"/>
        <v>4.5016987026504009E-2</v>
      </c>
      <c r="U50">
        <f t="shared" si="33"/>
        <v>1.4375864782825001E-5</v>
      </c>
      <c r="AD50" s="14"/>
    </row>
    <row r="51" spans="1:30" ht="15.75" customHeight="1" thickBot="1" x14ac:dyDescent="0.2">
      <c r="A51" s="22" t="s">
        <v>30</v>
      </c>
      <c r="B51" s="23">
        <v>2099986</v>
      </c>
      <c r="C51">
        <v>1380066114</v>
      </c>
      <c r="D51" s="87">
        <v>86254903</v>
      </c>
      <c r="E51">
        <v>551936</v>
      </c>
      <c r="F51" s="87">
        <v>34496</v>
      </c>
      <c r="G51" s="50">
        <v>27</v>
      </c>
      <c r="H51" s="50">
        <v>4</v>
      </c>
      <c r="I51">
        <f>B51*$C$42</f>
        <v>2.0999860000000003E-3</v>
      </c>
      <c r="J51">
        <f>I51*$C$37</f>
        <v>6.6139647066080001E-4</v>
      </c>
      <c r="K51">
        <f t="shared" si="25"/>
        <v>7.2277640988462014E-3</v>
      </c>
      <c r="L51">
        <f t="shared" si="26"/>
        <v>2.2910966848E-6</v>
      </c>
      <c r="M51">
        <f t="shared" si="27"/>
        <v>5.6657282650480014E-4</v>
      </c>
      <c r="N51">
        <f t="shared" si="28"/>
        <v>5.5654423572496E-3</v>
      </c>
      <c r="O51">
        <f t="shared" si="29"/>
        <v>1.6565979584E-6</v>
      </c>
      <c r="P51">
        <f t="shared" si="34"/>
        <v>1.6380132600000003E-5</v>
      </c>
      <c r="Q51">
        <f t="shared" si="30"/>
        <v>6.7500000000000012E-11</v>
      </c>
      <c r="R51">
        <f t="shared" si="31"/>
        <v>1.0800000000000001E-11</v>
      </c>
      <c r="S51">
        <f>(I51+SUM(G51:H51)*$C$42)*$S$37</f>
        <v>6.058145841736001E-4</v>
      </c>
      <c r="T51">
        <f t="shared" si="32"/>
        <v>6.1460241093426009E-3</v>
      </c>
      <c r="U51">
        <f t="shared" si="33"/>
        <v>1.8521799296E-6</v>
      </c>
      <c r="AD51" s="14"/>
    </row>
    <row r="52" spans="1:30" ht="15.75" customHeight="1" x14ac:dyDescent="0.15">
      <c r="A52" s="186" t="s">
        <v>179</v>
      </c>
      <c r="B52" s="185">
        <f>PC_Res!E59</f>
        <v>3325776</v>
      </c>
      <c r="C52" s="200">
        <v>2805032768</v>
      </c>
      <c r="D52" s="87">
        <f>+C52/16</f>
        <v>175314548</v>
      </c>
      <c r="E52" s="201">
        <v>2783404</v>
      </c>
      <c r="F52" s="87">
        <f>+E52/16</f>
        <v>173962.75</v>
      </c>
      <c r="G52" s="202">
        <v>70</v>
      </c>
      <c r="H52" s="50">
        <v>20</v>
      </c>
      <c r="I52">
        <f t="shared" ref="I52:I55" si="36">B52*$C$42</f>
        <v>3.3257760000000003E-3</v>
      </c>
      <c r="J52">
        <f t="shared" ref="J52:J55" si="37">I52*$C$37</f>
        <v>1.0474624633728001E-3</v>
      </c>
      <c r="K52">
        <f t="shared" si="25"/>
        <v>1.4690552675479203E-2</v>
      </c>
      <c r="L52">
        <f t="shared" ref="L52:L55" si="38">F52*$C$39*0.000000001</f>
        <v>1.1553962192825E-5</v>
      </c>
      <c r="M52">
        <f t="shared" ref="M52:M55" si="39">(I52+SUM(G52:H52)*$C$42)*$G$37</f>
        <v>8.9730002195040001E-4</v>
      </c>
      <c r="N52">
        <f t="shared" ref="N52:N55" si="40">D52*$G$38*0.000000001</f>
        <v>1.1311855643513603E-2</v>
      </c>
      <c r="O52">
        <f t="shared" ref="O52:O55" si="41">F52*$G$39*0.000000001</f>
        <v>8.3541957469750002E-6</v>
      </c>
      <c r="P52">
        <f t="shared" ref="P52:P55" si="42">(I52+SUM(G52:H52)*$C$42)*$K$37</f>
        <v>2.59417548E-5</v>
      </c>
      <c r="Q52">
        <f t="shared" ref="Q52:Q55" si="43">G52*$K$38*0.000000001</f>
        <v>1.7500000000000002E-10</v>
      </c>
      <c r="R52">
        <f t="shared" ref="R52:R55" si="44">H52*$K$39*0.000000001</f>
        <v>5.4000000000000007E-11</v>
      </c>
      <c r="S52">
        <f>(I52+SUM(G52:H52)*$C$42)*$S$37</f>
        <v>9.5944848437280001E-4</v>
      </c>
      <c r="T52">
        <f t="shared" ref="T52:T55" si="45">D52*$S$38*0.000000001</f>
        <v>1.24918978661016E-2</v>
      </c>
      <c r="U52">
        <f t="shared" ref="U52:U55" si="46">F52*$S$39*0.000000001</f>
        <v>9.3405123506500011E-6</v>
      </c>
      <c r="AD52" s="14"/>
    </row>
    <row r="53" spans="1:30" ht="15.75" customHeight="1" x14ac:dyDescent="0.15">
      <c r="A53" s="186" t="s">
        <v>180</v>
      </c>
      <c r="B53" s="185">
        <f>PC_Inception!D173</f>
        <v>4699313</v>
      </c>
      <c r="C53" s="201">
        <v>25679168</v>
      </c>
      <c r="D53" s="14">
        <v>3726374.0630000001</v>
      </c>
      <c r="E53" s="201">
        <v>1621556</v>
      </c>
      <c r="F53" s="87">
        <f>+E53/16</f>
        <v>101347.25</v>
      </c>
      <c r="G53" s="50">
        <v>38</v>
      </c>
      <c r="H53" s="50">
        <v>3</v>
      </c>
      <c r="I53">
        <f t="shared" si="36"/>
        <v>4.6993130000000001E-3</v>
      </c>
      <c r="J53">
        <f t="shared" si="37"/>
        <v>1.4800617874263999E-3</v>
      </c>
      <c r="K53">
        <f t="shared" si="25"/>
        <v>3.1225300515871023E-4</v>
      </c>
      <c r="L53">
        <f t="shared" si="38"/>
        <v>6.7311093601750003E-6</v>
      </c>
      <c r="M53">
        <f t="shared" si="39"/>
        <v>1.2678593928175999E-3</v>
      </c>
      <c r="N53">
        <f t="shared" si="40"/>
        <v>2.4043757894176161E-4</v>
      </c>
      <c r="O53">
        <f t="shared" si="41"/>
        <v>4.8669888520250001E-6</v>
      </c>
      <c r="P53">
        <f t="shared" si="42"/>
        <v>3.6654961199999997E-5</v>
      </c>
      <c r="Q53">
        <f t="shared" si="43"/>
        <v>9.5000000000000008E-11</v>
      </c>
      <c r="R53">
        <f t="shared" si="44"/>
        <v>8.0999999999999998E-12</v>
      </c>
      <c r="S53">
        <f t="shared" ref="S52:S55" si="47">(I53+SUM(G53:H53)*$C$42)*$S$37</f>
        <v>1.3556734014031999E-3</v>
      </c>
      <c r="T53">
        <f t="shared" si="45"/>
        <v>2.655198027598146E-4</v>
      </c>
      <c r="U53">
        <f t="shared" si="46"/>
        <v>5.4415973553500003E-6</v>
      </c>
      <c r="AD53" s="14"/>
    </row>
    <row r="54" spans="1:30" ht="15.75" customHeight="1" x14ac:dyDescent="0.15">
      <c r="A54" s="186" t="s">
        <v>181</v>
      </c>
      <c r="B54" s="185">
        <f>PC_Xception!D49</f>
        <v>418604.88</v>
      </c>
      <c r="C54" s="205">
        <v>1138603.75</v>
      </c>
      <c r="D54" s="205">
        <v>1138603.75</v>
      </c>
      <c r="E54" s="201">
        <v>3157228</v>
      </c>
      <c r="F54" s="87">
        <f>+E54/16</f>
        <v>197326.75</v>
      </c>
      <c r="G54" s="50">
        <v>52</v>
      </c>
      <c r="H54" s="50">
        <v>56</v>
      </c>
      <c r="I54">
        <f t="shared" si="36"/>
        <v>4.1860488000000005E-4</v>
      </c>
      <c r="J54">
        <f>I54*$C$37</f>
        <v>1.3184077904966401E-4</v>
      </c>
      <c r="K54">
        <f>D54*$C$38*0.000000001</f>
        <v>9.5409756672750018E-5</v>
      </c>
      <c r="L54">
        <f>F54*$C$39*0.000000001</f>
        <v>1.3105712626024999E-5</v>
      </c>
      <c r="M54">
        <f t="shared" si="39"/>
        <v>1.1296639023187202E-4</v>
      </c>
      <c r="N54">
        <f t="shared" si="40"/>
        <v>7.3466357482000007E-5</v>
      </c>
      <c r="O54">
        <f t="shared" si="41"/>
        <v>9.476202782575E-6</v>
      </c>
      <c r="P54">
        <f t="shared" si="42"/>
        <v>3.2659604640000003E-6</v>
      </c>
      <c r="Q54">
        <f t="shared" si="43"/>
        <v>1.3000000000000002E-10</v>
      </c>
      <c r="R54">
        <f t="shared" si="44"/>
        <v>1.5120000000000001E-10</v>
      </c>
      <c r="S54">
        <f>(I54+SUM(G54:H54)*$C$42)*$S$37</f>
        <v>1.2079062659270402E-4</v>
      </c>
      <c r="T54">
        <f t="shared" si="45"/>
        <v>8.1130299323250001E-5</v>
      </c>
      <c r="U54">
        <f t="shared" si="46"/>
        <v>1.0594986257050001E-5</v>
      </c>
      <c r="AD54" s="14"/>
    </row>
    <row r="55" spans="1:30" ht="15.75" customHeight="1" x14ac:dyDescent="0.15">
      <c r="A55" t="s">
        <v>182</v>
      </c>
      <c r="B55" s="185">
        <f>PC_VGG19!E27</f>
        <v>15895900</v>
      </c>
      <c r="C55" s="201">
        <v>280963968</v>
      </c>
      <c r="D55">
        <v>17560248</v>
      </c>
      <c r="E55" s="201">
        <v>3679028</v>
      </c>
      <c r="F55">
        <f>+E55/16</f>
        <v>229939.25</v>
      </c>
      <c r="G55">
        <v>378</v>
      </c>
      <c r="H55">
        <v>96</v>
      </c>
      <c r="I55">
        <f>B55*$C$42</f>
        <v>1.5895900000000001E-2</v>
      </c>
      <c r="J55">
        <f t="shared" si="37"/>
        <v>5.0064582135200004E-3</v>
      </c>
      <c r="K55">
        <f t="shared" si="25"/>
        <v>1.4714680052592001E-3</v>
      </c>
      <c r="L55">
        <f t="shared" si="38"/>
        <v>1.5271714209775E-5</v>
      </c>
      <c r="M55">
        <f t="shared" si="39"/>
        <v>4.2887526855056E-3</v>
      </c>
      <c r="N55">
        <f t="shared" si="40"/>
        <v>1.1330433937536001E-3</v>
      </c>
      <c r="O55">
        <f t="shared" si="41"/>
        <v>1.1042349608825E-5</v>
      </c>
      <c r="P55">
        <f t="shared" si="42"/>
        <v>1.2399171720000002E-4</v>
      </c>
      <c r="Q55">
        <f t="shared" si="43"/>
        <v>9.4500000000000015E-10</v>
      </c>
      <c r="R55">
        <f t="shared" si="44"/>
        <v>2.5919999999999999E-10</v>
      </c>
      <c r="S55">
        <f t="shared" si="47"/>
        <v>4.5857986886192002E-3</v>
      </c>
      <c r="T55">
        <f t="shared" si="45"/>
        <v>1.2512414230416002E-3</v>
      </c>
      <c r="U55">
        <f t="shared" si="46"/>
        <v>1.2346036174550001E-5</v>
      </c>
      <c r="AD55" s="14"/>
    </row>
    <row r="56" spans="1:30" ht="15.75" customHeight="1" x14ac:dyDescent="0.15">
      <c r="E56" s="14"/>
    </row>
    <row r="58" spans="1:30" ht="15.75" customHeight="1" x14ac:dyDescent="0.15">
      <c r="B58" t="s">
        <v>75</v>
      </c>
      <c r="C58" t="s">
        <v>76</v>
      </c>
      <c r="D58" s="14" t="s">
        <v>111</v>
      </c>
      <c r="E58" s="14" t="s">
        <v>112</v>
      </c>
      <c r="F58" s="14" t="s">
        <v>110</v>
      </c>
      <c r="H58" s="14" t="s">
        <v>113</v>
      </c>
      <c r="L58" s="14" t="s">
        <v>115</v>
      </c>
      <c r="M58" s="14" t="s">
        <v>116</v>
      </c>
      <c r="N58" s="14" t="s">
        <v>117</v>
      </c>
      <c r="O58" s="14" t="s">
        <v>118</v>
      </c>
      <c r="P58" s="14" t="s">
        <v>119</v>
      </c>
      <c r="Q58" s="14" t="s">
        <v>120</v>
      </c>
      <c r="U58" s="14" t="s">
        <v>115</v>
      </c>
      <c r="V58" s="14" t="s">
        <v>116</v>
      </c>
      <c r="W58" s="14" t="s">
        <v>117</v>
      </c>
      <c r="X58" s="14" t="s">
        <v>118</v>
      </c>
      <c r="Y58" s="14" t="s">
        <v>119</v>
      </c>
      <c r="Z58" s="14" t="s">
        <v>120</v>
      </c>
    </row>
    <row r="59" spans="1:30" ht="15.75" customHeight="1" x14ac:dyDescent="0.15">
      <c r="A59" s="17" t="s">
        <v>25</v>
      </c>
      <c r="B59">
        <f>J46+K46+L46</f>
        <v>7.6639223772849074E-3</v>
      </c>
      <c r="C59">
        <f>SUM(P46:U46)</f>
        <v>6.5568986311838632E-3</v>
      </c>
      <c r="D59">
        <f>SUM(M46:O46)</f>
        <v>5.9396035800452444E-3</v>
      </c>
      <c r="E59">
        <f>SUM(P46:R46)+SUM(S46:U46)-SUM(M46:O46)</f>
        <v>6.1729505113861799E-4</v>
      </c>
      <c r="F59" s="14">
        <v>3.9527600000000001E-4</v>
      </c>
      <c r="H59" s="96">
        <f>B59/C59</f>
        <v>1.168833439156153</v>
      </c>
      <c r="J59" s="166" t="s">
        <v>25</v>
      </c>
      <c r="K59" s="14" t="s">
        <v>9</v>
      </c>
      <c r="L59">
        <f>J46</f>
        <v>4.4312158214879997E-4</v>
      </c>
      <c r="M59">
        <v>0</v>
      </c>
      <c r="N59">
        <f>K46</f>
        <v>7.2193643641548016E-3</v>
      </c>
      <c r="O59">
        <v>0</v>
      </c>
      <c r="P59">
        <f>L46</f>
        <v>1.43643098130625E-6</v>
      </c>
      <c r="Q59">
        <v>0</v>
      </c>
      <c r="S59" s="166" t="s">
        <v>25</v>
      </c>
      <c r="T59" s="14" t="s">
        <v>9</v>
      </c>
      <c r="U59">
        <f>L59/SUM(L59:Q59)</f>
        <v>5.7819163652044238E-2</v>
      </c>
      <c r="V59">
        <f>M59/SUM(L59:Q59)</f>
        <v>0</v>
      </c>
      <c r="W59">
        <f>N59/SUM(L59:Q59)</f>
        <v>0.94199340869530057</v>
      </c>
      <c r="X59">
        <f>O59/SUM(L59:Q59)</f>
        <v>0</v>
      </c>
      <c r="Y59">
        <f>P59/SUM(L59:Q59)</f>
        <v>1.8742765265521041E-4</v>
      </c>
      <c r="Z59">
        <f>Q59/SUM(L59:Q59)</f>
        <v>0</v>
      </c>
      <c r="AA59" s="169">
        <f>SUM(U59:Z59)</f>
        <v>1</v>
      </c>
    </row>
    <row r="60" spans="1:30" ht="15.75" customHeight="1" x14ac:dyDescent="0.15">
      <c r="A60" s="19" t="s">
        <v>26</v>
      </c>
      <c r="B60">
        <f>J47+K47+L47</f>
        <v>4.8894720562514993E-4</v>
      </c>
      <c r="C60">
        <f>SUM(P47:U47)</f>
        <v>4.5675444937489995E-4</v>
      </c>
      <c r="D60">
        <f>SUM(M47:O47)</f>
        <v>4.1569971518265003E-4</v>
      </c>
      <c r="E60">
        <f>SUM(P47:R47)+SUM(S47:U47)-SUM(M47:O47)</f>
        <v>4.1054734192249914E-5</v>
      </c>
      <c r="F60" s="14">
        <v>5.3859899999999996E-4</v>
      </c>
      <c r="H60" s="96">
        <f t="shared" ref="H60:H64" si="48">B60/C60</f>
        <v>1.0704815383721122</v>
      </c>
      <c r="J60" s="166"/>
      <c r="K60" s="14" t="s">
        <v>175</v>
      </c>
      <c r="L60" s="168">
        <f>PC_Alex!I14</f>
        <v>4.0823074218719998E-4</v>
      </c>
      <c r="M60">
        <v>0</v>
      </c>
      <c r="N60">
        <f>PC_Alex!J14</f>
        <v>6.3865632497601289E-3</v>
      </c>
      <c r="O60">
        <v>0</v>
      </c>
      <c r="P60">
        <f>PC_Alex!K14</f>
        <v>1.3634521012105503E-6</v>
      </c>
      <c r="Q60">
        <v>0</v>
      </c>
      <c r="S60" s="166"/>
      <c r="T60" s="14" t="s">
        <v>175</v>
      </c>
      <c r="U60">
        <f>L60/SUM($L$59:$Q$59)</f>
        <v>5.3266554916729679E-2</v>
      </c>
      <c r="V60">
        <f>M60/SUM($L$59:$Q$59)</f>
        <v>0</v>
      </c>
      <c r="W60">
        <f>N60/SUM($L$59:$Q$59)</f>
        <v>0.83332827961426881</v>
      </c>
      <c r="X60">
        <f t="shared" ref="X60:Z60" si="49">O60/SUM($L$59:$Q$59)</f>
        <v>0</v>
      </c>
      <c r="Y60">
        <f>P60/SUM($L$59:$Q$59)</f>
        <v>1.7790525974684774E-4</v>
      </c>
      <c r="Z60">
        <f t="shared" si="49"/>
        <v>0</v>
      </c>
      <c r="AA60" s="169">
        <f t="shared" ref="AA60:AA91" si="50">SUM(U60:Z60)</f>
        <v>0.88677273979074533</v>
      </c>
    </row>
    <row r="61" spans="1:30" ht="15.75" customHeight="1" x14ac:dyDescent="0.15">
      <c r="A61" s="21" t="s">
        <v>27</v>
      </c>
      <c r="B61">
        <f>J48+K48+L48</f>
        <v>2.7071029324423376E-3</v>
      </c>
      <c r="C61">
        <f>SUM(P48:U48)</f>
        <v>2.4974331249941126E-3</v>
      </c>
      <c r="D61">
        <f>SUM(M48:O48)</f>
        <v>2.27143335672895E-3</v>
      </c>
      <c r="E61">
        <f>SUM(P48:R48)+SUM(S48:U48)-SUM(M48:O48)</f>
        <v>2.2599976826516259E-4</v>
      </c>
      <c r="F61" s="14">
        <v>2.1636944000000002E-2</v>
      </c>
      <c r="H61" s="96">
        <f t="shared" si="48"/>
        <v>1.0839541228751497</v>
      </c>
      <c r="J61" s="166"/>
      <c r="K61" s="14" t="s">
        <v>114</v>
      </c>
      <c r="L61">
        <f>M46</f>
        <v>3.795904686128E-4</v>
      </c>
      <c r="M61">
        <f>P46+S46-L61</f>
        <v>3.7265358316799981E-5</v>
      </c>
      <c r="N61">
        <f>N46</f>
        <v>5.5589744871583999E-3</v>
      </c>
      <c r="O61">
        <f>Q46+T46-N61</f>
        <v>5.799070649220011E-4</v>
      </c>
      <c r="P61">
        <f>O46</f>
        <v>1.0386242740437502E-6</v>
      </c>
      <c r="Q61">
        <f>R46+U46-P61</f>
        <v>1.2262789981874986E-7</v>
      </c>
      <c r="S61" s="166"/>
      <c r="T61" s="14" t="s">
        <v>114</v>
      </c>
      <c r="U61">
        <f>L61/SUM(L59:Q59)</f>
        <v>4.9529529387962991E-2</v>
      </c>
      <c r="V61">
        <f>M61/SUM(L59:Q59)</f>
        <v>4.8624394249152034E-3</v>
      </c>
      <c r="W61">
        <f>N61/SUM(L59:Q59)</f>
        <v>0.72534326595408105</v>
      </c>
      <c r="X61">
        <f>O61/SUM(L59:Q59)</f>
        <v>7.5667137057753492E-2</v>
      </c>
      <c r="Y61">
        <f>P61/SUM(L59:Q59)</f>
        <v>1.3552124133226189E-4</v>
      </c>
      <c r="Z61">
        <f>Q61/SUM(L59:Q59)</f>
        <v>1.6000670907394181E-5</v>
      </c>
      <c r="AA61" s="169">
        <f t="shared" si="50"/>
        <v>0.85555389373695245</v>
      </c>
    </row>
    <row r="62" spans="1:30" ht="15.75" customHeight="1" x14ac:dyDescent="0.15">
      <c r="A62" s="19" t="s">
        <v>28</v>
      </c>
      <c r="B62">
        <f>J49+K49+L49</f>
        <v>6.9076642653099997E-4</v>
      </c>
      <c r="C62">
        <f>SUM(P49:U49)</f>
        <v>6.3461786000039997E-4</v>
      </c>
      <c r="D62">
        <f>SUM(M49:O49)</f>
        <v>5.7709857722579999E-4</v>
      </c>
      <c r="E62">
        <f>SUM(P49:R49)+SUM(S49:U49)-SUM(M49:O49)</f>
        <v>5.7519282774600084E-5</v>
      </c>
      <c r="F62" s="14">
        <v>4.87381E-4</v>
      </c>
      <c r="H62" s="96">
        <f t="shared" si="48"/>
        <v>1.0884761839677259</v>
      </c>
      <c r="J62" s="166" t="s">
        <v>26</v>
      </c>
      <c r="K62" s="14" t="s">
        <v>9</v>
      </c>
      <c r="L62">
        <f>J47</f>
        <v>4.5774263598319999E-4</v>
      </c>
      <c r="M62">
        <v>0</v>
      </c>
      <c r="N62">
        <f>K47</f>
        <v>2.1207023627400003E-5</v>
      </c>
      <c r="O62">
        <v>0</v>
      </c>
      <c r="P62">
        <f>L47</f>
        <v>9.9975460145500012E-6</v>
      </c>
      <c r="Q62">
        <v>0</v>
      </c>
      <c r="S62" s="166" t="s">
        <v>26</v>
      </c>
      <c r="T62" s="14" t="s">
        <v>9</v>
      </c>
      <c r="U62">
        <f>L62/SUM(L62:Q62)</f>
        <v>0.93618008389667973</v>
      </c>
      <c r="V62">
        <f>M62/SUM(L62:Q62)</f>
        <v>0</v>
      </c>
      <c r="W62">
        <f>N62/SUM(L62:Q62)</f>
        <v>4.3372829179554227E-2</v>
      </c>
      <c r="X62">
        <f>O62/SUM(L62:Q62)</f>
        <v>0</v>
      </c>
      <c r="Y62">
        <f>P62/SUM(L62:Q62)</f>
        <v>2.0447086923766147E-2</v>
      </c>
      <c r="Z62">
        <f>Q62/SUM(L62:Q62)</f>
        <v>0</v>
      </c>
      <c r="AA62" s="169">
        <f t="shared" si="50"/>
        <v>1</v>
      </c>
    </row>
    <row r="63" spans="1:30" ht="15.75" customHeight="1" x14ac:dyDescent="0.15">
      <c r="A63" s="19" t="s">
        <v>29</v>
      </c>
      <c r="B63">
        <f>J50+K50+L50</f>
        <v>6.1512403427761979E-2</v>
      </c>
      <c r="C63">
        <f>SUM(P50:U50)</f>
        <v>5.3078833697648431E-2</v>
      </c>
      <c r="D63">
        <f>SUM(M50:O50)</f>
        <v>4.810538773560754E-2</v>
      </c>
      <c r="E63">
        <f>SUM(P50:R50)+SUM(S50:U50)-SUM(M50:O50)</f>
        <v>4.9734459620408983E-3</v>
      </c>
      <c r="F63" s="14">
        <v>7.6257360000000001E-3</v>
      </c>
      <c r="H63" s="96">
        <f t="shared" si="48"/>
        <v>1.1588876232313896</v>
      </c>
      <c r="J63" s="166"/>
      <c r="K63" s="14" t="s">
        <v>175</v>
      </c>
      <c r="L63">
        <f>PC_Squeez!I25</f>
        <v>4.4178281446640002E-4</v>
      </c>
      <c r="M63">
        <v>0</v>
      </c>
      <c r="N63">
        <f>PC_Squeez!J25</f>
        <v>2.731794238781749E-5</v>
      </c>
      <c r="O63">
        <v>0</v>
      </c>
      <c r="P63">
        <f>PC_Squeez!K25</f>
        <v>9.5457014136819859E-6</v>
      </c>
      <c r="Q63">
        <v>0</v>
      </c>
      <c r="S63" s="166"/>
      <c r="T63" s="14" t="s">
        <v>175</v>
      </c>
      <c r="U63">
        <f>L63/SUM($L$62:$Q$62)</f>
        <v>0.90353888801052207</v>
      </c>
      <c r="V63">
        <f t="shared" ref="V63:Z63" si="51">M63/SUM($L$62:$Q$62)</f>
        <v>0</v>
      </c>
      <c r="W63">
        <f t="shared" si="51"/>
        <v>5.5870944906801896E-2</v>
      </c>
      <c r="X63">
        <f t="shared" si="51"/>
        <v>0</v>
      </c>
      <c r="Y63">
        <f t="shared" si="51"/>
        <v>1.9522969563712311E-2</v>
      </c>
      <c r="Z63">
        <f t="shared" si="51"/>
        <v>0</v>
      </c>
      <c r="AA63" s="169">
        <f t="shared" si="50"/>
        <v>0.97893280248103631</v>
      </c>
    </row>
    <row r="64" spans="1:30" ht="15.75" customHeight="1" thickBot="1" x14ac:dyDescent="0.2">
      <c r="A64" s="22" t="s">
        <v>30</v>
      </c>
      <c r="B64">
        <f>J51+K51+L51</f>
        <v>7.8914516661918021E-3</v>
      </c>
      <c r="C64">
        <f>SUM(P51:U51)</f>
        <v>6.7700710843458011E-3</v>
      </c>
      <c r="D64">
        <f>SUM(M51:O51)</f>
        <v>6.1336717817127998E-3</v>
      </c>
      <c r="E64">
        <f>SUM(P51:R51)+SUM(S51:U51)-SUM(M51:O51)</f>
        <v>6.3639930263300042E-4</v>
      </c>
      <c r="F64" s="14">
        <v>5.9102600000000003E-4</v>
      </c>
      <c r="H64" s="96">
        <f t="shared" si="48"/>
        <v>1.1656379331730993</v>
      </c>
      <c r="J64" s="166"/>
      <c r="K64" s="14" t="s">
        <v>114</v>
      </c>
      <c r="L64">
        <f>M47</f>
        <v>3.9214130410080003E-4</v>
      </c>
      <c r="M64">
        <f>P47+S47-L64</f>
        <v>3.8497505644799924E-5</v>
      </c>
      <c r="N64">
        <f>N47</f>
        <v>1.6329595979200001E-5</v>
      </c>
      <c r="O64">
        <f>Q47+T47-N64</f>
        <v>1.7036907109999993E-6</v>
      </c>
      <c r="P64">
        <f>O47</f>
        <v>7.2288151026500005E-6</v>
      </c>
      <c r="Q64">
        <f>R47+U47-P64</f>
        <v>8.535378364499998E-7</v>
      </c>
      <c r="S64" s="166"/>
      <c r="T64" s="14" t="s">
        <v>114</v>
      </c>
      <c r="U64">
        <f>L64/SUM(L62:Q62)</f>
        <v>0.80201154560117094</v>
      </c>
      <c r="V64">
        <f>M64/SUM(L62:Q62)</f>
        <v>7.8735506005353742E-2</v>
      </c>
      <c r="W64">
        <f>N64/SUM(L62:Q62)</f>
        <v>3.3397462530380104E-2</v>
      </c>
      <c r="X64">
        <f>O64/SUM(L62:Q62)</f>
        <v>3.4844062741328547E-3</v>
      </c>
      <c r="Y64">
        <f>P64/SUM(L62:Q62)</f>
        <v>1.4784449158283875E-2</v>
      </c>
      <c r="Z64">
        <f>Q64/SUM(L62:Q62)</f>
        <v>1.7456646170187181E-3</v>
      </c>
      <c r="AA64" s="169">
        <f t="shared" si="50"/>
        <v>0.93415903418634028</v>
      </c>
    </row>
    <row r="65" spans="3:27" ht="15.75" customHeight="1" x14ac:dyDescent="0.15">
      <c r="J65" s="167" t="s">
        <v>27</v>
      </c>
      <c r="K65" s="14" t="s">
        <v>9</v>
      </c>
      <c r="L65">
        <f>J48</f>
        <v>2.1849381220328001E-3</v>
      </c>
      <c r="M65">
        <v>0</v>
      </c>
      <c r="N65">
        <f>K48</f>
        <v>4.6689857847798756E-4</v>
      </c>
      <c r="O65">
        <v>0</v>
      </c>
      <c r="P65">
        <f>L48</f>
        <v>5.5266231931550004E-5</v>
      </c>
      <c r="Q65">
        <v>0</v>
      </c>
      <c r="S65" s="167" t="s">
        <v>27</v>
      </c>
      <c r="T65" s="14" t="s">
        <v>9</v>
      </c>
      <c r="U65">
        <f>L65/SUM(L65:Q65)</f>
        <v>0.80711305648860476</v>
      </c>
      <c r="V65">
        <f>M65/SUM(L65:Q65)</f>
        <v>0</v>
      </c>
      <c r="W65">
        <f>N65/SUM(L65:Q65)</f>
        <v>0.1724716754884357</v>
      </c>
      <c r="X65">
        <f>O65/SUM(L65:Q65)</f>
        <v>0</v>
      </c>
      <c r="Y65">
        <f>P65/SUM(L65:Q65)</f>
        <v>2.041526802295952E-2</v>
      </c>
      <c r="Z65">
        <f>Q65/SUM(L65:Q65)</f>
        <v>0</v>
      </c>
      <c r="AA65" s="169">
        <f t="shared" si="50"/>
        <v>1</v>
      </c>
    </row>
    <row r="66" spans="3:27" ht="15.75" customHeight="1" x14ac:dyDescent="0.15">
      <c r="J66" s="167"/>
      <c r="K66" s="14" t="s">
        <v>175</v>
      </c>
      <c r="L66">
        <f>PC_Dense!K190</f>
        <v>2.0134689570872008E-3</v>
      </c>
      <c r="M66">
        <v>0</v>
      </c>
      <c r="N66">
        <f>PC_Dense!L190</f>
        <v>4.0542132707349296E-4</v>
      </c>
      <c r="O66">
        <v>0</v>
      </c>
      <c r="P66">
        <f>PC_Dense!M190</f>
        <v>3.0548928244709477E-5</v>
      </c>
      <c r="Q66">
        <v>0</v>
      </c>
      <c r="S66" s="167"/>
      <c r="T66" s="14" t="s">
        <v>175</v>
      </c>
      <c r="U66">
        <f>L66/SUM($L65:$Q65)</f>
        <v>0.74377258912377486</v>
      </c>
      <c r="V66">
        <f t="shared" ref="V66:Z66" si="52">M66/SUM($L65:$Q65)</f>
        <v>0</v>
      </c>
      <c r="W66">
        <f t="shared" si="52"/>
        <v>0.14976206564399952</v>
      </c>
      <c r="X66">
        <f t="shared" si="52"/>
        <v>0</v>
      </c>
      <c r="Y66">
        <f>P66/SUM($L65:$Q65)</f>
        <v>1.1284730949313536E-2</v>
      </c>
      <c r="Z66">
        <f t="shared" si="52"/>
        <v>0</v>
      </c>
      <c r="AA66" s="169">
        <f t="shared" si="50"/>
        <v>0.90481938571708787</v>
      </c>
    </row>
    <row r="67" spans="3:27" ht="15.75" customHeight="1" x14ac:dyDescent="0.15">
      <c r="C67" s="109"/>
      <c r="E67" s="109"/>
      <c r="F67" s="109"/>
      <c r="J67" s="167"/>
      <c r="K67" s="14" t="s">
        <v>114</v>
      </c>
      <c r="L67">
        <f>M48</f>
        <v>1.8719565734464001E-3</v>
      </c>
      <c r="M67">
        <f>P48+S48-L67</f>
        <v>1.8377472099839992E-4</v>
      </c>
      <c r="N67">
        <f>N48</f>
        <v>3.5951603976890002E-4</v>
      </c>
      <c r="O67">
        <f>Q48+T48-N67</f>
        <v>3.7506580207312509E-5</v>
      </c>
      <c r="P67">
        <f>O48</f>
        <v>3.9960743513650004E-5</v>
      </c>
      <c r="Q67">
        <f>R48+U48-P67</f>
        <v>4.718467059449992E-6</v>
      </c>
      <c r="S67" s="167"/>
      <c r="T67" s="14" t="s">
        <v>114</v>
      </c>
      <c r="U67">
        <f>L67/SUM(L65:Q65)</f>
        <v>0.69149811446494514</v>
      </c>
      <c r="V67">
        <f>M67/SUM(L65:Q65)</f>
        <v>6.7886122391585271E-2</v>
      </c>
      <c r="W67">
        <f>N67/SUM(L65:Q65)</f>
        <v>0.1328047173457664</v>
      </c>
      <c r="X67">
        <f>O67/SUM(L65:Q65)</f>
        <v>1.3854877758000218E-2</v>
      </c>
      <c r="Y67">
        <f>P67/SUM(L65:Q65)</f>
        <v>1.4761442217343978E-2</v>
      </c>
      <c r="Z67">
        <f>Q67/SUM(L65:Q65)</f>
        <v>1.7429950678650441E-3</v>
      </c>
      <c r="AA67" s="169">
        <f t="shared" si="50"/>
        <v>0.92254826924550604</v>
      </c>
    </row>
    <row r="68" spans="3:27" ht="15.75" customHeight="1" x14ac:dyDescent="0.15">
      <c r="D68" s="109"/>
      <c r="E68" s="110"/>
      <c r="F68" s="109"/>
      <c r="J68" s="166" t="s">
        <v>28</v>
      </c>
      <c r="K68" s="14" t="s">
        <v>9</v>
      </c>
      <c r="L68">
        <f>J49</f>
        <v>5.2599889184639997E-4</v>
      </c>
      <c r="M68">
        <v>0</v>
      </c>
      <c r="N68">
        <f>K49</f>
        <v>1.5608971375920001E-4</v>
      </c>
      <c r="O68">
        <v>0</v>
      </c>
      <c r="P68">
        <f>L49</f>
        <v>8.6778209254E-6</v>
      </c>
      <c r="Q68">
        <v>0</v>
      </c>
      <c r="S68" s="166" t="s">
        <v>28</v>
      </c>
      <c r="T68" s="14" t="s">
        <v>9</v>
      </c>
      <c r="U68">
        <f>L68/SUM(L68:Q68)</f>
        <v>0.76147142021355085</v>
      </c>
      <c r="V68">
        <f>M68/SUM(L68:Q68)</f>
        <v>0</v>
      </c>
      <c r="W68">
        <f>N68/SUM(L68:Q68)</f>
        <v>0.22596598179080013</v>
      </c>
      <c r="X68">
        <f>O68/SUM(L68:Q68)</f>
        <v>0</v>
      </c>
      <c r="Y68">
        <f>P68/SUM(L68:Q68)</f>
        <v>1.2562597995649055E-2</v>
      </c>
      <c r="Z68">
        <f>Q68/SUM(L68:Q68)</f>
        <v>0</v>
      </c>
      <c r="AA68" s="169">
        <f t="shared" si="50"/>
        <v>1</v>
      </c>
    </row>
    <row r="69" spans="3:27" ht="15.75" customHeight="1" x14ac:dyDescent="0.15">
      <c r="D69" s="109"/>
      <c r="E69" s="109"/>
      <c r="J69" s="166"/>
      <c r="K69" s="14" t="s">
        <v>175</v>
      </c>
      <c r="L69">
        <f>PC_Mobile!I32</f>
        <v>5.1396866398079998E-4</v>
      </c>
      <c r="M69">
        <v>0</v>
      </c>
      <c r="N69">
        <f>PC_Mobile!J32</f>
        <v>1.4776171715313887E-4</v>
      </c>
      <c r="O69">
        <v>0</v>
      </c>
      <c r="P69">
        <f>PC_Mobile!K32</f>
        <v>8.4993804207046416E-6</v>
      </c>
      <c r="Q69">
        <v>0</v>
      </c>
      <c r="S69" s="166"/>
      <c r="T69" s="14" t="s">
        <v>175</v>
      </c>
      <c r="U69">
        <f>L69/SUM($L68:$Q68)</f>
        <v>0.74405565215716851</v>
      </c>
      <c r="V69">
        <f t="shared" ref="V69:Z69" si="53">M69/SUM($L68:$Q68)</f>
        <v>0</v>
      </c>
      <c r="W69">
        <f t="shared" si="53"/>
        <v>0.21390981303939743</v>
      </c>
      <c r="X69">
        <f t="shared" si="53"/>
        <v>0</v>
      </c>
      <c r="Y69">
        <f t="shared" si="53"/>
        <v>1.2304275503643358E-2</v>
      </c>
      <c r="Z69">
        <f t="shared" si="53"/>
        <v>0</v>
      </c>
      <c r="AA69" s="169">
        <f>SUM(U69:Z69)</f>
        <v>0.97026974070020922</v>
      </c>
    </row>
    <row r="70" spans="3:27" ht="15.75" customHeight="1" x14ac:dyDescent="0.15">
      <c r="D70" s="109"/>
      <c r="E70" s="109"/>
      <c r="J70" s="166"/>
      <c r="K70" s="14" t="s">
        <v>114</v>
      </c>
      <c r="L70">
        <f>M49</f>
        <v>4.5063353940400002E-4</v>
      </c>
      <c r="M70">
        <f>P49+S49-L70</f>
        <v>4.4239836624000012E-5</v>
      </c>
      <c r="N70">
        <f>N49</f>
        <v>1.2019046175360001E-4</v>
      </c>
      <c r="O70">
        <f>Q49+T49-N70</f>
        <v>1.2538584288000016E-5</v>
      </c>
      <c r="P70">
        <f>O49</f>
        <v>6.2745760682000006E-6</v>
      </c>
      <c r="Q70">
        <f>R49+U49-P70</f>
        <v>7.4086186259999908E-7</v>
      </c>
      <c r="S70" s="166"/>
      <c r="T70" s="14" t="s">
        <v>114</v>
      </c>
      <c r="U70">
        <f>L70/SUM(L68:Q68)</f>
        <v>0.65236746039766691</v>
      </c>
      <c r="V70">
        <f>M70/SUM(L68:Q68)</f>
        <v>6.4044566911236001E-2</v>
      </c>
      <c r="W70">
        <f>N70/SUM(L68:Q68)</f>
        <v>0.17399580688539174</v>
      </c>
      <c r="X70">
        <f>O70/SUM(L68:Q68)</f>
        <v>1.8151699049660332E-2</v>
      </c>
      <c r="Y70">
        <f>P70/SUM(L68:Q68)</f>
        <v>9.0834988893578085E-3</v>
      </c>
      <c r="Z70">
        <f>Q70/SUM(L68:Q68)</f>
        <v>1.0725215270240859E-3</v>
      </c>
      <c r="AA70" s="169">
        <f t="shared" si="50"/>
        <v>0.91871555366033686</v>
      </c>
    </row>
    <row r="71" spans="3:27" ht="15.75" customHeight="1" x14ac:dyDescent="0.15">
      <c r="D71" s="109"/>
      <c r="F71" s="109"/>
      <c r="J71" s="166" t="s">
        <v>29</v>
      </c>
      <c r="K71" s="14" t="s">
        <v>9</v>
      </c>
      <c r="L71">
        <f>J50</f>
        <v>8.5543530027888011E-3</v>
      </c>
      <c r="M71">
        <v>0</v>
      </c>
      <c r="N71">
        <f>K50</f>
        <v>5.2940267867448008E-2</v>
      </c>
      <c r="O71">
        <v>0</v>
      </c>
      <c r="P71">
        <f>L50</f>
        <v>1.7782557525162498E-5</v>
      </c>
      <c r="Q71">
        <v>0</v>
      </c>
      <c r="S71" s="166" t="s">
        <v>29</v>
      </c>
      <c r="T71" s="14" t="s">
        <v>9</v>
      </c>
      <c r="U71">
        <f>L71/SUM(L71:Q71)</f>
        <v>0.13906712347591385</v>
      </c>
      <c r="V71">
        <f>M71/SUM(L71:Q71)</f>
        <v>0</v>
      </c>
      <c r="W71">
        <f>N71/SUM(L71:Q71)</f>
        <v>0.86064378755122473</v>
      </c>
      <c r="X71">
        <f>O71/SUM(L71:Q71)</f>
        <v>0</v>
      </c>
      <c r="Y71">
        <f>P71/SUM(L71:Q71)</f>
        <v>2.890889728613143E-4</v>
      </c>
      <c r="Z71">
        <f>Q71/SUM(L71:Q71)</f>
        <v>0</v>
      </c>
      <c r="AA71" s="169">
        <f t="shared" si="50"/>
        <v>0.99999999999999989</v>
      </c>
    </row>
    <row r="72" spans="3:27" ht="15.75" customHeight="1" x14ac:dyDescent="0.15">
      <c r="D72" s="109"/>
      <c r="E72" s="109"/>
      <c r="J72" s="166"/>
      <c r="K72" s="14" t="s">
        <v>175</v>
      </c>
      <c r="L72">
        <f>PC_VGG16!I24</f>
        <v>8.4101770811759978E-3</v>
      </c>
      <c r="M72">
        <v>0</v>
      </c>
      <c r="N72">
        <f>PC_VGG16!J24</f>
        <v>5.1070312629634997E-2</v>
      </c>
      <c r="O72">
        <v>0</v>
      </c>
      <c r="P72">
        <f>PC_VGG16!K24</f>
        <v>8.1826139621866327E-5</v>
      </c>
      <c r="Q72">
        <v>0</v>
      </c>
      <c r="S72" s="166"/>
      <c r="T72" s="14" t="s">
        <v>175</v>
      </c>
      <c r="U72">
        <f>L72/SUM($L71:$Q71)</f>
        <v>0.1367232722592707</v>
      </c>
      <c r="V72">
        <f t="shared" ref="V72:Z72" si="54">M72/SUM($L71:$Q71)</f>
        <v>0</v>
      </c>
      <c r="W72">
        <f t="shared" si="54"/>
        <v>0.83024414238032807</v>
      </c>
      <c r="X72">
        <f t="shared" si="54"/>
        <v>0</v>
      </c>
      <c r="Y72">
        <f t="shared" si="54"/>
        <v>1.3302380505739804E-3</v>
      </c>
      <c r="Z72">
        <f t="shared" si="54"/>
        <v>0</v>
      </c>
      <c r="AA72" s="169">
        <f t="shared" si="50"/>
        <v>0.96829765269017276</v>
      </c>
    </row>
    <row r="73" spans="3:27" ht="15.75" customHeight="1" x14ac:dyDescent="0.15">
      <c r="J73" s="166"/>
      <c r="K73" s="14" t="s">
        <v>114</v>
      </c>
      <c r="L73">
        <f>M50</f>
        <v>7.328054859488801E-3</v>
      </c>
      <c r="M73">
        <f>P50+S50-L73</f>
        <v>7.1941371737279953E-4</v>
      </c>
      <c r="N73">
        <f>N50</f>
        <v>4.0764475038784005E-2</v>
      </c>
      <c r="O73">
        <f>Q50+T50-N73</f>
        <v>4.2525138527200051E-3</v>
      </c>
      <c r="P73">
        <f>O50</f>
        <v>1.2857837334737501E-5</v>
      </c>
      <c r="Q73">
        <f>R50+U50-P73</f>
        <v>1.5183919480875008E-6</v>
      </c>
      <c r="S73" s="166"/>
      <c r="T73" s="14" t="s">
        <v>114</v>
      </c>
      <c r="U73">
        <f>L73/SUM(L71:Q71)</f>
        <v>0.1191313369521419</v>
      </c>
      <c r="V73">
        <f>M73/SUM(L71:Q71)</f>
        <v>1.1695425268460758E-2</v>
      </c>
      <c r="W73">
        <f>N73/SUM(L71:Q71)</f>
        <v>0.66270333733027331</v>
      </c>
      <c r="X73">
        <f>O73/SUM(L71:Q71)</f>
        <v>6.9132623922165695E-2</v>
      </c>
      <c r="Y73">
        <f>P73/SUM(L71:Q71)</f>
        <v>2.0902836856045295E-4</v>
      </c>
      <c r="Z73">
        <f>Q73/SUM(L71:Q71)</f>
        <v>2.4684321591671302E-5</v>
      </c>
      <c r="AA73" s="169">
        <f t="shared" si="50"/>
        <v>0.86289643616319367</v>
      </c>
    </row>
    <row r="74" spans="3:27" ht="15.75" customHeight="1" x14ac:dyDescent="0.15">
      <c r="J74" s="166" t="s">
        <v>30</v>
      </c>
      <c r="K74" s="14" t="s">
        <v>9</v>
      </c>
      <c r="L74">
        <f>J51</f>
        <v>6.6139647066080001E-4</v>
      </c>
      <c r="M74">
        <v>0</v>
      </c>
      <c r="N74">
        <f>K51</f>
        <v>7.2277640988462014E-3</v>
      </c>
      <c r="O74">
        <v>0</v>
      </c>
      <c r="P74">
        <f>L51</f>
        <v>2.2910966848E-6</v>
      </c>
      <c r="Q74">
        <v>0</v>
      </c>
      <c r="S74" s="166" t="s">
        <v>30</v>
      </c>
      <c r="T74" s="14" t="s">
        <v>9</v>
      </c>
      <c r="U74">
        <f>L74/SUM(L74:Q74)</f>
        <v>8.3811762225488209E-2</v>
      </c>
      <c r="V74">
        <f>M74/SUM(L74:Q74)</f>
        <v>0</v>
      </c>
      <c r="W74">
        <f>N74/SUM(L74:Q74)</f>
        <v>0.91589791138315646</v>
      </c>
      <c r="X74">
        <f>O74/SUM(L74:Q74)</f>
        <v>0</v>
      </c>
      <c r="Y74">
        <f>P74/SUM(L74:Q74)</f>
        <v>2.9032639135527017E-4</v>
      </c>
      <c r="Z74">
        <f>Q74/SUM(L74:Q74)</f>
        <v>0</v>
      </c>
      <c r="AA74" s="169">
        <f t="shared" si="50"/>
        <v>1</v>
      </c>
    </row>
    <row r="75" spans="3:27" ht="15.75" customHeight="1" x14ac:dyDescent="0.15">
      <c r="J75" s="166"/>
      <c r="K75" s="14" t="s">
        <v>175</v>
      </c>
      <c r="L75">
        <f>PC_ZF!I14</f>
        <v>6.1229416179680012E-4</v>
      </c>
      <c r="M75">
        <v>0</v>
      </c>
      <c r="N75">
        <f>PC_ZF!J14</f>
        <v>6.4015805747970125E-3</v>
      </c>
      <c r="O75">
        <v>0</v>
      </c>
      <c r="P75">
        <f>PC_ZF!K14</f>
        <v>2.2149480087905039E-6</v>
      </c>
      <c r="Q75">
        <v>0</v>
      </c>
      <c r="S75" s="166"/>
      <c r="T75" s="14" t="s">
        <v>175</v>
      </c>
      <c r="U75">
        <f>L75/SUM($L74:$Q74)</f>
        <v>7.7589547233744449E-2</v>
      </c>
      <c r="V75">
        <f t="shared" ref="V75:Z75" si="55">M75/SUM($L74:$Q74)</f>
        <v>0</v>
      </c>
      <c r="W75">
        <f t="shared" si="55"/>
        <v>0.81120443304777146</v>
      </c>
      <c r="X75">
        <f t="shared" si="55"/>
        <v>0</v>
      </c>
      <c r="Y75">
        <f t="shared" si="55"/>
        <v>2.8067687701613674E-4</v>
      </c>
      <c r="Z75">
        <f t="shared" si="55"/>
        <v>0</v>
      </c>
      <c r="AA75" s="169">
        <f t="shared" si="50"/>
        <v>0.88907465715853207</v>
      </c>
    </row>
    <row r="76" spans="3:27" ht="15.75" customHeight="1" x14ac:dyDescent="0.15">
      <c r="J76" s="166"/>
      <c r="K76" s="14" t="s">
        <v>114</v>
      </c>
      <c r="L76">
        <f>M51</f>
        <v>5.6657282650480014E-4</v>
      </c>
      <c r="M76">
        <f>P51+S51-L76</f>
        <v>5.5621890268799925E-5</v>
      </c>
      <c r="N76">
        <f>N51</f>
        <v>5.5654423572496E-3</v>
      </c>
      <c r="O76">
        <f>Q51+T51-N76</f>
        <v>5.8058181959300126E-4</v>
      </c>
      <c r="P76">
        <f>O51</f>
        <v>1.6565979584E-6</v>
      </c>
      <c r="Q76">
        <f>R51+U51-P76</f>
        <v>1.9559277119999995E-7</v>
      </c>
      <c r="S76" s="166"/>
      <c r="T76" s="14" t="s">
        <v>114</v>
      </c>
      <c r="U76">
        <f>L76/SUM(L74:Q74)</f>
        <v>7.1795767175776501E-2</v>
      </c>
      <c r="V76">
        <f>M76/SUM(L74:Q74)</f>
        <v>7.0483724188659348E-3</v>
      </c>
      <c r="W76">
        <f>N76/SUM(L74:Q74)</f>
        <v>0.70524950195067593</v>
      </c>
      <c r="X76">
        <f>O76/SUM(L74:Q74)</f>
        <v>7.3570978338536042E-2</v>
      </c>
      <c r="Y76">
        <f>P76/SUM(L74:Q74)</f>
        <v>2.0992309507477839E-4</v>
      </c>
      <c r="Z76">
        <f>Q76/SUM(L74:Q74)</f>
        <v>2.4785398108430364E-5</v>
      </c>
      <c r="AA76" s="169">
        <f t="shared" si="50"/>
        <v>0.85789932837703764</v>
      </c>
    </row>
    <row r="77" spans="3:27" ht="15.75" customHeight="1" x14ac:dyDescent="0.15">
      <c r="J77" s="165" t="s">
        <v>179</v>
      </c>
      <c r="K77" s="14" t="s">
        <v>9</v>
      </c>
      <c r="L77">
        <f>J52</f>
        <v>1.0474624633728001E-3</v>
      </c>
      <c r="M77">
        <v>0</v>
      </c>
      <c r="N77">
        <f>K52</f>
        <v>1.4690552675479203E-2</v>
      </c>
      <c r="O77">
        <v>0</v>
      </c>
      <c r="P77">
        <f>L52</f>
        <v>1.1553962192825E-5</v>
      </c>
      <c r="Q77">
        <v>0</v>
      </c>
      <c r="S77" s="165" t="s">
        <v>179</v>
      </c>
      <c r="T77" s="14" t="s">
        <v>9</v>
      </c>
      <c r="U77">
        <f>L77/SUM(L77:Q77)</f>
        <v>6.6507372782872595E-2</v>
      </c>
      <c r="V77">
        <f>M77/SUM(L77:Q77)</f>
        <v>0</v>
      </c>
      <c r="W77">
        <f>N77/SUM(L77:Q77)</f>
        <v>0.93275902224554375</v>
      </c>
      <c r="X77">
        <f>O77/SUM(L77:Q77)</f>
        <v>0</v>
      </c>
      <c r="Y77">
        <f>P77/SUM(L77:Q77)</f>
        <v>7.3360497158354051E-4</v>
      </c>
      <c r="Z77">
        <f>Q77/SUM(L77:Q77)</f>
        <v>0</v>
      </c>
      <c r="AA77" s="169">
        <f t="shared" si="50"/>
        <v>0.99999999999999989</v>
      </c>
    </row>
    <row r="78" spans="3:27" ht="15.75" customHeight="1" x14ac:dyDescent="0.15">
      <c r="J78" s="166"/>
      <c r="K78" s="14" t="s">
        <v>175</v>
      </c>
      <c r="L78">
        <f>PC_Res!I59</f>
        <v>9.3440480382720045E-4</v>
      </c>
      <c r="M78">
        <v>0</v>
      </c>
      <c r="N78">
        <f>PC_Res!J59</f>
        <v>1.1332227987185335E-2</v>
      </c>
      <c r="O78">
        <v>0</v>
      </c>
      <c r="P78">
        <f>PC_Res!K59</f>
        <v>9.5198606113953023E-6</v>
      </c>
      <c r="Q78">
        <v>0</v>
      </c>
      <c r="S78" s="166"/>
      <c r="T78" s="14" t="s">
        <v>175</v>
      </c>
      <c r="U78">
        <f>L78/SUM($L77:$Q77)</f>
        <v>5.9328912291651957E-2</v>
      </c>
      <c r="V78">
        <f t="shared" ref="V78" si="56">M78/SUM($L77:$Q77)</f>
        <v>0</v>
      </c>
      <c r="W78">
        <f>N78/SUM($L77:$Q77)</f>
        <v>0.71952622414498646</v>
      </c>
      <c r="X78">
        <f t="shared" ref="X78" si="57">O78/SUM($L77:$Q77)</f>
        <v>0</v>
      </c>
      <c r="Y78">
        <f t="shared" ref="Y78" si="58">P78/SUM($L77:$Q77)</f>
        <v>6.044521313769627E-4</v>
      </c>
      <c r="Z78">
        <f t="shared" ref="Z78" si="59">Q78/SUM($L77:$Q77)</f>
        <v>0</v>
      </c>
      <c r="AA78" s="169">
        <f t="shared" si="50"/>
        <v>0.77945958856801534</v>
      </c>
    </row>
    <row r="79" spans="3:27" ht="15.75" customHeight="1" x14ac:dyDescent="0.15">
      <c r="J79" s="166"/>
      <c r="K79" s="14" t="s">
        <v>114</v>
      </c>
      <c r="L79">
        <f>M52</f>
        <v>8.9730002195040001E-4</v>
      </c>
      <c r="M79">
        <f>S52+P52-L79</f>
        <v>8.8090217222400093E-5</v>
      </c>
      <c r="N79">
        <f>N52</f>
        <v>1.1311855643513603E-2</v>
      </c>
      <c r="O79">
        <f>T52+Q52+-N79</f>
        <v>1.1800423975879982E-3</v>
      </c>
      <c r="P79">
        <f>O52</f>
        <v>8.3541957469750002E-6</v>
      </c>
      <c r="Q79">
        <f>U52+R52-P79</f>
        <v>9.8637060367500032E-7</v>
      </c>
      <c r="S79" s="166"/>
      <c r="T79" s="14" t="s">
        <v>114</v>
      </c>
      <c r="U79">
        <f>L79/SUM(L77:Q77)</f>
        <v>5.697298866994862E-2</v>
      </c>
      <c r="V79">
        <f>M79/SUM(L77:Q77)</f>
        <v>5.5931826869191088E-3</v>
      </c>
      <c r="W79">
        <f>N79/SUM(L77:Q77)</f>
        <v>0.7182327066181875</v>
      </c>
      <c r="X79">
        <f>O79/SUM(L77:Q77)</f>
        <v>7.4925376689176454E-2</v>
      </c>
      <c r="Y79">
        <f>P79/SUM(L77:Q77)</f>
        <v>5.3043963891182141E-4</v>
      </c>
      <c r="Z79">
        <f>Q79/SUM(L77:Q77)</f>
        <v>6.2628418425083411E-5</v>
      </c>
      <c r="AA79" s="169">
        <f t="shared" si="50"/>
        <v>0.85631732272156857</v>
      </c>
    </row>
    <row r="80" spans="3:27" ht="15.75" customHeight="1" x14ac:dyDescent="0.15">
      <c r="J80" s="165" t="s">
        <v>195</v>
      </c>
      <c r="K80" s="14" t="s">
        <v>9</v>
      </c>
      <c r="L80">
        <f>J53</f>
        <v>1.4800617874263999E-3</v>
      </c>
      <c r="M80">
        <v>0</v>
      </c>
      <c r="N80">
        <f>K53</f>
        <v>3.1225300515871023E-4</v>
      </c>
      <c r="O80">
        <v>0</v>
      </c>
      <c r="P80">
        <f>L53</f>
        <v>6.7311093601750003E-6</v>
      </c>
      <c r="Q80">
        <v>0</v>
      </c>
      <c r="S80" s="165" t="s">
        <v>195</v>
      </c>
      <c r="T80" s="14" t="s">
        <v>9</v>
      </c>
      <c r="U80">
        <f>L80/SUM(L80:Q80)</f>
        <v>0.82269262047512415</v>
      </c>
      <c r="V80">
        <f>M80/SUM(L80:Q80)</f>
        <v>0</v>
      </c>
      <c r="W80">
        <f>N80/SUM(L80:Q80)</f>
        <v>0.17356589113211346</v>
      </c>
      <c r="X80">
        <f>O80/SUM(L80:Q80)</f>
        <v>0</v>
      </c>
      <c r="Y80">
        <f>P80/SUM(L80:Q80)</f>
        <v>3.7414883927623741E-3</v>
      </c>
      <c r="Z80">
        <f>Q80/SUM(L80:Q80)</f>
        <v>0</v>
      </c>
      <c r="AA80" s="169">
        <f t="shared" si="50"/>
        <v>0.99999999999999989</v>
      </c>
    </row>
    <row r="81" spans="10:27" ht="15.75" customHeight="1" x14ac:dyDescent="0.15">
      <c r="J81" s="166"/>
      <c r="K81" s="14" t="s">
        <v>175</v>
      </c>
      <c r="L81">
        <f>PC_Inception!H173</f>
        <v>1.3768603400536009E-3</v>
      </c>
      <c r="M81">
        <v>0</v>
      </c>
      <c r="N81">
        <f>PC_Inception!I173</f>
        <v>2.7724872135709169E-4</v>
      </c>
      <c r="O81">
        <v>0</v>
      </c>
      <c r="P81">
        <f>PC_Inception!J173</f>
        <v>5.8378476842249991E-6</v>
      </c>
      <c r="Q81">
        <v>0</v>
      </c>
      <c r="S81" s="166"/>
      <c r="T81" s="14" t="s">
        <v>175</v>
      </c>
      <c r="U81">
        <f>L81/SUM($L80:$Q80)</f>
        <v>0.76532807671267278</v>
      </c>
      <c r="V81">
        <f t="shared" ref="V81" si="60">M81/SUM($L80:$Q80)</f>
        <v>0</v>
      </c>
      <c r="W81">
        <f>N81/SUM($L80:$Q80)</f>
        <v>0.15410875345498756</v>
      </c>
      <c r="X81">
        <f t="shared" ref="X81" si="61">O81/SUM($L80:$Q80)</f>
        <v>0</v>
      </c>
      <c r="Y81">
        <f t="shared" ref="Y81" si="62">P81/SUM($L80:$Q80)</f>
        <v>3.2449687236510249E-3</v>
      </c>
      <c r="Z81">
        <f t="shared" ref="Z81" si="63">Q81/SUM($L80:$Q80)</f>
        <v>0</v>
      </c>
      <c r="AA81" s="169">
        <f t="shared" si="50"/>
        <v>0.9226817988913113</v>
      </c>
    </row>
    <row r="82" spans="10:27" ht="15.75" customHeight="1" x14ac:dyDescent="0.15">
      <c r="J82" s="166"/>
      <c r="K82" s="14" t="s">
        <v>114</v>
      </c>
      <c r="L82">
        <f>M53</f>
        <v>1.2678593928175999E-3</v>
      </c>
      <c r="M82">
        <f>S53+P53-L82</f>
        <v>1.2446896978559989E-4</v>
      </c>
      <c r="N82">
        <f>N53</f>
        <v>2.4043757894176161E-4</v>
      </c>
      <c r="O82">
        <f>T53+Q53-N82</f>
        <v>2.5082318818052987E-5</v>
      </c>
      <c r="P82">
        <f>O53</f>
        <v>4.8669888520250001E-6</v>
      </c>
      <c r="Q82">
        <f>U53+R53-P82</f>
        <v>5.7461660332500035E-7</v>
      </c>
      <c r="S82" s="166"/>
      <c r="T82" s="14" t="s">
        <v>114</v>
      </c>
      <c r="U82">
        <f>L82/SUM(L80:Q80)</f>
        <v>0.7047398798700355</v>
      </c>
      <c r="V82">
        <f>M82/SUM(L80:Q80)</f>
        <v>6.9186100060600567E-2</v>
      </c>
      <c r="W82">
        <f>N82/SUM(L80:Q80)</f>
        <v>0.13364727308056984</v>
      </c>
      <c r="X82">
        <f>O82/SUM(L80:Q80)</f>
        <v>1.3942011591217211E-2</v>
      </c>
      <c r="Y82">
        <f>P82/SUM(L80:Q80)</f>
        <v>2.7053166607713497E-3</v>
      </c>
      <c r="Z82">
        <f>Q82/SUM(L80:Q80)</f>
        <v>3.194007460863977E-4</v>
      </c>
      <c r="AA82" s="169">
        <f t="shared" si="50"/>
        <v>0.92453998200928089</v>
      </c>
    </row>
    <row r="83" spans="10:27" ht="15.75" customHeight="1" x14ac:dyDescent="0.15">
      <c r="J83" s="165" t="s">
        <v>196</v>
      </c>
      <c r="K83" s="14" t="s">
        <v>9</v>
      </c>
      <c r="L83">
        <f>J54</f>
        <v>1.3184077904966401E-4</v>
      </c>
      <c r="M83">
        <v>0</v>
      </c>
      <c r="N83">
        <f>K54</f>
        <v>9.5409756672750018E-5</v>
      </c>
      <c r="O83">
        <v>0</v>
      </c>
      <c r="P83">
        <f>L54</f>
        <v>1.3105712626024999E-5</v>
      </c>
      <c r="Q83">
        <v>0</v>
      </c>
      <c r="S83" s="165" t="s">
        <v>196</v>
      </c>
      <c r="T83" s="14" t="s">
        <v>9</v>
      </c>
      <c r="U83">
        <f>L83/SUM(L83:Q83)</f>
        <v>0.5485223702549118</v>
      </c>
      <c r="V83">
        <f>M83/SUM(L83:Q83)</f>
        <v>0</v>
      </c>
      <c r="W83">
        <f>N83/SUM(L83:Q83)</f>
        <v>0.39695143075472139</v>
      </c>
      <c r="X83">
        <f>O83/SUM(L83:Q83)</f>
        <v>0</v>
      </c>
      <c r="Y83">
        <f>P83/SUM(L83:Q83)</f>
        <v>5.4526198990366759E-2</v>
      </c>
      <c r="Z83">
        <f>Q83/SUM(L83:Q83)</f>
        <v>0</v>
      </c>
      <c r="AA83" s="169">
        <f t="shared" si="50"/>
        <v>1</v>
      </c>
    </row>
    <row r="84" spans="10:27" ht="15.75" customHeight="1" x14ac:dyDescent="0.15">
      <c r="J84" s="166"/>
      <c r="K84" s="14" t="s">
        <v>175</v>
      </c>
      <c r="L84">
        <f>PC_Xception!H49</f>
        <v>1.2332593452921584E-4</v>
      </c>
      <c r="M84">
        <v>0</v>
      </c>
      <c r="N84">
        <f>PC_Xception!I49</f>
        <v>8.589005353431288E-5</v>
      </c>
      <c r="O84">
        <v>0</v>
      </c>
      <c r="P84">
        <f>PC_Xception!J49</f>
        <v>1.1676484134503172E-5</v>
      </c>
      <c r="Q84">
        <v>0</v>
      </c>
      <c r="S84" s="166"/>
      <c r="T84" s="14" t="s">
        <v>175</v>
      </c>
      <c r="U84">
        <f>L84/SUM($L83:$Q83)</f>
        <v>0.51309643654627612</v>
      </c>
      <c r="V84">
        <f t="shared" ref="V84" si="64">M84/SUM($L83:$Q83)</f>
        <v>0</v>
      </c>
      <c r="W84">
        <f>N84/SUM($L83:$Q83)</f>
        <v>0.35734479184331419</v>
      </c>
      <c r="X84">
        <f t="shared" ref="X84" si="65">O84/SUM($L83:$Q83)</f>
        <v>0</v>
      </c>
      <c r="Y84">
        <f t="shared" ref="Y84" si="66">P84/SUM($L83:$Q83)</f>
        <v>4.8579906762299091E-2</v>
      </c>
      <c r="Z84">
        <f t="shared" ref="Z84" si="67">Q84/SUM($L83:$Q83)</f>
        <v>0</v>
      </c>
      <c r="AA84" s="169">
        <f>SUM(U84:Z84)</f>
        <v>0.91902113515188943</v>
      </c>
    </row>
    <row r="85" spans="10:27" ht="15.75" customHeight="1" x14ac:dyDescent="0.15">
      <c r="J85" s="166"/>
      <c r="K85" s="14" t="s">
        <v>114</v>
      </c>
      <c r="L85">
        <f>M54</f>
        <v>1.1296639023187202E-4</v>
      </c>
      <c r="M85">
        <f>S54+P54-L85</f>
        <v>1.1090196824832004E-5</v>
      </c>
      <c r="N85">
        <f>N54</f>
        <v>7.3466357482000007E-5</v>
      </c>
      <c r="O85">
        <f>T54+Q54-N85</f>
        <v>7.6640718412499898E-6</v>
      </c>
      <c r="P85">
        <f>O54</f>
        <v>9.476202782575E-6</v>
      </c>
      <c r="Q85">
        <f>U54+R54-P85</f>
        <v>1.1189346744750006E-6</v>
      </c>
      <c r="S85" s="166"/>
      <c r="T85" s="14" t="s">
        <v>114</v>
      </c>
      <c r="U85">
        <f>L85/SUM(L83:Q83)</f>
        <v>0.46999564607992711</v>
      </c>
      <c r="V85">
        <f>M85/SUM(L83:Q83)</f>
        <v>4.6140663706627651E-2</v>
      </c>
      <c r="W85">
        <f>N85/SUM(L83:Q83)</f>
        <v>0.30565611664689274</v>
      </c>
      <c r="X85">
        <f>O85/SUM(L83:Q83)</f>
        <v>3.1886301662270737E-2</v>
      </c>
      <c r="Y85">
        <f>P85/SUM(L83:Q83)</f>
        <v>3.9425656073802426E-2</v>
      </c>
      <c r="Z85">
        <f>Q85/SUM(L83:Q83)</f>
        <v>4.655317605277755E-3</v>
      </c>
      <c r="AA85" s="169">
        <f t="shared" si="50"/>
        <v>0.89775970177479836</v>
      </c>
    </row>
    <row r="86" spans="10:27" ht="15.75" customHeight="1" x14ac:dyDescent="0.15">
      <c r="J86" s="165" t="s">
        <v>182</v>
      </c>
      <c r="K86" s="14" t="s">
        <v>9</v>
      </c>
      <c r="L86">
        <f>J55</f>
        <v>5.0064582135200004E-3</v>
      </c>
      <c r="M86">
        <v>0</v>
      </c>
      <c r="N86">
        <f>K55</f>
        <v>1.4714680052592001E-3</v>
      </c>
      <c r="O86">
        <v>0</v>
      </c>
      <c r="P86">
        <f>L55</f>
        <v>1.5271714209775E-5</v>
      </c>
      <c r="Q86">
        <v>0</v>
      </c>
      <c r="S86" s="165" t="s">
        <v>182</v>
      </c>
      <c r="T86" s="14" t="s">
        <v>9</v>
      </c>
      <c r="U86">
        <f>L86/SUM(L86:Q86)</f>
        <v>0.77103120298928063</v>
      </c>
      <c r="V86">
        <f>M86/SUM(L86:Q86)</f>
        <v>0</v>
      </c>
      <c r="W86">
        <f>N86/SUM(L86:Q86)</f>
        <v>0.22661684126142875</v>
      </c>
      <c r="X86">
        <f>O86/SUM(L86:Q86)</f>
        <v>0</v>
      </c>
      <c r="Y86">
        <f>P86/SUM(L86:Q86)</f>
        <v>2.3519557492905595E-3</v>
      </c>
      <c r="Z86">
        <f>Q86/SUM(L86:Q86)</f>
        <v>0</v>
      </c>
      <c r="AA86" s="169">
        <f t="shared" si="50"/>
        <v>1</v>
      </c>
    </row>
    <row r="87" spans="10:27" ht="15.75" customHeight="1" x14ac:dyDescent="0.15">
      <c r="J87" s="166"/>
      <c r="K87" s="14" t="s">
        <v>175</v>
      </c>
      <c r="L87">
        <f>PC_VGG19!I27</f>
        <v>4.5605784570272E-3</v>
      </c>
      <c r="M87">
        <v>0</v>
      </c>
      <c r="N87">
        <f>PC_VGG19!J27</f>
        <v>1.6282397716880488E-3</v>
      </c>
      <c r="O87">
        <v>0</v>
      </c>
      <c r="P87">
        <f>PC_VGG19!K27</f>
        <v>1.2339531881595289E-5</v>
      </c>
      <c r="Q87">
        <v>0</v>
      </c>
      <c r="S87" s="166"/>
      <c r="T87" s="14" t="s">
        <v>175</v>
      </c>
      <c r="U87">
        <f>L87/SUM($L86:$Q86)</f>
        <v>0.70236245746598636</v>
      </c>
      <c r="V87">
        <f t="shared" ref="V87" si="68">M87/SUM($L86:$Q86)</f>
        <v>0</v>
      </c>
      <c r="W87">
        <f>N87/SUM($L86:$Q86)</f>
        <v>0.25076084057374959</v>
      </c>
      <c r="X87">
        <f t="shared" ref="X87" si="69">O87/SUM($L86:$Q86)</f>
        <v>0</v>
      </c>
      <c r="Y87">
        <f t="shared" ref="Y87" si="70">P87/SUM($L86:$Q86)</f>
        <v>1.9003782125451248E-3</v>
      </c>
      <c r="Z87">
        <f t="shared" ref="Z87" si="71">Q87/SUM($L86:$Q86)</f>
        <v>0</v>
      </c>
      <c r="AA87" s="169">
        <f t="shared" si="50"/>
        <v>0.95502367625228102</v>
      </c>
    </row>
    <row r="88" spans="10:27" ht="15.75" customHeight="1" x14ac:dyDescent="0.15">
      <c r="J88" s="166"/>
      <c r="K88" s="14" t="s">
        <v>114</v>
      </c>
      <c r="L88">
        <f>M55</f>
        <v>4.2887526855056E-3</v>
      </c>
      <c r="M88">
        <f>S55+P55-L88</f>
        <v>4.2103772031360041E-4</v>
      </c>
      <c r="N88">
        <f>N55</f>
        <v>1.1330433937536001E-3</v>
      </c>
      <c r="O88">
        <f>T55+Q55-N88</f>
        <v>1.1819897428800002E-4</v>
      </c>
      <c r="P88">
        <f>O55</f>
        <v>1.1042349608825E-5</v>
      </c>
      <c r="Q88">
        <f>U55+R55-P88</f>
        <v>1.3039457657250003E-6</v>
      </c>
      <c r="S88" s="166"/>
      <c r="T88" s="14" t="s">
        <v>114</v>
      </c>
      <c r="U88">
        <f>L88/SUM(L86:Q86)</f>
        <v>0.66049929938473062</v>
      </c>
      <c r="V88">
        <f>M88/SUM(L86:Q86)</f>
        <v>6.4842890153478897E-2</v>
      </c>
      <c r="W88">
        <f>N88/SUM(L86:Q86)</f>
        <v>0.17449697444107218</v>
      </c>
      <c r="X88">
        <f>O88/SUM(L86:Q86)</f>
        <v>1.8203507040419169E-2</v>
      </c>
      <c r="Y88">
        <f>P88/SUM(L86:Q86)</f>
        <v>1.7006026495394297E-3</v>
      </c>
      <c r="Z88">
        <f>Q88/SUM(L86:Q86)</f>
        <v>2.0081719041710507E-4</v>
      </c>
      <c r="AA88" s="169">
        <f t="shared" si="50"/>
        <v>0.91994409085965734</v>
      </c>
    </row>
    <row r="89" spans="10:27" ht="15.75" customHeight="1" x14ac:dyDescent="0.15">
      <c r="S89" s="95" t="s">
        <v>123</v>
      </c>
      <c r="T89" s="98" t="s">
        <v>9</v>
      </c>
      <c r="U89" s="99">
        <f>(U59+U62+U65+U68+U71+U74+U77+U80+U83+U86)/10</f>
        <v>0.49942161764544712</v>
      </c>
      <c r="V89" s="99">
        <f t="shared" ref="V89:Z89" si="72">(V59+V62+V65+V68+V71+V74+V77+V80+V83+V86)/10</f>
        <v>0</v>
      </c>
      <c r="W89" s="99">
        <f t="shared" si="72"/>
        <v>0.48902387794822799</v>
      </c>
      <c r="X89" s="99">
        <f t="shared" si="72"/>
        <v>0</v>
      </c>
      <c r="Y89" s="99">
        <f t="shared" si="72"/>
        <v>1.1554504406324976E-2</v>
      </c>
      <c r="Z89" s="99">
        <f t="shared" si="72"/>
        <v>0</v>
      </c>
      <c r="AA89" s="170">
        <f>SUM(U89:Z89)</f>
        <v>1</v>
      </c>
    </row>
    <row r="90" spans="10:27" ht="15.75" customHeight="1" x14ac:dyDescent="0.15">
      <c r="S90" s="95"/>
      <c r="T90" s="98" t="s">
        <v>175</v>
      </c>
      <c r="U90" s="99">
        <f t="shared" ref="U90:Z91" si="73">(U60+U63+U66+U69+U72+U75+U78+U81+U84+U87)/10</f>
        <v>0.46990623867177972</v>
      </c>
      <c r="V90" s="99">
        <f t="shared" si="73"/>
        <v>0</v>
      </c>
      <c r="W90" s="99">
        <f t="shared" si="73"/>
        <v>0.43760602886496053</v>
      </c>
      <c r="X90" s="99">
        <f t="shared" si="73"/>
        <v>0</v>
      </c>
      <c r="Y90" s="99">
        <f t="shared" si="73"/>
        <v>9.9230502033878371E-3</v>
      </c>
      <c r="Z90" s="99">
        <f t="shared" si="73"/>
        <v>0</v>
      </c>
      <c r="AA90" s="170">
        <f t="shared" si="50"/>
        <v>0.91743531774012799</v>
      </c>
    </row>
    <row r="91" spans="10:27" ht="15.75" customHeight="1" x14ac:dyDescent="0.15">
      <c r="S91" s="95"/>
      <c r="T91" s="98" t="s">
        <v>114</v>
      </c>
      <c r="U91" s="99">
        <f t="shared" si="73"/>
        <v>0.42785415679843064</v>
      </c>
      <c r="V91" s="99">
        <f t="shared" si="73"/>
        <v>4.200352690280431E-2</v>
      </c>
      <c r="W91" s="99">
        <f t="shared" si="73"/>
        <v>0.37655271627832904</v>
      </c>
      <c r="X91" s="99">
        <f t="shared" si="73"/>
        <v>3.9281891938333216E-2</v>
      </c>
      <c r="Y91" s="99">
        <f t="shared" si="73"/>
        <v>8.3545877992978173E-3</v>
      </c>
      <c r="Z91" s="99">
        <f t="shared" si="73"/>
        <v>9.8648155627216851E-4</v>
      </c>
      <c r="AA91" s="170">
        <f>SUM(U91:Z91)</f>
        <v>0.89503336127346711</v>
      </c>
    </row>
    <row r="92" spans="10:27" ht="15.75" customHeight="1" x14ac:dyDescent="0.15">
      <c r="AA92" s="97"/>
    </row>
    <row r="93" spans="10:27" ht="15.75" customHeight="1" x14ac:dyDescent="0.15">
      <c r="L93">
        <v>3.9931942437599997E-4</v>
      </c>
      <c r="M93">
        <v>0</v>
      </c>
      <c r="N93">
        <v>6.1130297985122024E-3</v>
      </c>
      <c r="O93">
        <v>0</v>
      </c>
      <c r="P93">
        <v>1.3082351144405701E-6</v>
      </c>
      <c r="Q93">
        <v>0</v>
      </c>
      <c r="T93" s="14" t="s">
        <v>121</v>
      </c>
      <c r="U93" s="14" t="s">
        <v>122</v>
      </c>
    </row>
    <row r="94" spans="10:27" ht="15.75" customHeight="1" x14ac:dyDescent="0.15">
      <c r="S94" s="17" t="s">
        <v>25</v>
      </c>
      <c r="T94">
        <f>1-B46/(B46+SUM(G46:H46))</f>
        <v>1.1372019997679672E-5</v>
      </c>
      <c r="U94">
        <f>B46/(B46+SUM(G46:H46))</f>
        <v>0.99998862798000232</v>
      </c>
    </row>
    <row r="95" spans="10:27" ht="15.75" customHeight="1" x14ac:dyDescent="0.15">
      <c r="S95" s="19" t="s">
        <v>26</v>
      </c>
      <c r="T95">
        <f>1-B47/(B47+SUM(G47:H47))</f>
        <v>7.7744340831187309E-5</v>
      </c>
      <c r="U95">
        <f t="shared" ref="U95:U99" si="74">B47/(B47+SUM(G47:H47))</f>
        <v>0.99992225565916881</v>
      </c>
    </row>
    <row r="96" spans="10:27" ht="15.75" customHeight="1" x14ac:dyDescent="0.15">
      <c r="S96" s="21" t="s">
        <v>27</v>
      </c>
      <c r="T96">
        <f t="shared" ref="T96:T99" si="75">1-B48/(B48+SUM(G48:H48))</f>
        <v>1.5925733333177483E-4</v>
      </c>
      <c r="U96">
        <f t="shared" si="74"/>
        <v>0.99984074266666823</v>
      </c>
    </row>
    <row r="97" spans="19:21" ht="15.75" customHeight="1" x14ac:dyDescent="0.15">
      <c r="S97" s="19" t="s">
        <v>28</v>
      </c>
      <c r="T97">
        <f t="shared" si="75"/>
        <v>1.1794394369823991E-4</v>
      </c>
      <c r="U97">
        <f t="shared" si="74"/>
        <v>0.99988205605630176</v>
      </c>
    </row>
    <row r="98" spans="19:21" ht="15.75" customHeight="1" x14ac:dyDescent="0.15">
      <c r="S98" s="19" t="s">
        <v>29</v>
      </c>
      <c r="T98">
        <f t="shared" si="75"/>
        <v>3.243546493003624E-5</v>
      </c>
      <c r="U98">
        <f t="shared" si="74"/>
        <v>0.99996756453506996</v>
      </c>
    </row>
    <row r="99" spans="19:21" ht="15.75" customHeight="1" thickBot="1" x14ac:dyDescent="0.2">
      <c r="S99" s="22" t="s">
        <v>30</v>
      </c>
      <c r="T99">
        <f t="shared" si="75"/>
        <v>1.4761785261718785E-5</v>
      </c>
      <c r="U99">
        <f t="shared" si="74"/>
        <v>0.99998523821473828</v>
      </c>
    </row>
  </sheetData>
  <mergeCells count="1">
    <mergeCell ref="J1:L1"/>
  </mergeCells>
  <conditionalFormatting sqref="D48">
    <cfRule type="containsText" dxfId="1" priority="2" stopIfTrue="1" operator="containsText" text="write">
      <formula>NOT(ISERROR(SEARCH("write",D48)))</formula>
    </cfRule>
  </conditionalFormatting>
  <conditionalFormatting sqref="AC46">
    <cfRule type="containsText" dxfId="0" priority="1" stopIfTrue="1" operator="containsText" text="write">
      <formula>NOT(ISERROR(SEARCH("write",AC46)))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1D809-C927-EB40-8D59-79FC1C967DD5}">
  <sheetPr codeName="Hoja9"/>
  <dimension ref="A1:Z31"/>
  <sheetViews>
    <sheetView workbookViewId="0">
      <selection activeCell="U3" sqref="U3"/>
    </sheetView>
  </sheetViews>
  <sheetFormatPr baseColWidth="10" defaultColWidth="8.6640625" defaultRowHeight="14" x14ac:dyDescent="0.15"/>
  <cols>
    <col min="1" max="3" width="8.6640625" style="144"/>
    <col min="4" max="4" width="12.83203125" style="144" bestFit="1" customWidth="1"/>
    <col min="5" max="5" width="8.6640625" style="144"/>
    <col min="6" max="6" width="19" style="144" bestFit="1" customWidth="1"/>
    <col min="7" max="7" width="17.5" style="144" bestFit="1" customWidth="1"/>
    <col min="8" max="11" width="12.33203125" style="144" bestFit="1" customWidth="1"/>
    <col min="12" max="19" width="8.6640625" style="144"/>
    <col min="20" max="25" width="15.1640625" style="144" customWidth="1"/>
    <col min="26" max="259" width="8.6640625" style="144"/>
    <col min="260" max="260" width="12.83203125" style="144" bestFit="1" customWidth="1"/>
    <col min="261" max="261" width="8.6640625" style="144"/>
    <col min="262" max="262" width="19" style="144" bestFit="1" customWidth="1"/>
    <col min="263" max="263" width="17.5" style="144" bestFit="1" customWidth="1"/>
    <col min="264" max="264" width="12.33203125" style="144" bestFit="1" customWidth="1"/>
    <col min="265" max="515" width="8.6640625" style="144"/>
    <col min="516" max="516" width="12.83203125" style="144" bestFit="1" customWidth="1"/>
    <col min="517" max="517" width="8.6640625" style="144"/>
    <col min="518" max="518" width="19" style="144" bestFit="1" customWidth="1"/>
    <col min="519" max="519" width="17.5" style="144" bestFit="1" customWidth="1"/>
    <col min="520" max="520" width="12.33203125" style="144" bestFit="1" customWidth="1"/>
    <col min="521" max="771" width="8.6640625" style="144"/>
    <col min="772" max="772" width="12.83203125" style="144" bestFit="1" customWidth="1"/>
    <col min="773" max="773" width="8.6640625" style="144"/>
    <col min="774" max="774" width="19" style="144" bestFit="1" customWidth="1"/>
    <col min="775" max="775" width="17.5" style="144" bestFit="1" customWidth="1"/>
    <col min="776" max="776" width="12.33203125" style="144" bestFit="1" customWidth="1"/>
    <col min="777" max="1027" width="8.6640625" style="144"/>
    <col min="1028" max="1028" width="12.83203125" style="144" bestFit="1" customWidth="1"/>
    <col min="1029" max="1029" width="8.6640625" style="144"/>
    <col min="1030" max="1030" width="19" style="144" bestFit="1" customWidth="1"/>
    <col min="1031" max="1031" width="17.5" style="144" bestFit="1" customWidth="1"/>
    <col min="1032" max="1032" width="12.33203125" style="144" bestFit="1" customWidth="1"/>
    <col min="1033" max="1283" width="8.6640625" style="144"/>
    <col min="1284" max="1284" width="12.83203125" style="144" bestFit="1" customWidth="1"/>
    <col min="1285" max="1285" width="8.6640625" style="144"/>
    <col min="1286" max="1286" width="19" style="144" bestFit="1" customWidth="1"/>
    <col min="1287" max="1287" width="17.5" style="144" bestFit="1" customWidth="1"/>
    <col min="1288" max="1288" width="12.33203125" style="144" bestFit="1" customWidth="1"/>
    <col min="1289" max="1539" width="8.6640625" style="144"/>
    <col min="1540" max="1540" width="12.83203125" style="144" bestFit="1" customWidth="1"/>
    <col min="1541" max="1541" width="8.6640625" style="144"/>
    <col min="1542" max="1542" width="19" style="144" bestFit="1" customWidth="1"/>
    <col min="1543" max="1543" width="17.5" style="144" bestFit="1" customWidth="1"/>
    <col min="1544" max="1544" width="12.33203125" style="144" bestFit="1" customWidth="1"/>
    <col min="1545" max="1795" width="8.6640625" style="144"/>
    <col min="1796" max="1796" width="12.83203125" style="144" bestFit="1" customWidth="1"/>
    <col min="1797" max="1797" width="8.6640625" style="144"/>
    <col min="1798" max="1798" width="19" style="144" bestFit="1" customWidth="1"/>
    <col min="1799" max="1799" width="17.5" style="144" bestFit="1" customWidth="1"/>
    <col min="1800" max="1800" width="12.33203125" style="144" bestFit="1" customWidth="1"/>
    <col min="1801" max="2051" width="8.6640625" style="144"/>
    <col min="2052" max="2052" width="12.83203125" style="144" bestFit="1" customWidth="1"/>
    <col min="2053" max="2053" width="8.6640625" style="144"/>
    <col min="2054" max="2054" width="19" style="144" bestFit="1" customWidth="1"/>
    <col min="2055" max="2055" width="17.5" style="144" bestFit="1" customWidth="1"/>
    <col min="2056" max="2056" width="12.33203125" style="144" bestFit="1" customWidth="1"/>
    <col min="2057" max="2307" width="8.6640625" style="144"/>
    <col min="2308" max="2308" width="12.83203125" style="144" bestFit="1" customWidth="1"/>
    <col min="2309" max="2309" width="8.6640625" style="144"/>
    <col min="2310" max="2310" width="19" style="144" bestFit="1" customWidth="1"/>
    <col min="2311" max="2311" width="17.5" style="144" bestFit="1" customWidth="1"/>
    <col min="2312" max="2312" width="12.33203125" style="144" bestFit="1" customWidth="1"/>
    <col min="2313" max="2563" width="8.6640625" style="144"/>
    <col min="2564" max="2564" width="12.83203125" style="144" bestFit="1" customWidth="1"/>
    <col min="2565" max="2565" width="8.6640625" style="144"/>
    <col min="2566" max="2566" width="19" style="144" bestFit="1" customWidth="1"/>
    <col min="2567" max="2567" width="17.5" style="144" bestFit="1" customWidth="1"/>
    <col min="2568" max="2568" width="12.33203125" style="144" bestFit="1" customWidth="1"/>
    <col min="2569" max="2819" width="8.6640625" style="144"/>
    <col min="2820" max="2820" width="12.83203125" style="144" bestFit="1" customWidth="1"/>
    <col min="2821" max="2821" width="8.6640625" style="144"/>
    <col min="2822" max="2822" width="19" style="144" bestFit="1" customWidth="1"/>
    <col min="2823" max="2823" width="17.5" style="144" bestFit="1" customWidth="1"/>
    <col min="2824" max="2824" width="12.33203125" style="144" bestFit="1" customWidth="1"/>
    <col min="2825" max="3075" width="8.6640625" style="144"/>
    <col min="3076" max="3076" width="12.83203125" style="144" bestFit="1" customWidth="1"/>
    <col min="3077" max="3077" width="8.6640625" style="144"/>
    <col min="3078" max="3078" width="19" style="144" bestFit="1" customWidth="1"/>
    <col min="3079" max="3079" width="17.5" style="144" bestFit="1" customWidth="1"/>
    <col min="3080" max="3080" width="12.33203125" style="144" bestFit="1" customWidth="1"/>
    <col min="3081" max="3331" width="8.6640625" style="144"/>
    <col min="3332" max="3332" width="12.83203125" style="144" bestFit="1" customWidth="1"/>
    <col min="3333" max="3333" width="8.6640625" style="144"/>
    <col min="3334" max="3334" width="19" style="144" bestFit="1" customWidth="1"/>
    <col min="3335" max="3335" width="17.5" style="144" bestFit="1" customWidth="1"/>
    <col min="3336" max="3336" width="12.33203125" style="144" bestFit="1" customWidth="1"/>
    <col min="3337" max="3587" width="8.6640625" style="144"/>
    <col min="3588" max="3588" width="12.83203125" style="144" bestFit="1" customWidth="1"/>
    <col min="3589" max="3589" width="8.6640625" style="144"/>
    <col min="3590" max="3590" width="19" style="144" bestFit="1" customWidth="1"/>
    <col min="3591" max="3591" width="17.5" style="144" bestFit="1" customWidth="1"/>
    <col min="3592" max="3592" width="12.33203125" style="144" bestFit="1" customWidth="1"/>
    <col min="3593" max="3843" width="8.6640625" style="144"/>
    <col min="3844" max="3844" width="12.83203125" style="144" bestFit="1" customWidth="1"/>
    <col min="3845" max="3845" width="8.6640625" style="144"/>
    <col min="3846" max="3846" width="19" style="144" bestFit="1" customWidth="1"/>
    <col min="3847" max="3847" width="17.5" style="144" bestFit="1" customWidth="1"/>
    <col min="3848" max="3848" width="12.33203125" style="144" bestFit="1" customWidth="1"/>
    <col min="3849" max="4099" width="8.6640625" style="144"/>
    <col min="4100" max="4100" width="12.83203125" style="144" bestFit="1" customWidth="1"/>
    <col min="4101" max="4101" width="8.6640625" style="144"/>
    <col min="4102" max="4102" width="19" style="144" bestFit="1" customWidth="1"/>
    <col min="4103" max="4103" width="17.5" style="144" bestFit="1" customWidth="1"/>
    <col min="4104" max="4104" width="12.33203125" style="144" bestFit="1" customWidth="1"/>
    <col min="4105" max="4355" width="8.6640625" style="144"/>
    <col min="4356" max="4356" width="12.83203125" style="144" bestFit="1" customWidth="1"/>
    <col min="4357" max="4357" width="8.6640625" style="144"/>
    <col min="4358" max="4358" width="19" style="144" bestFit="1" customWidth="1"/>
    <col min="4359" max="4359" width="17.5" style="144" bestFit="1" customWidth="1"/>
    <col min="4360" max="4360" width="12.33203125" style="144" bestFit="1" customWidth="1"/>
    <col min="4361" max="4611" width="8.6640625" style="144"/>
    <col min="4612" max="4612" width="12.83203125" style="144" bestFit="1" customWidth="1"/>
    <col min="4613" max="4613" width="8.6640625" style="144"/>
    <col min="4614" max="4614" width="19" style="144" bestFit="1" customWidth="1"/>
    <col min="4615" max="4615" width="17.5" style="144" bestFit="1" customWidth="1"/>
    <col min="4616" max="4616" width="12.33203125" style="144" bestFit="1" customWidth="1"/>
    <col min="4617" max="4867" width="8.6640625" style="144"/>
    <col min="4868" max="4868" width="12.83203125" style="144" bestFit="1" customWidth="1"/>
    <col min="4869" max="4869" width="8.6640625" style="144"/>
    <col min="4870" max="4870" width="19" style="144" bestFit="1" customWidth="1"/>
    <col min="4871" max="4871" width="17.5" style="144" bestFit="1" customWidth="1"/>
    <col min="4872" max="4872" width="12.33203125" style="144" bestFit="1" customWidth="1"/>
    <col min="4873" max="5123" width="8.6640625" style="144"/>
    <col min="5124" max="5124" width="12.83203125" style="144" bestFit="1" customWidth="1"/>
    <col min="5125" max="5125" width="8.6640625" style="144"/>
    <col min="5126" max="5126" width="19" style="144" bestFit="1" customWidth="1"/>
    <col min="5127" max="5127" width="17.5" style="144" bestFit="1" customWidth="1"/>
    <col min="5128" max="5128" width="12.33203125" style="144" bestFit="1" customWidth="1"/>
    <col min="5129" max="5379" width="8.6640625" style="144"/>
    <col min="5380" max="5380" width="12.83203125" style="144" bestFit="1" customWidth="1"/>
    <col min="5381" max="5381" width="8.6640625" style="144"/>
    <col min="5382" max="5382" width="19" style="144" bestFit="1" customWidth="1"/>
    <col min="5383" max="5383" width="17.5" style="144" bestFit="1" customWidth="1"/>
    <col min="5384" max="5384" width="12.33203125" style="144" bestFit="1" customWidth="1"/>
    <col min="5385" max="5635" width="8.6640625" style="144"/>
    <col min="5636" max="5636" width="12.83203125" style="144" bestFit="1" customWidth="1"/>
    <col min="5637" max="5637" width="8.6640625" style="144"/>
    <col min="5638" max="5638" width="19" style="144" bestFit="1" customWidth="1"/>
    <col min="5639" max="5639" width="17.5" style="144" bestFit="1" customWidth="1"/>
    <col min="5640" max="5640" width="12.33203125" style="144" bestFit="1" customWidth="1"/>
    <col min="5641" max="5891" width="8.6640625" style="144"/>
    <col min="5892" max="5892" width="12.83203125" style="144" bestFit="1" customWidth="1"/>
    <col min="5893" max="5893" width="8.6640625" style="144"/>
    <col min="5894" max="5894" width="19" style="144" bestFit="1" customWidth="1"/>
    <col min="5895" max="5895" width="17.5" style="144" bestFit="1" customWidth="1"/>
    <col min="5896" max="5896" width="12.33203125" style="144" bestFit="1" customWidth="1"/>
    <col min="5897" max="6147" width="8.6640625" style="144"/>
    <col min="6148" max="6148" width="12.83203125" style="144" bestFit="1" customWidth="1"/>
    <col min="6149" max="6149" width="8.6640625" style="144"/>
    <col min="6150" max="6150" width="19" style="144" bestFit="1" customWidth="1"/>
    <col min="6151" max="6151" width="17.5" style="144" bestFit="1" customWidth="1"/>
    <col min="6152" max="6152" width="12.33203125" style="144" bestFit="1" customWidth="1"/>
    <col min="6153" max="6403" width="8.6640625" style="144"/>
    <col min="6404" max="6404" width="12.83203125" style="144" bestFit="1" customWidth="1"/>
    <col min="6405" max="6405" width="8.6640625" style="144"/>
    <col min="6406" max="6406" width="19" style="144" bestFit="1" customWidth="1"/>
    <col min="6407" max="6407" width="17.5" style="144" bestFit="1" customWidth="1"/>
    <col min="6408" max="6408" width="12.33203125" style="144" bestFit="1" customWidth="1"/>
    <col min="6409" max="6659" width="8.6640625" style="144"/>
    <col min="6660" max="6660" width="12.83203125" style="144" bestFit="1" customWidth="1"/>
    <col min="6661" max="6661" width="8.6640625" style="144"/>
    <col min="6662" max="6662" width="19" style="144" bestFit="1" customWidth="1"/>
    <col min="6663" max="6663" width="17.5" style="144" bestFit="1" customWidth="1"/>
    <col min="6664" max="6664" width="12.33203125" style="144" bestFit="1" customWidth="1"/>
    <col min="6665" max="6915" width="8.6640625" style="144"/>
    <col min="6916" max="6916" width="12.83203125" style="144" bestFit="1" customWidth="1"/>
    <col min="6917" max="6917" width="8.6640625" style="144"/>
    <col min="6918" max="6918" width="19" style="144" bestFit="1" customWidth="1"/>
    <col min="6919" max="6919" width="17.5" style="144" bestFit="1" customWidth="1"/>
    <col min="6920" max="6920" width="12.33203125" style="144" bestFit="1" customWidth="1"/>
    <col min="6921" max="7171" width="8.6640625" style="144"/>
    <col min="7172" max="7172" width="12.83203125" style="144" bestFit="1" customWidth="1"/>
    <col min="7173" max="7173" width="8.6640625" style="144"/>
    <col min="7174" max="7174" width="19" style="144" bestFit="1" customWidth="1"/>
    <col min="7175" max="7175" width="17.5" style="144" bestFit="1" customWidth="1"/>
    <col min="7176" max="7176" width="12.33203125" style="144" bestFit="1" customWidth="1"/>
    <col min="7177" max="7427" width="8.6640625" style="144"/>
    <col min="7428" max="7428" width="12.83203125" style="144" bestFit="1" customWidth="1"/>
    <col min="7429" max="7429" width="8.6640625" style="144"/>
    <col min="7430" max="7430" width="19" style="144" bestFit="1" customWidth="1"/>
    <col min="7431" max="7431" width="17.5" style="144" bestFit="1" customWidth="1"/>
    <col min="7432" max="7432" width="12.33203125" style="144" bestFit="1" customWidth="1"/>
    <col min="7433" max="7683" width="8.6640625" style="144"/>
    <col min="7684" max="7684" width="12.83203125" style="144" bestFit="1" customWidth="1"/>
    <col min="7685" max="7685" width="8.6640625" style="144"/>
    <col min="7686" max="7686" width="19" style="144" bestFit="1" customWidth="1"/>
    <col min="7687" max="7687" width="17.5" style="144" bestFit="1" customWidth="1"/>
    <col min="7688" max="7688" width="12.33203125" style="144" bestFit="1" customWidth="1"/>
    <col min="7689" max="7939" width="8.6640625" style="144"/>
    <col min="7940" max="7940" width="12.83203125" style="144" bestFit="1" customWidth="1"/>
    <col min="7941" max="7941" width="8.6640625" style="144"/>
    <col min="7942" max="7942" width="19" style="144" bestFit="1" customWidth="1"/>
    <col min="7943" max="7943" width="17.5" style="144" bestFit="1" customWidth="1"/>
    <col min="7944" max="7944" width="12.33203125" style="144" bestFit="1" customWidth="1"/>
    <col min="7945" max="8195" width="8.6640625" style="144"/>
    <col min="8196" max="8196" width="12.83203125" style="144" bestFit="1" customWidth="1"/>
    <col min="8197" max="8197" width="8.6640625" style="144"/>
    <col min="8198" max="8198" width="19" style="144" bestFit="1" customWidth="1"/>
    <col min="8199" max="8199" width="17.5" style="144" bestFit="1" customWidth="1"/>
    <col min="8200" max="8200" width="12.33203125" style="144" bestFit="1" customWidth="1"/>
    <col min="8201" max="8451" width="8.6640625" style="144"/>
    <col min="8452" max="8452" width="12.83203125" style="144" bestFit="1" customWidth="1"/>
    <col min="8453" max="8453" width="8.6640625" style="144"/>
    <col min="8454" max="8454" width="19" style="144" bestFit="1" customWidth="1"/>
    <col min="8455" max="8455" width="17.5" style="144" bestFit="1" customWidth="1"/>
    <col min="8456" max="8456" width="12.33203125" style="144" bestFit="1" customWidth="1"/>
    <col min="8457" max="8707" width="8.6640625" style="144"/>
    <col min="8708" max="8708" width="12.83203125" style="144" bestFit="1" customWidth="1"/>
    <col min="8709" max="8709" width="8.6640625" style="144"/>
    <col min="8710" max="8710" width="19" style="144" bestFit="1" customWidth="1"/>
    <col min="8711" max="8711" width="17.5" style="144" bestFit="1" customWidth="1"/>
    <col min="8712" max="8712" width="12.33203125" style="144" bestFit="1" customWidth="1"/>
    <col min="8713" max="8963" width="8.6640625" style="144"/>
    <col min="8964" max="8964" width="12.83203125" style="144" bestFit="1" customWidth="1"/>
    <col min="8965" max="8965" width="8.6640625" style="144"/>
    <col min="8966" max="8966" width="19" style="144" bestFit="1" customWidth="1"/>
    <col min="8967" max="8967" width="17.5" style="144" bestFit="1" customWidth="1"/>
    <col min="8968" max="8968" width="12.33203125" style="144" bestFit="1" customWidth="1"/>
    <col min="8969" max="9219" width="8.6640625" style="144"/>
    <col min="9220" max="9220" width="12.83203125" style="144" bestFit="1" customWidth="1"/>
    <col min="9221" max="9221" width="8.6640625" style="144"/>
    <col min="9222" max="9222" width="19" style="144" bestFit="1" customWidth="1"/>
    <col min="9223" max="9223" width="17.5" style="144" bestFit="1" customWidth="1"/>
    <col min="9224" max="9224" width="12.33203125" style="144" bestFit="1" customWidth="1"/>
    <col min="9225" max="9475" width="8.6640625" style="144"/>
    <col min="9476" max="9476" width="12.83203125" style="144" bestFit="1" customWidth="1"/>
    <col min="9477" max="9477" width="8.6640625" style="144"/>
    <col min="9478" max="9478" width="19" style="144" bestFit="1" customWidth="1"/>
    <col min="9479" max="9479" width="17.5" style="144" bestFit="1" customWidth="1"/>
    <col min="9480" max="9480" width="12.33203125" style="144" bestFit="1" customWidth="1"/>
    <col min="9481" max="9731" width="8.6640625" style="144"/>
    <col min="9732" max="9732" width="12.83203125" style="144" bestFit="1" customWidth="1"/>
    <col min="9733" max="9733" width="8.6640625" style="144"/>
    <col min="9734" max="9734" width="19" style="144" bestFit="1" customWidth="1"/>
    <col min="9735" max="9735" width="17.5" style="144" bestFit="1" customWidth="1"/>
    <col min="9736" max="9736" width="12.33203125" style="144" bestFit="1" customWidth="1"/>
    <col min="9737" max="9987" width="8.6640625" style="144"/>
    <col min="9988" max="9988" width="12.83203125" style="144" bestFit="1" customWidth="1"/>
    <col min="9989" max="9989" width="8.6640625" style="144"/>
    <col min="9990" max="9990" width="19" style="144" bestFit="1" customWidth="1"/>
    <col min="9991" max="9991" width="17.5" style="144" bestFit="1" customWidth="1"/>
    <col min="9992" max="9992" width="12.33203125" style="144" bestFit="1" customWidth="1"/>
    <col min="9993" max="10243" width="8.6640625" style="144"/>
    <col min="10244" max="10244" width="12.83203125" style="144" bestFit="1" customWidth="1"/>
    <col min="10245" max="10245" width="8.6640625" style="144"/>
    <col min="10246" max="10246" width="19" style="144" bestFit="1" customWidth="1"/>
    <col min="10247" max="10247" width="17.5" style="144" bestFit="1" customWidth="1"/>
    <col min="10248" max="10248" width="12.33203125" style="144" bestFit="1" customWidth="1"/>
    <col min="10249" max="10499" width="8.6640625" style="144"/>
    <col min="10500" max="10500" width="12.83203125" style="144" bestFit="1" customWidth="1"/>
    <col min="10501" max="10501" width="8.6640625" style="144"/>
    <col min="10502" max="10502" width="19" style="144" bestFit="1" customWidth="1"/>
    <col min="10503" max="10503" width="17.5" style="144" bestFit="1" customWidth="1"/>
    <col min="10504" max="10504" width="12.33203125" style="144" bestFit="1" customWidth="1"/>
    <col min="10505" max="10755" width="8.6640625" style="144"/>
    <col min="10756" max="10756" width="12.83203125" style="144" bestFit="1" customWidth="1"/>
    <col min="10757" max="10757" width="8.6640625" style="144"/>
    <col min="10758" max="10758" width="19" style="144" bestFit="1" customWidth="1"/>
    <col min="10759" max="10759" width="17.5" style="144" bestFit="1" customWidth="1"/>
    <col min="10760" max="10760" width="12.33203125" style="144" bestFit="1" customWidth="1"/>
    <col min="10761" max="11011" width="8.6640625" style="144"/>
    <col min="11012" max="11012" width="12.83203125" style="144" bestFit="1" customWidth="1"/>
    <col min="11013" max="11013" width="8.6640625" style="144"/>
    <col min="11014" max="11014" width="19" style="144" bestFit="1" customWidth="1"/>
    <col min="11015" max="11015" width="17.5" style="144" bestFit="1" customWidth="1"/>
    <col min="11016" max="11016" width="12.33203125" style="144" bestFit="1" customWidth="1"/>
    <col min="11017" max="11267" width="8.6640625" style="144"/>
    <col min="11268" max="11268" width="12.83203125" style="144" bestFit="1" customWidth="1"/>
    <col min="11269" max="11269" width="8.6640625" style="144"/>
    <col min="11270" max="11270" width="19" style="144" bestFit="1" customWidth="1"/>
    <col min="11271" max="11271" width="17.5" style="144" bestFit="1" customWidth="1"/>
    <col min="11272" max="11272" width="12.33203125" style="144" bestFit="1" customWidth="1"/>
    <col min="11273" max="11523" width="8.6640625" style="144"/>
    <col min="11524" max="11524" width="12.83203125" style="144" bestFit="1" customWidth="1"/>
    <col min="11525" max="11525" width="8.6640625" style="144"/>
    <col min="11526" max="11526" width="19" style="144" bestFit="1" customWidth="1"/>
    <col min="11527" max="11527" width="17.5" style="144" bestFit="1" customWidth="1"/>
    <col min="11528" max="11528" width="12.33203125" style="144" bestFit="1" customWidth="1"/>
    <col min="11529" max="11779" width="8.6640625" style="144"/>
    <col min="11780" max="11780" width="12.83203125" style="144" bestFit="1" customWidth="1"/>
    <col min="11781" max="11781" width="8.6640625" style="144"/>
    <col min="11782" max="11782" width="19" style="144" bestFit="1" customWidth="1"/>
    <col min="11783" max="11783" width="17.5" style="144" bestFit="1" customWidth="1"/>
    <col min="11784" max="11784" width="12.33203125" style="144" bestFit="1" customWidth="1"/>
    <col min="11785" max="12035" width="8.6640625" style="144"/>
    <col min="12036" max="12036" width="12.83203125" style="144" bestFit="1" customWidth="1"/>
    <col min="12037" max="12037" width="8.6640625" style="144"/>
    <col min="12038" max="12038" width="19" style="144" bestFit="1" customWidth="1"/>
    <col min="12039" max="12039" width="17.5" style="144" bestFit="1" customWidth="1"/>
    <col min="12040" max="12040" width="12.33203125" style="144" bestFit="1" customWidth="1"/>
    <col min="12041" max="12291" width="8.6640625" style="144"/>
    <col min="12292" max="12292" width="12.83203125" style="144" bestFit="1" customWidth="1"/>
    <col min="12293" max="12293" width="8.6640625" style="144"/>
    <col min="12294" max="12294" width="19" style="144" bestFit="1" customWidth="1"/>
    <col min="12295" max="12295" width="17.5" style="144" bestFit="1" customWidth="1"/>
    <col min="12296" max="12296" width="12.33203125" style="144" bestFit="1" customWidth="1"/>
    <col min="12297" max="12547" width="8.6640625" style="144"/>
    <col min="12548" max="12548" width="12.83203125" style="144" bestFit="1" customWidth="1"/>
    <col min="12549" max="12549" width="8.6640625" style="144"/>
    <col min="12550" max="12550" width="19" style="144" bestFit="1" customWidth="1"/>
    <col min="12551" max="12551" width="17.5" style="144" bestFit="1" customWidth="1"/>
    <col min="12552" max="12552" width="12.33203125" style="144" bestFit="1" customWidth="1"/>
    <col min="12553" max="12803" width="8.6640625" style="144"/>
    <col min="12804" max="12804" width="12.83203125" style="144" bestFit="1" customWidth="1"/>
    <col min="12805" max="12805" width="8.6640625" style="144"/>
    <col min="12806" max="12806" width="19" style="144" bestFit="1" customWidth="1"/>
    <col min="12807" max="12807" width="17.5" style="144" bestFit="1" customWidth="1"/>
    <col min="12808" max="12808" width="12.33203125" style="144" bestFit="1" customWidth="1"/>
    <col min="12809" max="13059" width="8.6640625" style="144"/>
    <col min="13060" max="13060" width="12.83203125" style="144" bestFit="1" customWidth="1"/>
    <col min="13061" max="13061" width="8.6640625" style="144"/>
    <col min="13062" max="13062" width="19" style="144" bestFit="1" customWidth="1"/>
    <col min="13063" max="13063" width="17.5" style="144" bestFit="1" customWidth="1"/>
    <col min="13064" max="13064" width="12.33203125" style="144" bestFit="1" customWidth="1"/>
    <col min="13065" max="13315" width="8.6640625" style="144"/>
    <col min="13316" max="13316" width="12.83203125" style="144" bestFit="1" customWidth="1"/>
    <col min="13317" max="13317" width="8.6640625" style="144"/>
    <col min="13318" max="13318" width="19" style="144" bestFit="1" customWidth="1"/>
    <col min="13319" max="13319" width="17.5" style="144" bestFit="1" customWidth="1"/>
    <col min="13320" max="13320" width="12.33203125" style="144" bestFit="1" customWidth="1"/>
    <col min="13321" max="13571" width="8.6640625" style="144"/>
    <col min="13572" max="13572" width="12.83203125" style="144" bestFit="1" customWidth="1"/>
    <col min="13573" max="13573" width="8.6640625" style="144"/>
    <col min="13574" max="13574" width="19" style="144" bestFit="1" customWidth="1"/>
    <col min="13575" max="13575" width="17.5" style="144" bestFit="1" customWidth="1"/>
    <col min="13576" max="13576" width="12.33203125" style="144" bestFit="1" customWidth="1"/>
    <col min="13577" max="13827" width="8.6640625" style="144"/>
    <col min="13828" max="13828" width="12.83203125" style="144" bestFit="1" customWidth="1"/>
    <col min="13829" max="13829" width="8.6640625" style="144"/>
    <col min="13830" max="13830" width="19" style="144" bestFit="1" customWidth="1"/>
    <col min="13831" max="13831" width="17.5" style="144" bestFit="1" customWidth="1"/>
    <col min="13832" max="13832" width="12.33203125" style="144" bestFit="1" customWidth="1"/>
    <col min="13833" max="14083" width="8.6640625" style="144"/>
    <col min="14084" max="14084" width="12.83203125" style="144" bestFit="1" customWidth="1"/>
    <col min="14085" max="14085" width="8.6640625" style="144"/>
    <col min="14086" max="14086" width="19" style="144" bestFit="1" customWidth="1"/>
    <col min="14087" max="14087" width="17.5" style="144" bestFit="1" customWidth="1"/>
    <col min="14088" max="14088" width="12.33203125" style="144" bestFit="1" customWidth="1"/>
    <col min="14089" max="14339" width="8.6640625" style="144"/>
    <col min="14340" max="14340" width="12.83203125" style="144" bestFit="1" customWidth="1"/>
    <col min="14341" max="14341" width="8.6640625" style="144"/>
    <col min="14342" max="14342" width="19" style="144" bestFit="1" customWidth="1"/>
    <col min="14343" max="14343" width="17.5" style="144" bestFit="1" customWidth="1"/>
    <col min="14344" max="14344" width="12.33203125" style="144" bestFit="1" customWidth="1"/>
    <col min="14345" max="14595" width="8.6640625" style="144"/>
    <col min="14596" max="14596" width="12.83203125" style="144" bestFit="1" customWidth="1"/>
    <col min="14597" max="14597" width="8.6640625" style="144"/>
    <col min="14598" max="14598" width="19" style="144" bestFit="1" customWidth="1"/>
    <col min="14599" max="14599" width="17.5" style="144" bestFit="1" customWidth="1"/>
    <col min="14600" max="14600" width="12.33203125" style="144" bestFit="1" customWidth="1"/>
    <col min="14601" max="14851" width="8.6640625" style="144"/>
    <col min="14852" max="14852" width="12.83203125" style="144" bestFit="1" customWidth="1"/>
    <col min="14853" max="14853" width="8.6640625" style="144"/>
    <col min="14854" max="14854" width="19" style="144" bestFit="1" customWidth="1"/>
    <col min="14855" max="14855" width="17.5" style="144" bestFit="1" customWidth="1"/>
    <col min="14856" max="14856" width="12.33203125" style="144" bestFit="1" customWidth="1"/>
    <col min="14857" max="15107" width="8.6640625" style="144"/>
    <col min="15108" max="15108" width="12.83203125" style="144" bestFit="1" customWidth="1"/>
    <col min="15109" max="15109" width="8.6640625" style="144"/>
    <col min="15110" max="15110" width="19" style="144" bestFit="1" customWidth="1"/>
    <col min="15111" max="15111" width="17.5" style="144" bestFit="1" customWidth="1"/>
    <col min="15112" max="15112" width="12.33203125" style="144" bestFit="1" customWidth="1"/>
    <col min="15113" max="15363" width="8.6640625" style="144"/>
    <col min="15364" max="15364" width="12.83203125" style="144" bestFit="1" customWidth="1"/>
    <col min="15365" max="15365" width="8.6640625" style="144"/>
    <col min="15366" max="15366" width="19" style="144" bestFit="1" customWidth="1"/>
    <col min="15367" max="15367" width="17.5" style="144" bestFit="1" customWidth="1"/>
    <col min="15368" max="15368" width="12.33203125" style="144" bestFit="1" customWidth="1"/>
    <col min="15369" max="15619" width="8.6640625" style="144"/>
    <col min="15620" max="15620" width="12.83203125" style="144" bestFit="1" customWidth="1"/>
    <col min="15621" max="15621" width="8.6640625" style="144"/>
    <col min="15622" max="15622" width="19" style="144" bestFit="1" customWidth="1"/>
    <col min="15623" max="15623" width="17.5" style="144" bestFit="1" customWidth="1"/>
    <col min="15624" max="15624" width="12.33203125" style="144" bestFit="1" customWidth="1"/>
    <col min="15625" max="15875" width="8.6640625" style="144"/>
    <col min="15876" max="15876" width="12.83203125" style="144" bestFit="1" customWidth="1"/>
    <col min="15877" max="15877" width="8.6640625" style="144"/>
    <col min="15878" max="15878" width="19" style="144" bestFit="1" customWidth="1"/>
    <col min="15879" max="15879" width="17.5" style="144" bestFit="1" customWidth="1"/>
    <col min="15880" max="15880" width="12.33203125" style="144" bestFit="1" customWidth="1"/>
    <col min="15881" max="16131" width="8.6640625" style="144"/>
    <col min="16132" max="16132" width="12.83203125" style="144" bestFit="1" customWidth="1"/>
    <col min="16133" max="16133" width="8.6640625" style="144"/>
    <col min="16134" max="16134" width="19" style="144" bestFit="1" customWidth="1"/>
    <col min="16135" max="16135" width="17.5" style="144" bestFit="1" customWidth="1"/>
    <col min="16136" max="16136" width="12.33203125" style="144" bestFit="1" customWidth="1"/>
    <col min="16137" max="16384" width="8.6640625" style="144"/>
  </cols>
  <sheetData>
    <row r="1" spans="1:26" ht="15" thickBot="1" x14ac:dyDescent="0.2">
      <c r="A1" s="155" t="s">
        <v>134</v>
      </c>
      <c r="B1" s="156" t="s">
        <v>135</v>
      </c>
      <c r="C1" s="156" t="s">
        <v>136</v>
      </c>
      <c r="D1" s="187" t="s">
        <v>87</v>
      </c>
      <c r="E1" s="188" t="s">
        <v>137</v>
      </c>
      <c r="F1" s="144" t="s">
        <v>87</v>
      </c>
      <c r="G1" s="189" t="s">
        <v>145</v>
      </c>
      <c r="H1" s="144" t="s">
        <v>151</v>
      </c>
      <c r="I1" s="144" t="s">
        <v>152</v>
      </c>
      <c r="J1" s="144" t="s">
        <v>82</v>
      </c>
      <c r="K1" s="144" t="s">
        <v>83</v>
      </c>
      <c r="Q1" s="108" t="s">
        <v>177</v>
      </c>
      <c r="R1" s="108" t="s">
        <v>178</v>
      </c>
      <c r="T1" s="140">
        <f>_xlfn.SWITCH(Q2,60,60,59,60,58,60,57,58,56,58,55,56,54,IF(I2&gt;$R$2,54,56))</f>
        <v>60</v>
      </c>
      <c r="U1" s="140"/>
      <c r="V1" s="140"/>
      <c r="W1" s="140"/>
      <c r="X1" s="140"/>
      <c r="Y1" s="140"/>
    </row>
    <row r="2" spans="1:26" x14ac:dyDescent="0.15">
      <c r="A2" s="190"/>
      <c r="B2" s="190"/>
      <c r="C2" s="190">
        <f>_xlfn.SWITCH(Q2,60,60,59,60,58,60,57,58,56,58,55,56,54,IF(B2&gt;$R$2,54,56))</f>
        <v>60</v>
      </c>
      <c r="D2" s="190" t="s">
        <v>91</v>
      </c>
      <c r="E2" s="191">
        <v>6184</v>
      </c>
      <c r="F2" s="144" t="s">
        <v>157</v>
      </c>
      <c r="G2" s="144">
        <v>9661.6875</v>
      </c>
      <c r="H2" s="137">
        <f>E2*$U$6</f>
        <v>6.1840000000000004E-6</v>
      </c>
      <c r="I2" s="140">
        <f>_xlfn.SWITCH(C2+$U$2,54,$Z$10,55,$Y$10,56,$X$10,57,$W$10,58,$V$10,59,$U$10,$U$17)*H2</f>
        <v>1.9476681151999998E-6</v>
      </c>
      <c r="J2" s="140"/>
      <c r="K2" s="140">
        <f>_xlfn.SWITCH(C2+$U$2,54,$Z$12,55,$Y$12,56,$X$12,57,$W$12,58,$V$12,59,$U$12,$U$19)*G2*$U$6</f>
        <v>6.4169353550624998E-7</v>
      </c>
      <c r="Q2" s="190">
        <v>60</v>
      </c>
      <c r="R2">
        <v>0.890666663646697</v>
      </c>
      <c r="T2" s="108" t="s">
        <v>171</v>
      </c>
      <c r="U2" s="108">
        <v>1</v>
      </c>
      <c r="V2" s="108"/>
      <c r="W2" s="108"/>
      <c r="X2" s="108"/>
      <c r="Y2" s="108"/>
    </row>
    <row r="3" spans="1:26" x14ac:dyDescent="0.15">
      <c r="A3" s="192">
        <v>0</v>
      </c>
      <c r="B3" s="193">
        <v>0.75866669416427612</v>
      </c>
      <c r="C3" s="190">
        <f t="shared" ref="C3:C13" si="0">_xlfn.SWITCH(Q3,60,60,59,60,58,60,57,58,56,58,55,56,54,IF(B3&gt;$R$2,54,56))</f>
        <v>56</v>
      </c>
      <c r="D3" s="192" t="s">
        <v>90</v>
      </c>
      <c r="E3" s="194">
        <v>175744</v>
      </c>
      <c r="F3" s="144" t="s">
        <v>158</v>
      </c>
      <c r="G3" s="144">
        <v>50650.3125</v>
      </c>
      <c r="H3" s="137">
        <f t="shared" ref="H3:H13" si="1">E3*$U$6</f>
        <v>1.75744E-4</v>
      </c>
      <c r="I3" s="140">
        <f t="shared" ref="I3:I13" si="2">_xlfn.SWITCH(C3+$U$2,54,$Z$10,55,$Y$10,56,$X$10,57,$W$10,58,$V$10,59,$U$10,$U$17)*H3</f>
        <v>5.1382905958400005E-5</v>
      </c>
      <c r="J3" s="140">
        <f>_xlfn.SWITCH(C3+$U$2,54,$Z$11,55,$Y$11,56,$X$11,57,$W$11,58,$V$11,59,$U$11,$U$18)*G3*$U$6</f>
        <v>3.7561917197812501E-6</v>
      </c>
      <c r="K3" s="140"/>
      <c r="Q3" s="192">
        <v>55</v>
      </c>
      <c r="T3" s="108"/>
      <c r="U3" s="108"/>
      <c r="V3" s="108"/>
      <c r="W3" s="108"/>
      <c r="X3" s="108"/>
      <c r="Y3" s="108"/>
    </row>
    <row r="4" spans="1:26" x14ac:dyDescent="0.15">
      <c r="A4" s="192">
        <v>1</v>
      </c>
      <c r="B4" s="193">
        <v>0.76133334636688232</v>
      </c>
      <c r="C4" s="190">
        <f t="shared" si="0"/>
        <v>58</v>
      </c>
      <c r="D4" s="192" t="s">
        <v>92</v>
      </c>
      <c r="E4" s="194">
        <v>2800</v>
      </c>
      <c r="F4" s="144" t="s">
        <v>159</v>
      </c>
      <c r="G4" s="144">
        <v>4374</v>
      </c>
      <c r="H4" s="137">
        <f t="shared" si="1"/>
        <v>2.8000000000000003E-6</v>
      </c>
      <c r="I4" s="140">
        <f t="shared" si="2"/>
        <v>8.6079392000000005E-7</v>
      </c>
      <c r="J4" s="140"/>
      <c r="K4" s="140">
        <f t="shared" ref="K3:K12" si="3">_xlfn.SWITCH(C4+$U$2,54,$Z$12,55,$Y$12,56,$X$12,57,$W$12,58,$V$12,59,$U$12,$U$19)*G4*$U$6</f>
        <v>2.7709610758542007E-7</v>
      </c>
      <c r="Q4" s="192">
        <v>56</v>
      </c>
      <c r="T4" s="108"/>
      <c r="U4" s="108"/>
      <c r="V4" s="108"/>
      <c r="W4" s="108"/>
      <c r="X4" s="108"/>
      <c r="Y4" s="108"/>
    </row>
    <row r="5" spans="1:26" x14ac:dyDescent="0.15">
      <c r="A5" s="192">
        <v>2</v>
      </c>
      <c r="B5" s="193">
        <v>0.81066668033599854</v>
      </c>
      <c r="C5" s="190">
        <f t="shared" si="0"/>
        <v>56</v>
      </c>
      <c r="D5" s="192" t="s">
        <v>90</v>
      </c>
      <c r="E5" s="194">
        <v>792052</v>
      </c>
      <c r="F5" s="144" t="s">
        <v>158</v>
      </c>
      <c r="G5" s="144">
        <v>63072</v>
      </c>
      <c r="H5" s="137">
        <f t="shared" si="1"/>
        <v>7.9205200000000001E-4</v>
      </c>
      <c r="I5" s="140">
        <f t="shared" si="2"/>
        <v>2.3157509462720001E-4</v>
      </c>
      <c r="J5" s="140">
        <f t="shared" ref="J4:J13" si="4">_xlfn.SWITCH(C5+$U$2,54,$Z$11,55,$Y$11,56,$X$11,57,$W$11,58,$V$11,59,$U$11,$U$18)*G5*$U$6</f>
        <v>4.6773753695999994E-6</v>
      </c>
      <c r="K5" s="140"/>
      <c r="Q5" s="192">
        <v>55</v>
      </c>
      <c r="T5" s="108" t="s">
        <v>57</v>
      </c>
      <c r="U5" s="108">
        <v>1</v>
      </c>
      <c r="V5" s="108" t="s">
        <v>58</v>
      </c>
      <c r="W5" s="108"/>
      <c r="X5" s="108"/>
      <c r="Y5" s="108"/>
    </row>
    <row r="6" spans="1:26" x14ac:dyDescent="0.15">
      <c r="A6" s="192">
        <v>3</v>
      </c>
      <c r="B6" s="193">
        <v>0.89466667175292969</v>
      </c>
      <c r="C6" s="190">
        <f t="shared" si="0"/>
        <v>54</v>
      </c>
      <c r="D6" s="192" t="s">
        <v>92</v>
      </c>
      <c r="E6" s="194">
        <v>1731</v>
      </c>
      <c r="F6" s="144" t="s">
        <v>159</v>
      </c>
      <c r="G6" s="144">
        <v>2704</v>
      </c>
      <c r="H6" s="137">
        <f t="shared" si="1"/>
        <v>1.731E-6</v>
      </c>
      <c r="I6" s="140">
        <f t="shared" si="2"/>
        <v>4.8004230479999996E-7</v>
      </c>
      <c r="J6" s="140"/>
      <c r="K6" s="140">
        <f t="shared" si="3"/>
        <v>1.3814321386756799E-7</v>
      </c>
      <c r="Q6" s="192">
        <v>54</v>
      </c>
      <c r="T6" s="108"/>
      <c r="U6" s="196">
        <f>U5/1000000000</f>
        <v>1.0000000000000001E-9</v>
      </c>
      <c r="V6" s="108" t="s">
        <v>153</v>
      </c>
      <c r="W6" s="108"/>
      <c r="X6" s="108"/>
      <c r="Y6" s="108"/>
    </row>
    <row r="7" spans="1:26" x14ac:dyDescent="0.15">
      <c r="A7" s="192">
        <v>4</v>
      </c>
      <c r="B7" s="193">
        <v>0.8933333158493042</v>
      </c>
      <c r="C7" s="190">
        <f t="shared" si="0"/>
        <v>54</v>
      </c>
      <c r="D7" s="192" t="s">
        <v>90</v>
      </c>
      <c r="E7" s="194">
        <v>258100</v>
      </c>
      <c r="F7" s="144" t="s">
        <v>158</v>
      </c>
      <c r="G7" s="144">
        <v>58368</v>
      </c>
      <c r="H7" s="137">
        <f t="shared" si="1"/>
        <v>2.5810000000000004E-4</v>
      </c>
      <c r="I7" s="140">
        <f t="shared" si="2"/>
        <v>7.1576498480000001E-5</v>
      </c>
      <c r="J7" s="140">
        <f t="shared" si="4"/>
        <v>3.953570099180544E-6</v>
      </c>
      <c r="K7" s="140"/>
      <c r="Q7" s="192">
        <v>54</v>
      </c>
      <c r="T7" s="108"/>
      <c r="U7" s="108"/>
      <c r="V7" s="108"/>
      <c r="W7" s="108"/>
      <c r="X7" s="108"/>
      <c r="Y7" s="108"/>
    </row>
    <row r="8" spans="1:26" x14ac:dyDescent="0.15">
      <c r="A8" s="192">
        <v>5</v>
      </c>
      <c r="B8" s="193">
        <v>0.8880000114440918</v>
      </c>
      <c r="C8" s="190">
        <f t="shared" si="0"/>
        <v>58</v>
      </c>
      <c r="D8" s="192" t="s">
        <v>90</v>
      </c>
      <c r="E8" s="194">
        <v>43060</v>
      </c>
      <c r="F8" s="144" t="s">
        <v>161</v>
      </c>
      <c r="G8" s="144">
        <v>4056</v>
      </c>
      <c r="H8" s="137">
        <f t="shared" si="1"/>
        <v>4.3060000000000004E-5</v>
      </c>
      <c r="I8" s="140">
        <f t="shared" si="2"/>
        <v>1.3237780784E-5</v>
      </c>
      <c r="J8" s="140"/>
      <c r="K8" s="140">
        <f t="shared" si="3"/>
        <v>2.5695057438648001E-7</v>
      </c>
      <c r="Q8" s="192">
        <v>56</v>
      </c>
      <c r="T8" s="108"/>
      <c r="U8" s="108"/>
      <c r="V8" s="108"/>
      <c r="W8" s="108"/>
      <c r="X8" s="108"/>
      <c r="Y8" s="108"/>
    </row>
    <row r="9" spans="1:26" x14ac:dyDescent="0.15">
      <c r="A9" s="192">
        <v>6</v>
      </c>
      <c r="B9" s="193">
        <v>0.88933330774307251</v>
      </c>
      <c r="C9" s="190">
        <f t="shared" si="0"/>
        <v>58</v>
      </c>
      <c r="D9" s="192" t="s">
        <v>90</v>
      </c>
      <c r="E9" s="194">
        <v>29620</v>
      </c>
      <c r="F9" s="144" t="s">
        <v>158</v>
      </c>
      <c r="G9" s="144">
        <v>55296</v>
      </c>
      <c r="H9" s="137">
        <f t="shared" si="1"/>
        <v>2.9620000000000001E-5</v>
      </c>
      <c r="I9" s="140">
        <f t="shared" si="2"/>
        <v>9.105969968E-6</v>
      </c>
      <c r="J9" s="140">
        <f t="shared" si="4"/>
        <v>4.455937843384321E-6</v>
      </c>
      <c r="K9" s="140"/>
      <c r="Q9" s="192">
        <v>56</v>
      </c>
      <c r="T9" s="197"/>
      <c r="U9" s="197">
        <v>0.59</v>
      </c>
      <c r="V9" s="197">
        <v>0.57999999999999996</v>
      </c>
      <c r="W9" s="197">
        <v>0.56999999999999995</v>
      </c>
      <c r="X9" s="197">
        <v>0.56000000000000005</v>
      </c>
      <c r="Y9" s="197">
        <v>0.55000000000000004</v>
      </c>
      <c r="Z9" s="144">
        <v>0.54</v>
      </c>
    </row>
    <row r="10" spans="1:26" x14ac:dyDescent="0.15">
      <c r="A10" s="192">
        <v>7</v>
      </c>
      <c r="B10" s="193">
        <v>0.88933330774307251</v>
      </c>
      <c r="C10" s="190">
        <f t="shared" si="0"/>
        <v>58</v>
      </c>
      <c r="D10" s="192" t="s">
        <v>92</v>
      </c>
      <c r="E10" s="194">
        <v>369</v>
      </c>
      <c r="F10" s="144" t="s">
        <v>159</v>
      </c>
      <c r="G10" s="144">
        <v>576</v>
      </c>
      <c r="H10" s="137">
        <f t="shared" si="1"/>
        <v>3.6900000000000004E-7</v>
      </c>
      <c r="I10" s="140">
        <f t="shared" si="2"/>
        <v>1.1344034160000001E-7</v>
      </c>
      <c r="J10" s="140"/>
      <c r="K10" s="140">
        <f t="shared" si="3"/>
        <v>3.649002239808E-8</v>
      </c>
      <c r="Q10" s="192">
        <v>56</v>
      </c>
      <c r="T10" s="197" t="s">
        <v>46</v>
      </c>
      <c r="U10" s="198">
        <v>0.30742639999999999</v>
      </c>
      <c r="V10" s="198">
        <v>0.2999</v>
      </c>
      <c r="W10" s="198">
        <v>0.29237360000000001</v>
      </c>
      <c r="X10" s="198">
        <v>0.28484720000000002</v>
      </c>
      <c r="Y10" s="198">
        <v>0.27732079999999998</v>
      </c>
      <c r="Z10" s="93">
        <v>0.26979439999999999</v>
      </c>
    </row>
    <row r="11" spans="1:26" x14ac:dyDescent="0.15">
      <c r="A11" s="192">
        <v>8</v>
      </c>
      <c r="B11" s="193">
        <v>0.88933330774307251</v>
      </c>
      <c r="C11" s="190">
        <f t="shared" si="0"/>
        <v>56</v>
      </c>
      <c r="D11" s="192" t="s">
        <v>93</v>
      </c>
      <c r="E11" s="194">
        <v>64514</v>
      </c>
      <c r="F11" s="144" t="s">
        <v>183</v>
      </c>
      <c r="G11" s="144">
        <v>84934656</v>
      </c>
      <c r="H11" s="137">
        <f t="shared" si="1"/>
        <v>6.4513999999999999E-5</v>
      </c>
      <c r="I11" s="140">
        <f t="shared" si="2"/>
        <v>1.8862190430400002E-5</v>
      </c>
      <c r="J11" s="140">
        <f>_xlfn.SWITCH(C11+$U$2,54,$Z$11,55,$Y$11,56,$X$11,57,$W$11,58,$V$11,59,$U$11,$U$18)*G11*$U$6</f>
        <v>6.2986946347007994E-3</v>
      </c>
      <c r="K11" s="140"/>
      <c r="Q11" s="192">
        <v>55</v>
      </c>
      <c r="T11" s="197" t="s">
        <v>48</v>
      </c>
      <c r="U11" s="198">
        <v>8.0583366670000003E-2</v>
      </c>
      <c r="V11" s="198">
        <v>7.737133333E-2</v>
      </c>
      <c r="W11" s="198">
        <v>7.4159299999999997E-2</v>
      </c>
      <c r="X11" s="198">
        <v>7.0947266667000006E-2</v>
      </c>
      <c r="Y11" s="198">
        <v>6.7735233332999994E-2</v>
      </c>
      <c r="Z11" s="93">
        <v>6.4523200000000003E-2</v>
      </c>
    </row>
    <row r="12" spans="1:26" x14ac:dyDescent="0.15">
      <c r="A12" s="192">
        <v>9</v>
      </c>
      <c r="B12" s="193">
        <v>0.890666663646698</v>
      </c>
      <c r="C12" s="190">
        <f t="shared" si="0"/>
        <v>54</v>
      </c>
      <c r="D12" s="192" t="s">
        <v>93</v>
      </c>
      <c r="E12" s="194">
        <v>28674</v>
      </c>
      <c r="F12" s="144" t="s">
        <v>167</v>
      </c>
      <c r="G12" s="144">
        <v>256</v>
      </c>
      <c r="H12" s="137">
        <f t="shared" si="1"/>
        <v>2.8674E-5</v>
      </c>
      <c r="I12" s="140">
        <f t="shared" si="2"/>
        <v>7.9518966191999986E-6</v>
      </c>
      <c r="J12" s="140"/>
      <c r="K12" s="140">
        <f>_xlfn.SWITCH(C12+$U$2,54,$Z$12,55,$Y$12,56,$X$12,57,$W$12,58,$V$12,59,$U$12,$U$19)*G12*$U$6</f>
        <v>1.3078647466752002E-8</v>
      </c>
      <c r="Q12" s="192">
        <v>54</v>
      </c>
      <c r="T12" s="197" t="s">
        <v>49</v>
      </c>
      <c r="U12" s="198">
        <v>6.3350733330000006E-2</v>
      </c>
      <c r="V12" s="198">
        <v>6.0285166666700002E-2</v>
      </c>
      <c r="W12" s="198">
        <v>5.7219600000000002E-2</v>
      </c>
      <c r="X12" s="198">
        <v>5.4154033329999997E-2</v>
      </c>
      <c r="Y12" s="198">
        <v>5.1088466667000003E-2</v>
      </c>
      <c r="Z12" s="93">
        <v>4.80229E-2</v>
      </c>
    </row>
    <row r="13" spans="1:26" x14ac:dyDescent="0.15">
      <c r="A13" s="192">
        <v>10</v>
      </c>
      <c r="B13" s="193">
        <v>0.890666663646698</v>
      </c>
      <c r="C13" s="190">
        <f t="shared" si="0"/>
        <v>54</v>
      </c>
      <c r="D13" s="192" t="s">
        <v>93</v>
      </c>
      <c r="E13" s="194">
        <v>4098</v>
      </c>
      <c r="F13" s="144" t="s">
        <v>183</v>
      </c>
      <c r="G13" s="144">
        <v>1048576</v>
      </c>
      <c r="H13" s="137">
        <f t="shared" si="1"/>
        <v>4.0980000000000004E-6</v>
      </c>
      <c r="I13" s="140">
        <f t="shared" si="2"/>
        <v>1.1364606384000001E-6</v>
      </c>
      <c r="J13" s="140">
        <f t="shared" si="4"/>
        <v>7.1025540027383805E-5</v>
      </c>
      <c r="K13" s="140"/>
      <c r="Q13" s="192">
        <v>54</v>
      </c>
      <c r="T13" s="108"/>
      <c r="U13" s="108"/>
      <c r="V13" s="108"/>
      <c r="W13" s="108"/>
      <c r="X13" s="108"/>
      <c r="Y13" s="108"/>
    </row>
    <row r="14" spans="1:26" x14ac:dyDescent="0.15">
      <c r="E14" s="144">
        <f>+SUM(E2:E13)</f>
        <v>1406946</v>
      </c>
      <c r="H14" s="137" t="s">
        <v>154</v>
      </c>
      <c r="I14" s="140">
        <f>SUM(I2:I13)</f>
        <v>4.0823074218719998E-4</v>
      </c>
      <c r="J14" s="140">
        <f t="shared" ref="J14:K14" si="5">SUM(J2:J13)</f>
        <v>6.3865632497601289E-3</v>
      </c>
      <c r="K14" s="140">
        <f t="shared" si="5"/>
        <v>1.3634521012105503E-6</v>
      </c>
      <c r="T14" s="108"/>
      <c r="U14" s="108"/>
      <c r="V14" s="108"/>
      <c r="W14" s="108"/>
      <c r="X14" s="108"/>
      <c r="Y14" s="108"/>
    </row>
    <row r="15" spans="1:26" x14ac:dyDescent="0.15">
      <c r="H15" s="137"/>
      <c r="I15" s="140"/>
      <c r="J15" s="140"/>
      <c r="K15" s="140"/>
      <c r="T15" s="108" t="s">
        <v>45</v>
      </c>
      <c r="U15" s="108" t="s">
        <v>9</v>
      </c>
      <c r="V15" s="108"/>
      <c r="W15" s="108"/>
      <c r="X15" s="108"/>
      <c r="Y15" s="108"/>
    </row>
    <row r="16" spans="1:26" x14ac:dyDescent="0.15">
      <c r="F16" s="144" t="s">
        <v>184</v>
      </c>
      <c r="G16" s="144">
        <f>+G2+G4+G6+G8+G10+G12</f>
        <v>21627.6875</v>
      </c>
      <c r="H16" s="137"/>
      <c r="I16" s="140"/>
      <c r="J16" s="140"/>
      <c r="K16" s="140"/>
      <c r="T16" s="108" t="s">
        <v>102</v>
      </c>
      <c r="U16" s="199">
        <v>3.1</v>
      </c>
      <c r="V16" s="108"/>
      <c r="W16" s="108"/>
      <c r="X16" s="108"/>
      <c r="Y16" s="108"/>
    </row>
    <row r="17" spans="2:25" x14ac:dyDescent="0.15">
      <c r="F17" s="144" t="s">
        <v>185</v>
      </c>
      <c r="G17" s="144">
        <f>+'[1]Hoja 1'!F46</f>
        <v>21627.6875</v>
      </c>
      <c r="H17" s="137"/>
      <c r="I17" s="140"/>
      <c r="J17" s="140"/>
      <c r="K17" s="140"/>
      <c r="T17" s="108" t="s">
        <v>46</v>
      </c>
      <c r="U17" s="199">
        <v>0.31495279999999998</v>
      </c>
      <c r="V17" s="108"/>
      <c r="W17" s="108"/>
      <c r="X17" s="108"/>
      <c r="Y17" s="108"/>
    </row>
    <row r="18" spans="2:25" x14ac:dyDescent="0.15">
      <c r="F18" s="144" t="s">
        <v>82</v>
      </c>
      <c r="G18" s="144">
        <f>+G3+G5+G7+G9+G11+G13</f>
        <v>86210618.3125</v>
      </c>
      <c r="H18" s="137"/>
      <c r="I18" s="140"/>
      <c r="J18" s="140"/>
      <c r="K18" s="140"/>
      <c r="T18" s="108" t="s">
        <v>48</v>
      </c>
      <c r="U18" s="199">
        <v>8.3795400000000006E-2</v>
      </c>
      <c r="V18" s="108"/>
      <c r="W18" s="108"/>
      <c r="X18" s="108"/>
      <c r="Y18" s="108"/>
    </row>
    <row r="19" spans="2:25" x14ac:dyDescent="0.15">
      <c r="F19" s="144" t="s">
        <v>185</v>
      </c>
      <c r="G19" s="195">
        <f>+'[1]Hoja 1'!D46</f>
        <v>86154662</v>
      </c>
      <c r="H19" s="137"/>
      <c r="I19" s="140"/>
      <c r="J19" s="140"/>
      <c r="K19" s="140"/>
      <c r="T19" s="108" t="s">
        <v>49</v>
      </c>
      <c r="U19" s="199">
        <v>6.6416299999999998E-2</v>
      </c>
      <c r="V19" s="108"/>
      <c r="W19" s="108"/>
      <c r="X19" s="108"/>
      <c r="Y19" s="108"/>
    </row>
    <row r="20" spans="2:25" x14ac:dyDescent="0.15">
      <c r="B20" s="144" t="s">
        <v>198</v>
      </c>
      <c r="H20" s="137"/>
      <c r="I20" s="140"/>
      <c r="J20" s="140"/>
      <c r="K20" s="140"/>
    </row>
    <row r="21" spans="2:25" x14ac:dyDescent="0.15">
      <c r="B21" s="144">
        <v>54</v>
      </c>
      <c r="C21" s="144">
        <f>COUNTIF(C2:C13,54)</f>
        <v>4</v>
      </c>
      <c r="H21" s="137"/>
      <c r="I21" s="140"/>
      <c r="J21" s="140"/>
      <c r="K21" s="140"/>
    </row>
    <row r="22" spans="2:25" x14ac:dyDescent="0.15">
      <c r="B22" s="144">
        <v>56</v>
      </c>
      <c r="C22" s="144">
        <f>COUNTIF(C2:C13,56)</f>
        <v>3</v>
      </c>
      <c r="H22" s="137"/>
      <c r="I22" s="140"/>
      <c r="J22" s="140"/>
      <c r="K22" s="140"/>
    </row>
    <row r="23" spans="2:25" x14ac:dyDescent="0.15">
      <c r="B23" s="144">
        <v>58</v>
      </c>
      <c r="C23" s="144">
        <f>COUNTIF(C2:C13,58)</f>
        <v>4</v>
      </c>
      <c r="H23" s="137"/>
      <c r="I23" s="140"/>
      <c r="J23" s="140"/>
      <c r="K23" s="140"/>
    </row>
    <row r="24" spans="2:25" x14ac:dyDescent="0.15">
      <c r="B24" s="144">
        <v>60</v>
      </c>
      <c r="C24" s="144">
        <f>COUNTIF(C2:C13,60)</f>
        <v>1</v>
      </c>
      <c r="H24" s="137"/>
      <c r="I24" s="140"/>
      <c r="J24" s="140"/>
      <c r="K24" s="140"/>
    </row>
    <row r="25" spans="2:25" x14ac:dyDescent="0.15">
      <c r="H25" s="137"/>
      <c r="I25" s="140"/>
      <c r="J25" s="140"/>
      <c r="K25" s="140"/>
    </row>
    <row r="26" spans="2:25" x14ac:dyDescent="0.15">
      <c r="H26" s="137"/>
      <c r="I26" s="140"/>
      <c r="J26" s="140"/>
      <c r="K26" s="140"/>
    </row>
    <row r="27" spans="2:25" x14ac:dyDescent="0.15">
      <c r="H27" s="137"/>
      <c r="I27" s="140"/>
      <c r="J27" s="140"/>
      <c r="K27" s="140"/>
    </row>
    <row r="28" spans="2:25" x14ac:dyDescent="0.15">
      <c r="H28" s="137"/>
      <c r="I28" s="140"/>
      <c r="J28" s="140"/>
      <c r="K28" s="140"/>
    </row>
    <row r="29" spans="2:25" x14ac:dyDescent="0.15">
      <c r="H29" s="137"/>
      <c r="I29" s="140"/>
      <c r="J29" s="140"/>
      <c r="K29" s="140"/>
    </row>
    <row r="30" spans="2:25" x14ac:dyDescent="0.15">
      <c r="H30" s="137"/>
      <c r="I30" s="140"/>
      <c r="J30" s="140"/>
      <c r="K30" s="140"/>
    </row>
    <row r="31" spans="2:25" x14ac:dyDescent="0.15">
      <c r="H31" s="137"/>
      <c r="I31" s="140"/>
      <c r="J31" s="140"/>
      <c r="K31" s="140"/>
    </row>
  </sheetData>
  <autoFilter ref="F1:F19" xr:uid="{428B1663-FF00-CF46-BADB-FCE989FB924D}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55A03-185A-DE48-B6C6-26A4448C5464}">
  <sheetPr codeName="Hoja5"/>
  <dimension ref="A1:Z41"/>
  <sheetViews>
    <sheetView workbookViewId="0">
      <selection activeCell="U3" sqref="U3"/>
    </sheetView>
  </sheetViews>
  <sheetFormatPr baseColWidth="10" defaultColWidth="8.6640625" defaultRowHeight="14" x14ac:dyDescent="0.15"/>
  <cols>
    <col min="1" max="5" width="8.6640625" style="140"/>
    <col min="6" max="6" width="23.1640625" style="140" bestFit="1" customWidth="1"/>
    <col min="7" max="7" width="17.5" style="140" bestFit="1" customWidth="1"/>
    <col min="8" max="8" width="12.1640625" style="140" bestFit="1" customWidth="1"/>
    <col min="9" max="9" width="12.6640625" style="140" customWidth="1"/>
    <col min="10" max="11" width="12.33203125" style="140" bestFit="1" customWidth="1"/>
    <col min="12" max="12" width="10.6640625" style="140" bestFit="1" customWidth="1"/>
    <col min="13" max="19" width="8.6640625" style="140"/>
    <col min="20" max="20" width="10.33203125" style="140" customWidth="1"/>
    <col min="21" max="21" width="15.83203125" style="140" customWidth="1"/>
    <col min="22" max="22" width="13.33203125" style="140" customWidth="1"/>
    <col min="23" max="23" width="11.5" style="140" customWidth="1"/>
    <col min="24" max="24" width="11" style="140" customWidth="1"/>
    <col min="25" max="25" width="10.6640625" style="140" bestFit="1" customWidth="1"/>
    <col min="26" max="261" width="8.6640625" style="140"/>
    <col min="262" max="262" width="23.1640625" style="140" bestFit="1" customWidth="1"/>
    <col min="263" max="263" width="17.5" style="140" bestFit="1" customWidth="1"/>
    <col min="264" max="264" width="12.1640625" style="140" bestFit="1" customWidth="1"/>
    <col min="265" max="265" width="12.6640625" style="140" customWidth="1"/>
    <col min="266" max="266" width="12.33203125" style="140" bestFit="1" customWidth="1"/>
    <col min="267" max="267" width="8.6640625" style="140"/>
    <col min="268" max="268" width="10.6640625" style="140" bestFit="1" customWidth="1"/>
    <col min="269" max="275" width="8.6640625" style="140"/>
    <col min="276" max="276" width="10.33203125" style="140" customWidth="1"/>
    <col min="277" max="277" width="15.83203125" style="140" customWidth="1"/>
    <col min="278" max="278" width="13.33203125" style="140" customWidth="1"/>
    <col min="279" max="279" width="11.5" style="140" customWidth="1"/>
    <col min="280" max="280" width="11" style="140" customWidth="1"/>
    <col min="281" max="281" width="10.6640625" style="140" bestFit="1" customWidth="1"/>
    <col min="282" max="517" width="8.6640625" style="140"/>
    <col min="518" max="518" width="23.1640625" style="140" bestFit="1" customWidth="1"/>
    <col min="519" max="519" width="17.5" style="140" bestFit="1" customWidth="1"/>
    <col min="520" max="520" width="12.1640625" style="140" bestFit="1" customWidth="1"/>
    <col min="521" max="521" width="12.6640625" style="140" customWidth="1"/>
    <col min="522" max="522" width="12.33203125" style="140" bestFit="1" customWidth="1"/>
    <col min="523" max="523" width="8.6640625" style="140"/>
    <col min="524" max="524" width="10.6640625" style="140" bestFit="1" customWidth="1"/>
    <col min="525" max="531" width="8.6640625" style="140"/>
    <col min="532" max="532" width="10.33203125" style="140" customWidth="1"/>
    <col min="533" max="533" width="15.83203125" style="140" customWidth="1"/>
    <col min="534" max="534" width="13.33203125" style="140" customWidth="1"/>
    <col min="535" max="535" width="11.5" style="140" customWidth="1"/>
    <col min="536" max="536" width="11" style="140" customWidth="1"/>
    <col min="537" max="537" width="10.6640625" style="140" bestFit="1" customWidth="1"/>
    <col min="538" max="773" width="8.6640625" style="140"/>
    <col min="774" max="774" width="23.1640625" style="140" bestFit="1" customWidth="1"/>
    <col min="775" max="775" width="17.5" style="140" bestFit="1" customWidth="1"/>
    <col min="776" max="776" width="12.1640625" style="140" bestFit="1" customWidth="1"/>
    <col min="777" max="777" width="12.6640625" style="140" customWidth="1"/>
    <col min="778" max="778" width="12.33203125" style="140" bestFit="1" customWidth="1"/>
    <col min="779" max="779" width="8.6640625" style="140"/>
    <col min="780" max="780" width="10.6640625" style="140" bestFit="1" customWidth="1"/>
    <col min="781" max="787" width="8.6640625" style="140"/>
    <col min="788" max="788" width="10.33203125" style="140" customWidth="1"/>
    <col min="789" max="789" width="15.83203125" style="140" customWidth="1"/>
    <col min="790" max="790" width="13.33203125" style="140" customWidth="1"/>
    <col min="791" max="791" width="11.5" style="140" customWidth="1"/>
    <col min="792" max="792" width="11" style="140" customWidth="1"/>
    <col min="793" max="793" width="10.6640625" style="140" bestFit="1" customWidth="1"/>
    <col min="794" max="1029" width="8.6640625" style="140"/>
    <col min="1030" max="1030" width="23.1640625" style="140" bestFit="1" customWidth="1"/>
    <col min="1031" max="1031" width="17.5" style="140" bestFit="1" customWidth="1"/>
    <col min="1032" max="1032" width="12.1640625" style="140" bestFit="1" customWidth="1"/>
    <col min="1033" max="1033" width="12.6640625" style="140" customWidth="1"/>
    <col min="1034" max="1034" width="12.33203125" style="140" bestFit="1" customWidth="1"/>
    <col min="1035" max="1035" width="8.6640625" style="140"/>
    <col min="1036" max="1036" width="10.6640625" style="140" bestFit="1" customWidth="1"/>
    <col min="1037" max="1043" width="8.6640625" style="140"/>
    <col min="1044" max="1044" width="10.33203125" style="140" customWidth="1"/>
    <col min="1045" max="1045" width="15.83203125" style="140" customWidth="1"/>
    <col min="1046" max="1046" width="13.33203125" style="140" customWidth="1"/>
    <col min="1047" max="1047" width="11.5" style="140" customWidth="1"/>
    <col min="1048" max="1048" width="11" style="140" customWidth="1"/>
    <col min="1049" max="1049" width="10.6640625" style="140" bestFit="1" customWidth="1"/>
    <col min="1050" max="1285" width="8.6640625" style="140"/>
    <col min="1286" max="1286" width="23.1640625" style="140" bestFit="1" customWidth="1"/>
    <col min="1287" max="1287" width="17.5" style="140" bestFit="1" customWidth="1"/>
    <col min="1288" max="1288" width="12.1640625" style="140" bestFit="1" customWidth="1"/>
    <col min="1289" max="1289" width="12.6640625" style="140" customWidth="1"/>
    <col min="1290" max="1290" width="12.33203125" style="140" bestFit="1" customWidth="1"/>
    <col min="1291" max="1291" width="8.6640625" style="140"/>
    <col min="1292" max="1292" width="10.6640625" style="140" bestFit="1" customWidth="1"/>
    <col min="1293" max="1299" width="8.6640625" style="140"/>
    <col min="1300" max="1300" width="10.33203125" style="140" customWidth="1"/>
    <col min="1301" max="1301" width="15.83203125" style="140" customWidth="1"/>
    <col min="1302" max="1302" width="13.33203125" style="140" customWidth="1"/>
    <col min="1303" max="1303" width="11.5" style="140" customWidth="1"/>
    <col min="1304" max="1304" width="11" style="140" customWidth="1"/>
    <col min="1305" max="1305" width="10.6640625" style="140" bestFit="1" customWidth="1"/>
    <col min="1306" max="1541" width="8.6640625" style="140"/>
    <col min="1542" max="1542" width="23.1640625" style="140" bestFit="1" customWidth="1"/>
    <col min="1543" max="1543" width="17.5" style="140" bestFit="1" customWidth="1"/>
    <col min="1544" max="1544" width="12.1640625" style="140" bestFit="1" customWidth="1"/>
    <col min="1545" max="1545" width="12.6640625" style="140" customWidth="1"/>
    <col min="1546" max="1546" width="12.33203125" style="140" bestFit="1" customWidth="1"/>
    <col min="1547" max="1547" width="8.6640625" style="140"/>
    <col min="1548" max="1548" width="10.6640625" style="140" bestFit="1" customWidth="1"/>
    <col min="1549" max="1555" width="8.6640625" style="140"/>
    <col min="1556" max="1556" width="10.33203125" style="140" customWidth="1"/>
    <col min="1557" max="1557" width="15.83203125" style="140" customWidth="1"/>
    <col min="1558" max="1558" width="13.33203125" style="140" customWidth="1"/>
    <col min="1559" max="1559" width="11.5" style="140" customWidth="1"/>
    <col min="1560" max="1560" width="11" style="140" customWidth="1"/>
    <col min="1561" max="1561" width="10.6640625" style="140" bestFit="1" customWidth="1"/>
    <col min="1562" max="1797" width="8.6640625" style="140"/>
    <col min="1798" max="1798" width="23.1640625" style="140" bestFit="1" customWidth="1"/>
    <col min="1799" max="1799" width="17.5" style="140" bestFit="1" customWidth="1"/>
    <col min="1800" max="1800" width="12.1640625" style="140" bestFit="1" customWidth="1"/>
    <col min="1801" max="1801" width="12.6640625" style="140" customWidth="1"/>
    <col min="1802" max="1802" width="12.33203125" style="140" bestFit="1" customWidth="1"/>
    <col min="1803" max="1803" width="8.6640625" style="140"/>
    <col min="1804" max="1804" width="10.6640625" style="140" bestFit="1" customWidth="1"/>
    <col min="1805" max="1811" width="8.6640625" style="140"/>
    <col min="1812" max="1812" width="10.33203125" style="140" customWidth="1"/>
    <col min="1813" max="1813" width="15.83203125" style="140" customWidth="1"/>
    <col min="1814" max="1814" width="13.33203125" style="140" customWidth="1"/>
    <col min="1815" max="1815" width="11.5" style="140" customWidth="1"/>
    <col min="1816" max="1816" width="11" style="140" customWidth="1"/>
    <col min="1817" max="1817" width="10.6640625" style="140" bestFit="1" customWidth="1"/>
    <col min="1818" max="2053" width="8.6640625" style="140"/>
    <col min="2054" max="2054" width="23.1640625" style="140" bestFit="1" customWidth="1"/>
    <col min="2055" max="2055" width="17.5" style="140" bestFit="1" customWidth="1"/>
    <col min="2056" max="2056" width="12.1640625" style="140" bestFit="1" customWidth="1"/>
    <col min="2057" max="2057" width="12.6640625" style="140" customWidth="1"/>
    <col min="2058" max="2058" width="12.33203125" style="140" bestFit="1" customWidth="1"/>
    <col min="2059" max="2059" width="8.6640625" style="140"/>
    <col min="2060" max="2060" width="10.6640625" style="140" bestFit="1" customWidth="1"/>
    <col min="2061" max="2067" width="8.6640625" style="140"/>
    <col min="2068" max="2068" width="10.33203125" style="140" customWidth="1"/>
    <col min="2069" max="2069" width="15.83203125" style="140" customWidth="1"/>
    <col min="2070" max="2070" width="13.33203125" style="140" customWidth="1"/>
    <col min="2071" max="2071" width="11.5" style="140" customWidth="1"/>
    <col min="2072" max="2072" width="11" style="140" customWidth="1"/>
    <col min="2073" max="2073" width="10.6640625" style="140" bestFit="1" customWidth="1"/>
    <col min="2074" max="2309" width="8.6640625" style="140"/>
    <col min="2310" max="2310" width="23.1640625" style="140" bestFit="1" customWidth="1"/>
    <col min="2311" max="2311" width="17.5" style="140" bestFit="1" customWidth="1"/>
    <col min="2312" max="2312" width="12.1640625" style="140" bestFit="1" customWidth="1"/>
    <col min="2313" max="2313" width="12.6640625" style="140" customWidth="1"/>
    <col min="2314" max="2314" width="12.33203125" style="140" bestFit="1" customWidth="1"/>
    <col min="2315" max="2315" width="8.6640625" style="140"/>
    <col min="2316" max="2316" width="10.6640625" style="140" bestFit="1" customWidth="1"/>
    <col min="2317" max="2323" width="8.6640625" style="140"/>
    <col min="2324" max="2324" width="10.33203125" style="140" customWidth="1"/>
    <col min="2325" max="2325" width="15.83203125" style="140" customWidth="1"/>
    <col min="2326" max="2326" width="13.33203125" style="140" customWidth="1"/>
    <col min="2327" max="2327" width="11.5" style="140" customWidth="1"/>
    <col min="2328" max="2328" width="11" style="140" customWidth="1"/>
    <col min="2329" max="2329" width="10.6640625" style="140" bestFit="1" customWidth="1"/>
    <col min="2330" max="2565" width="8.6640625" style="140"/>
    <col min="2566" max="2566" width="23.1640625" style="140" bestFit="1" customWidth="1"/>
    <col min="2567" max="2567" width="17.5" style="140" bestFit="1" customWidth="1"/>
    <col min="2568" max="2568" width="12.1640625" style="140" bestFit="1" customWidth="1"/>
    <col min="2569" max="2569" width="12.6640625" style="140" customWidth="1"/>
    <col min="2570" max="2570" width="12.33203125" style="140" bestFit="1" customWidth="1"/>
    <col min="2571" max="2571" width="8.6640625" style="140"/>
    <col min="2572" max="2572" width="10.6640625" style="140" bestFit="1" customWidth="1"/>
    <col min="2573" max="2579" width="8.6640625" style="140"/>
    <col min="2580" max="2580" width="10.33203125" style="140" customWidth="1"/>
    <col min="2581" max="2581" width="15.83203125" style="140" customWidth="1"/>
    <col min="2582" max="2582" width="13.33203125" style="140" customWidth="1"/>
    <col min="2583" max="2583" width="11.5" style="140" customWidth="1"/>
    <col min="2584" max="2584" width="11" style="140" customWidth="1"/>
    <col min="2585" max="2585" width="10.6640625" style="140" bestFit="1" customWidth="1"/>
    <col min="2586" max="2821" width="8.6640625" style="140"/>
    <col min="2822" max="2822" width="23.1640625" style="140" bestFit="1" customWidth="1"/>
    <col min="2823" max="2823" width="17.5" style="140" bestFit="1" customWidth="1"/>
    <col min="2824" max="2824" width="12.1640625" style="140" bestFit="1" customWidth="1"/>
    <col min="2825" max="2825" width="12.6640625" style="140" customWidth="1"/>
    <col min="2826" max="2826" width="12.33203125" style="140" bestFit="1" customWidth="1"/>
    <col min="2827" max="2827" width="8.6640625" style="140"/>
    <col min="2828" max="2828" width="10.6640625" style="140" bestFit="1" customWidth="1"/>
    <col min="2829" max="2835" width="8.6640625" style="140"/>
    <col min="2836" max="2836" width="10.33203125" style="140" customWidth="1"/>
    <col min="2837" max="2837" width="15.83203125" style="140" customWidth="1"/>
    <col min="2838" max="2838" width="13.33203125" style="140" customWidth="1"/>
    <col min="2839" max="2839" width="11.5" style="140" customWidth="1"/>
    <col min="2840" max="2840" width="11" style="140" customWidth="1"/>
    <col min="2841" max="2841" width="10.6640625" style="140" bestFit="1" customWidth="1"/>
    <col min="2842" max="3077" width="8.6640625" style="140"/>
    <col min="3078" max="3078" width="23.1640625" style="140" bestFit="1" customWidth="1"/>
    <col min="3079" max="3079" width="17.5" style="140" bestFit="1" customWidth="1"/>
    <col min="3080" max="3080" width="12.1640625" style="140" bestFit="1" customWidth="1"/>
    <col min="3081" max="3081" width="12.6640625" style="140" customWidth="1"/>
    <col min="3082" max="3082" width="12.33203125" style="140" bestFit="1" customWidth="1"/>
    <col min="3083" max="3083" width="8.6640625" style="140"/>
    <col min="3084" max="3084" width="10.6640625" style="140" bestFit="1" customWidth="1"/>
    <col min="3085" max="3091" width="8.6640625" style="140"/>
    <col min="3092" max="3092" width="10.33203125" style="140" customWidth="1"/>
    <col min="3093" max="3093" width="15.83203125" style="140" customWidth="1"/>
    <col min="3094" max="3094" width="13.33203125" style="140" customWidth="1"/>
    <col min="3095" max="3095" width="11.5" style="140" customWidth="1"/>
    <col min="3096" max="3096" width="11" style="140" customWidth="1"/>
    <col min="3097" max="3097" width="10.6640625" style="140" bestFit="1" customWidth="1"/>
    <col min="3098" max="3333" width="8.6640625" style="140"/>
    <col min="3334" max="3334" width="23.1640625" style="140" bestFit="1" customWidth="1"/>
    <col min="3335" max="3335" width="17.5" style="140" bestFit="1" customWidth="1"/>
    <col min="3336" max="3336" width="12.1640625" style="140" bestFit="1" customWidth="1"/>
    <col min="3337" max="3337" width="12.6640625" style="140" customWidth="1"/>
    <col min="3338" max="3338" width="12.33203125" style="140" bestFit="1" customWidth="1"/>
    <col min="3339" max="3339" width="8.6640625" style="140"/>
    <col min="3340" max="3340" width="10.6640625" style="140" bestFit="1" customWidth="1"/>
    <col min="3341" max="3347" width="8.6640625" style="140"/>
    <col min="3348" max="3348" width="10.33203125" style="140" customWidth="1"/>
    <col min="3349" max="3349" width="15.83203125" style="140" customWidth="1"/>
    <col min="3350" max="3350" width="13.33203125" style="140" customWidth="1"/>
    <col min="3351" max="3351" width="11.5" style="140" customWidth="1"/>
    <col min="3352" max="3352" width="11" style="140" customWidth="1"/>
    <col min="3353" max="3353" width="10.6640625" style="140" bestFit="1" customWidth="1"/>
    <col min="3354" max="3589" width="8.6640625" style="140"/>
    <col min="3590" max="3590" width="23.1640625" style="140" bestFit="1" customWidth="1"/>
    <col min="3591" max="3591" width="17.5" style="140" bestFit="1" customWidth="1"/>
    <col min="3592" max="3592" width="12.1640625" style="140" bestFit="1" customWidth="1"/>
    <col min="3593" max="3593" width="12.6640625" style="140" customWidth="1"/>
    <col min="3594" max="3594" width="12.33203125" style="140" bestFit="1" customWidth="1"/>
    <col min="3595" max="3595" width="8.6640625" style="140"/>
    <col min="3596" max="3596" width="10.6640625" style="140" bestFit="1" customWidth="1"/>
    <col min="3597" max="3603" width="8.6640625" style="140"/>
    <col min="3604" max="3604" width="10.33203125" style="140" customWidth="1"/>
    <col min="3605" max="3605" width="15.83203125" style="140" customWidth="1"/>
    <col min="3606" max="3606" width="13.33203125" style="140" customWidth="1"/>
    <col min="3607" max="3607" width="11.5" style="140" customWidth="1"/>
    <col min="3608" max="3608" width="11" style="140" customWidth="1"/>
    <col min="3609" max="3609" width="10.6640625" style="140" bestFit="1" customWidth="1"/>
    <col min="3610" max="3845" width="8.6640625" style="140"/>
    <col min="3846" max="3846" width="23.1640625" style="140" bestFit="1" customWidth="1"/>
    <col min="3847" max="3847" width="17.5" style="140" bestFit="1" customWidth="1"/>
    <col min="3848" max="3848" width="12.1640625" style="140" bestFit="1" customWidth="1"/>
    <col min="3849" max="3849" width="12.6640625" style="140" customWidth="1"/>
    <col min="3850" max="3850" width="12.33203125" style="140" bestFit="1" customWidth="1"/>
    <col min="3851" max="3851" width="8.6640625" style="140"/>
    <col min="3852" max="3852" width="10.6640625" style="140" bestFit="1" customWidth="1"/>
    <col min="3853" max="3859" width="8.6640625" style="140"/>
    <col min="3860" max="3860" width="10.33203125" style="140" customWidth="1"/>
    <col min="3861" max="3861" width="15.83203125" style="140" customWidth="1"/>
    <col min="3862" max="3862" width="13.33203125" style="140" customWidth="1"/>
    <col min="3863" max="3863" width="11.5" style="140" customWidth="1"/>
    <col min="3864" max="3864" width="11" style="140" customWidth="1"/>
    <col min="3865" max="3865" width="10.6640625" style="140" bestFit="1" customWidth="1"/>
    <col min="3866" max="4101" width="8.6640625" style="140"/>
    <col min="4102" max="4102" width="23.1640625" style="140" bestFit="1" customWidth="1"/>
    <col min="4103" max="4103" width="17.5" style="140" bestFit="1" customWidth="1"/>
    <col min="4104" max="4104" width="12.1640625" style="140" bestFit="1" customWidth="1"/>
    <col min="4105" max="4105" width="12.6640625" style="140" customWidth="1"/>
    <col min="4106" max="4106" width="12.33203125" style="140" bestFit="1" customWidth="1"/>
    <col min="4107" max="4107" width="8.6640625" style="140"/>
    <col min="4108" max="4108" width="10.6640625" style="140" bestFit="1" customWidth="1"/>
    <col min="4109" max="4115" width="8.6640625" style="140"/>
    <col min="4116" max="4116" width="10.33203125" style="140" customWidth="1"/>
    <col min="4117" max="4117" width="15.83203125" style="140" customWidth="1"/>
    <col min="4118" max="4118" width="13.33203125" style="140" customWidth="1"/>
    <col min="4119" max="4119" width="11.5" style="140" customWidth="1"/>
    <col min="4120" max="4120" width="11" style="140" customWidth="1"/>
    <col min="4121" max="4121" width="10.6640625" style="140" bestFit="1" customWidth="1"/>
    <col min="4122" max="4357" width="8.6640625" style="140"/>
    <col min="4358" max="4358" width="23.1640625" style="140" bestFit="1" customWidth="1"/>
    <col min="4359" max="4359" width="17.5" style="140" bestFit="1" customWidth="1"/>
    <col min="4360" max="4360" width="12.1640625" style="140" bestFit="1" customWidth="1"/>
    <col min="4361" max="4361" width="12.6640625" style="140" customWidth="1"/>
    <col min="4362" max="4362" width="12.33203125" style="140" bestFit="1" customWidth="1"/>
    <col min="4363" max="4363" width="8.6640625" style="140"/>
    <col min="4364" max="4364" width="10.6640625" style="140" bestFit="1" customWidth="1"/>
    <col min="4365" max="4371" width="8.6640625" style="140"/>
    <col min="4372" max="4372" width="10.33203125" style="140" customWidth="1"/>
    <col min="4373" max="4373" width="15.83203125" style="140" customWidth="1"/>
    <col min="4374" max="4374" width="13.33203125" style="140" customWidth="1"/>
    <col min="4375" max="4375" width="11.5" style="140" customWidth="1"/>
    <col min="4376" max="4376" width="11" style="140" customWidth="1"/>
    <col min="4377" max="4377" width="10.6640625" style="140" bestFit="1" customWidth="1"/>
    <col min="4378" max="4613" width="8.6640625" style="140"/>
    <col min="4614" max="4614" width="23.1640625" style="140" bestFit="1" customWidth="1"/>
    <col min="4615" max="4615" width="17.5" style="140" bestFit="1" customWidth="1"/>
    <col min="4616" max="4616" width="12.1640625" style="140" bestFit="1" customWidth="1"/>
    <col min="4617" max="4617" width="12.6640625" style="140" customWidth="1"/>
    <col min="4618" max="4618" width="12.33203125" style="140" bestFit="1" customWidth="1"/>
    <col min="4619" max="4619" width="8.6640625" style="140"/>
    <col min="4620" max="4620" width="10.6640625" style="140" bestFit="1" customWidth="1"/>
    <col min="4621" max="4627" width="8.6640625" style="140"/>
    <col min="4628" max="4628" width="10.33203125" style="140" customWidth="1"/>
    <col min="4629" max="4629" width="15.83203125" style="140" customWidth="1"/>
    <col min="4630" max="4630" width="13.33203125" style="140" customWidth="1"/>
    <col min="4631" max="4631" width="11.5" style="140" customWidth="1"/>
    <col min="4632" max="4632" width="11" style="140" customWidth="1"/>
    <col min="4633" max="4633" width="10.6640625" style="140" bestFit="1" customWidth="1"/>
    <col min="4634" max="4869" width="8.6640625" style="140"/>
    <col min="4870" max="4870" width="23.1640625" style="140" bestFit="1" customWidth="1"/>
    <col min="4871" max="4871" width="17.5" style="140" bestFit="1" customWidth="1"/>
    <col min="4872" max="4872" width="12.1640625" style="140" bestFit="1" customWidth="1"/>
    <col min="4873" max="4873" width="12.6640625" style="140" customWidth="1"/>
    <col min="4874" max="4874" width="12.33203125" style="140" bestFit="1" customWidth="1"/>
    <col min="4875" max="4875" width="8.6640625" style="140"/>
    <col min="4876" max="4876" width="10.6640625" style="140" bestFit="1" customWidth="1"/>
    <col min="4877" max="4883" width="8.6640625" style="140"/>
    <col min="4884" max="4884" width="10.33203125" style="140" customWidth="1"/>
    <col min="4885" max="4885" width="15.83203125" style="140" customWidth="1"/>
    <col min="4886" max="4886" width="13.33203125" style="140" customWidth="1"/>
    <col min="4887" max="4887" width="11.5" style="140" customWidth="1"/>
    <col min="4888" max="4888" width="11" style="140" customWidth="1"/>
    <col min="4889" max="4889" width="10.6640625" style="140" bestFit="1" customWidth="1"/>
    <col min="4890" max="5125" width="8.6640625" style="140"/>
    <col min="5126" max="5126" width="23.1640625" style="140" bestFit="1" customWidth="1"/>
    <col min="5127" max="5127" width="17.5" style="140" bestFit="1" customWidth="1"/>
    <col min="5128" max="5128" width="12.1640625" style="140" bestFit="1" customWidth="1"/>
    <col min="5129" max="5129" width="12.6640625" style="140" customWidth="1"/>
    <col min="5130" max="5130" width="12.33203125" style="140" bestFit="1" customWidth="1"/>
    <col min="5131" max="5131" width="8.6640625" style="140"/>
    <col min="5132" max="5132" width="10.6640625" style="140" bestFit="1" customWidth="1"/>
    <col min="5133" max="5139" width="8.6640625" style="140"/>
    <col min="5140" max="5140" width="10.33203125" style="140" customWidth="1"/>
    <col min="5141" max="5141" width="15.83203125" style="140" customWidth="1"/>
    <col min="5142" max="5142" width="13.33203125" style="140" customWidth="1"/>
    <col min="5143" max="5143" width="11.5" style="140" customWidth="1"/>
    <col min="5144" max="5144" width="11" style="140" customWidth="1"/>
    <col min="5145" max="5145" width="10.6640625" style="140" bestFit="1" customWidth="1"/>
    <col min="5146" max="5381" width="8.6640625" style="140"/>
    <col min="5382" max="5382" width="23.1640625" style="140" bestFit="1" customWidth="1"/>
    <col min="5383" max="5383" width="17.5" style="140" bestFit="1" customWidth="1"/>
    <col min="5384" max="5384" width="12.1640625" style="140" bestFit="1" customWidth="1"/>
    <col min="5385" max="5385" width="12.6640625" style="140" customWidth="1"/>
    <col min="5386" max="5386" width="12.33203125" style="140" bestFit="1" customWidth="1"/>
    <col min="5387" max="5387" width="8.6640625" style="140"/>
    <col min="5388" max="5388" width="10.6640625" style="140" bestFit="1" customWidth="1"/>
    <col min="5389" max="5395" width="8.6640625" style="140"/>
    <col min="5396" max="5396" width="10.33203125" style="140" customWidth="1"/>
    <col min="5397" max="5397" width="15.83203125" style="140" customWidth="1"/>
    <col min="5398" max="5398" width="13.33203125" style="140" customWidth="1"/>
    <col min="5399" max="5399" width="11.5" style="140" customWidth="1"/>
    <col min="5400" max="5400" width="11" style="140" customWidth="1"/>
    <col min="5401" max="5401" width="10.6640625" style="140" bestFit="1" customWidth="1"/>
    <col min="5402" max="5637" width="8.6640625" style="140"/>
    <col min="5638" max="5638" width="23.1640625" style="140" bestFit="1" customWidth="1"/>
    <col min="5639" max="5639" width="17.5" style="140" bestFit="1" customWidth="1"/>
    <col min="5640" max="5640" width="12.1640625" style="140" bestFit="1" customWidth="1"/>
    <col min="5641" max="5641" width="12.6640625" style="140" customWidth="1"/>
    <col min="5642" max="5642" width="12.33203125" style="140" bestFit="1" customWidth="1"/>
    <col min="5643" max="5643" width="8.6640625" style="140"/>
    <col min="5644" max="5644" width="10.6640625" style="140" bestFit="1" customWidth="1"/>
    <col min="5645" max="5651" width="8.6640625" style="140"/>
    <col min="5652" max="5652" width="10.33203125" style="140" customWidth="1"/>
    <col min="5653" max="5653" width="15.83203125" style="140" customWidth="1"/>
    <col min="5654" max="5654" width="13.33203125" style="140" customWidth="1"/>
    <col min="5655" max="5655" width="11.5" style="140" customWidth="1"/>
    <col min="5656" max="5656" width="11" style="140" customWidth="1"/>
    <col min="5657" max="5657" width="10.6640625" style="140" bestFit="1" customWidth="1"/>
    <col min="5658" max="5893" width="8.6640625" style="140"/>
    <col min="5894" max="5894" width="23.1640625" style="140" bestFit="1" customWidth="1"/>
    <col min="5895" max="5895" width="17.5" style="140" bestFit="1" customWidth="1"/>
    <col min="5896" max="5896" width="12.1640625" style="140" bestFit="1" customWidth="1"/>
    <col min="5897" max="5897" width="12.6640625" style="140" customWidth="1"/>
    <col min="5898" max="5898" width="12.33203125" style="140" bestFit="1" customWidth="1"/>
    <col min="5899" max="5899" width="8.6640625" style="140"/>
    <col min="5900" max="5900" width="10.6640625" style="140" bestFit="1" customWidth="1"/>
    <col min="5901" max="5907" width="8.6640625" style="140"/>
    <col min="5908" max="5908" width="10.33203125" style="140" customWidth="1"/>
    <col min="5909" max="5909" width="15.83203125" style="140" customWidth="1"/>
    <col min="5910" max="5910" width="13.33203125" style="140" customWidth="1"/>
    <col min="5911" max="5911" width="11.5" style="140" customWidth="1"/>
    <col min="5912" max="5912" width="11" style="140" customWidth="1"/>
    <col min="5913" max="5913" width="10.6640625" style="140" bestFit="1" customWidth="1"/>
    <col min="5914" max="6149" width="8.6640625" style="140"/>
    <col min="6150" max="6150" width="23.1640625" style="140" bestFit="1" customWidth="1"/>
    <col min="6151" max="6151" width="17.5" style="140" bestFit="1" customWidth="1"/>
    <col min="6152" max="6152" width="12.1640625" style="140" bestFit="1" customWidth="1"/>
    <col min="6153" max="6153" width="12.6640625" style="140" customWidth="1"/>
    <col min="6154" max="6154" width="12.33203125" style="140" bestFit="1" customWidth="1"/>
    <col min="6155" max="6155" width="8.6640625" style="140"/>
    <col min="6156" max="6156" width="10.6640625" style="140" bestFit="1" customWidth="1"/>
    <col min="6157" max="6163" width="8.6640625" style="140"/>
    <col min="6164" max="6164" width="10.33203125" style="140" customWidth="1"/>
    <col min="6165" max="6165" width="15.83203125" style="140" customWidth="1"/>
    <col min="6166" max="6166" width="13.33203125" style="140" customWidth="1"/>
    <col min="6167" max="6167" width="11.5" style="140" customWidth="1"/>
    <col min="6168" max="6168" width="11" style="140" customWidth="1"/>
    <col min="6169" max="6169" width="10.6640625" style="140" bestFit="1" customWidth="1"/>
    <col min="6170" max="6405" width="8.6640625" style="140"/>
    <col min="6406" max="6406" width="23.1640625" style="140" bestFit="1" customWidth="1"/>
    <col min="6407" max="6407" width="17.5" style="140" bestFit="1" customWidth="1"/>
    <col min="6408" max="6408" width="12.1640625" style="140" bestFit="1" customWidth="1"/>
    <col min="6409" max="6409" width="12.6640625" style="140" customWidth="1"/>
    <col min="6410" max="6410" width="12.33203125" style="140" bestFit="1" customWidth="1"/>
    <col min="6411" max="6411" width="8.6640625" style="140"/>
    <col min="6412" max="6412" width="10.6640625" style="140" bestFit="1" customWidth="1"/>
    <col min="6413" max="6419" width="8.6640625" style="140"/>
    <col min="6420" max="6420" width="10.33203125" style="140" customWidth="1"/>
    <col min="6421" max="6421" width="15.83203125" style="140" customWidth="1"/>
    <col min="6422" max="6422" width="13.33203125" style="140" customWidth="1"/>
    <col min="6423" max="6423" width="11.5" style="140" customWidth="1"/>
    <col min="6424" max="6424" width="11" style="140" customWidth="1"/>
    <col min="6425" max="6425" width="10.6640625" style="140" bestFit="1" customWidth="1"/>
    <col min="6426" max="6661" width="8.6640625" style="140"/>
    <col min="6662" max="6662" width="23.1640625" style="140" bestFit="1" customWidth="1"/>
    <col min="6663" max="6663" width="17.5" style="140" bestFit="1" customWidth="1"/>
    <col min="6664" max="6664" width="12.1640625" style="140" bestFit="1" customWidth="1"/>
    <col min="6665" max="6665" width="12.6640625" style="140" customWidth="1"/>
    <col min="6666" max="6666" width="12.33203125" style="140" bestFit="1" customWidth="1"/>
    <col min="6667" max="6667" width="8.6640625" style="140"/>
    <col min="6668" max="6668" width="10.6640625" style="140" bestFit="1" customWidth="1"/>
    <col min="6669" max="6675" width="8.6640625" style="140"/>
    <col min="6676" max="6676" width="10.33203125" style="140" customWidth="1"/>
    <col min="6677" max="6677" width="15.83203125" style="140" customWidth="1"/>
    <col min="6678" max="6678" width="13.33203125" style="140" customWidth="1"/>
    <col min="6679" max="6679" width="11.5" style="140" customWidth="1"/>
    <col min="6680" max="6680" width="11" style="140" customWidth="1"/>
    <col min="6681" max="6681" width="10.6640625" style="140" bestFit="1" customWidth="1"/>
    <col min="6682" max="6917" width="8.6640625" style="140"/>
    <col min="6918" max="6918" width="23.1640625" style="140" bestFit="1" customWidth="1"/>
    <col min="6919" max="6919" width="17.5" style="140" bestFit="1" customWidth="1"/>
    <col min="6920" max="6920" width="12.1640625" style="140" bestFit="1" customWidth="1"/>
    <col min="6921" max="6921" width="12.6640625" style="140" customWidth="1"/>
    <col min="6922" max="6922" width="12.33203125" style="140" bestFit="1" customWidth="1"/>
    <col min="6923" max="6923" width="8.6640625" style="140"/>
    <col min="6924" max="6924" width="10.6640625" style="140" bestFit="1" customWidth="1"/>
    <col min="6925" max="6931" width="8.6640625" style="140"/>
    <col min="6932" max="6932" width="10.33203125" style="140" customWidth="1"/>
    <col min="6933" max="6933" width="15.83203125" style="140" customWidth="1"/>
    <col min="6934" max="6934" width="13.33203125" style="140" customWidth="1"/>
    <col min="6935" max="6935" width="11.5" style="140" customWidth="1"/>
    <col min="6936" max="6936" width="11" style="140" customWidth="1"/>
    <col min="6937" max="6937" width="10.6640625" style="140" bestFit="1" customWidth="1"/>
    <col min="6938" max="7173" width="8.6640625" style="140"/>
    <col min="7174" max="7174" width="23.1640625" style="140" bestFit="1" customWidth="1"/>
    <col min="7175" max="7175" width="17.5" style="140" bestFit="1" customWidth="1"/>
    <col min="7176" max="7176" width="12.1640625" style="140" bestFit="1" customWidth="1"/>
    <col min="7177" max="7177" width="12.6640625" style="140" customWidth="1"/>
    <col min="7178" max="7178" width="12.33203125" style="140" bestFit="1" customWidth="1"/>
    <col min="7179" max="7179" width="8.6640625" style="140"/>
    <col min="7180" max="7180" width="10.6640625" style="140" bestFit="1" customWidth="1"/>
    <col min="7181" max="7187" width="8.6640625" style="140"/>
    <col min="7188" max="7188" width="10.33203125" style="140" customWidth="1"/>
    <col min="7189" max="7189" width="15.83203125" style="140" customWidth="1"/>
    <col min="7190" max="7190" width="13.33203125" style="140" customWidth="1"/>
    <col min="7191" max="7191" width="11.5" style="140" customWidth="1"/>
    <col min="7192" max="7192" width="11" style="140" customWidth="1"/>
    <col min="7193" max="7193" width="10.6640625" style="140" bestFit="1" customWidth="1"/>
    <col min="7194" max="7429" width="8.6640625" style="140"/>
    <col min="7430" max="7430" width="23.1640625" style="140" bestFit="1" customWidth="1"/>
    <col min="7431" max="7431" width="17.5" style="140" bestFit="1" customWidth="1"/>
    <col min="7432" max="7432" width="12.1640625" style="140" bestFit="1" customWidth="1"/>
    <col min="7433" max="7433" width="12.6640625" style="140" customWidth="1"/>
    <col min="7434" max="7434" width="12.33203125" style="140" bestFit="1" customWidth="1"/>
    <col min="7435" max="7435" width="8.6640625" style="140"/>
    <col min="7436" max="7436" width="10.6640625" style="140" bestFit="1" customWidth="1"/>
    <col min="7437" max="7443" width="8.6640625" style="140"/>
    <col min="7444" max="7444" width="10.33203125" style="140" customWidth="1"/>
    <col min="7445" max="7445" width="15.83203125" style="140" customWidth="1"/>
    <col min="7446" max="7446" width="13.33203125" style="140" customWidth="1"/>
    <col min="7447" max="7447" width="11.5" style="140" customWidth="1"/>
    <col min="7448" max="7448" width="11" style="140" customWidth="1"/>
    <col min="7449" max="7449" width="10.6640625" style="140" bestFit="1" customWidth="1"/>
    <col min="7450" max="7685" width="8.6640625" style="140"/>
    <col min="7686" max="7686" width="23.1640625" style="140" bestFit="1" customWidth="1"/>
    <col min="7687" max="7687" width="17.5" style="140" bestFit="1" customWidth="1"/>
    <col min="7688" max="7688" width="12.1640625" style="140" bestFit="1" customWidth="1"/>
    <col min="7689" max="7689" width="12.6640625" style="140" customWidth="1"/>
    <col min="7690" max="7690" width="12.33203125" style="140" bestFit="1" customWidth="1"/>
    <col min="7691" max="7691" width="8.6640625" style="140"/>
    <col min="7692" max="7692" width="10.6640625" style="140" bestFit="1" customWidth="1"/>
    <col min="7693" max="7699" width="8.6640625" style="140"/>
    <col min="7700" max="7700" width="10.33203125" style="140" customWidth="1"/>
    <col min="7701" max="7701" width="15.83203125" style="140" customWidth="1"/>
    <col min="7702" max="7702" width="13.33203125" style="140" customWidth="1"/>
    <col min="7703" max="7703" width="11.5" style="140" customWidth="1"/>
    <col min="7704" max="7704" width="11" style="140" customWidth="1"/>
    <col min="7705" max="7705" width="10.6640625" style="140" bestFit="1" customWidth="1"/>
    <col min="7706" max="7941" width="8.6640625" style="140"/>
    <col min="7942" max="7942" width="23.1640625" style="140" bestFit="1" customWidth="1"/>
    <col min="7943" max="7943" width="17.5" style="140" bestFit="1" customWidth="1"/>
    <col min="7944" max="7944" width="12.1640625" style="140" bestFit="1" customWidth="1"/>
    <col min="7945" max="7945" width="12.6640625" style="140" customWidth="1"/>
    <col min="7946" max="7946" width="12.33203125" style="140" bestFit="1" customWidth="1"/>
    <col min="7947" max="7947" width="8.6640625" style="140"/>
    <col min="7948" max="7948" width="10.6640625" style="140" bestFit="1" customWidth="1"/>
    <col min="7949" max="7955" width="8.6640625" style="140"/>
    <col min="7956" max="7956" width="10.33203125" style="140" customWidth="1"/>
    <col min="7957" max="7957" width="15.83203125" style="140" customWidth="1"/>
    <col min="7958" max="7958" width="13.33203125" style="140" customWidth="1"/>
    <col min="7959" max="7959" width="11.5" style="140" customWidth="1"/>
    <col min="7960" max="7960" width="11" style="140" customWidth="1"/>
    <col min="7961" max="7961" width="10.6640625" style="140" bestFit="1" customWidth="1"/>
    <col min="7962" max="8197" width="8.6640625" style="140"/>
    <col min="8198" max="8198" width="23.1640625" style="140" bestFit="1" customWidth="1"/>
    <col min="8199" max="8199" width="17.5" style="140" bestFit="1" customWidth="1"/>
    <col min="8200" max="8200" width="12.1640625" style="140" bestFit="1" customWidth="1"/>
    <col min="8201" max="8201" width="12.6640625" style="140" customWidth="1"/>
    <col min="8202" max="8202" width="12.33203125" style="140" bestFit="1" customWidth="1"/>
    <col min="8203" max="8203" width="8.6640625" style="140"/>
    <col min="8204" max="8204" width="10.6640625" style="140" bestFit="1" customWidth="1"/>
    <col min="8205" max="8211" width="8.6640625" style="140"/>
    <col min="8212" max="8212" width="10.33203125" style="140" customWidth="1"/>
    <col min="8213" max="8213" width="15.83203125" style="140" customWidth="1"/>
    <col min="8214" max="8214" width="13.33203125" style="140" customWidth="1"/>
    <col min="8215" max="8215" width="11.5" style="140" customWidth="1"/>
    <col min="8216" max="8216" width="11" style="140" customWidth="1"/>
    <col min="8217" max="8217" width="10.6640625" style="140" bestFit="1" customWidth="1"/>
    <col min="8218" max="8453" width="8.6640625" style="140"/>
    <col min="8454" max="8454" width="23.1640625" style="140" bestFit="1" customWidth="1"/>
    <col min="8455" max="8455" width="17.5" style="140" bestFit="1" customWidth="1"/>
    <col min="8456" max="8456" width="12.1640625" style="140" bestFit="1" customWidth="1"/>
    <col min="8457" max="8457" width="12.6640625" style="140" customWidth="1"/>
    <col min="8458" max="8458" width="12.33203125" style="140" bestFit="1" customWidth="1"/>
    <col min="8459" max="8459" width="8.6640625" style="140"/>
    <col min="8460" max="8460" width="10.6640625" style="140" bestFit="1" customWidth="1"/>
    <col min="8461" max="8467" width="8.6640625" style="140"/>
    <col min="8468" max="8468" width="10.33203125" style="140" customWidth="1"/>
    <col min="8469" max="8469" width="15.83203125" style="140" customWidth="1"/>
    <col min="8470" max="8470" width="13.33203125" style="140" customWidth="1"/>
    <col min="8471" max="8471" width="11.5" style="140" customWidth="1"/>
    <col min="8472" max="8472" width="11" style="140" customWidth="1"/>
    <col min="8473" max="8473" width="10.6640625" style="140" bestFit="1" customWidth="1"/>
    <col min="8474" max="8709" width="8.6640625" style="140"/>
    <col min="8710" max="8710" width="23.1640625" style="140" bestFit="1" customWidth="1"/>
    <col min="8711" max="8711" width="17.5" style="140" bestFit="1" customWidth="1"/>
    <col min="8712" max="8712" width="12.1640625" style="140" bestFit="1" customWidth="1"/>
    <col min="8713" max="8713" width="12.6640625" style="140" customWidth="1"/>
    <col min="8714" max="8714" width="12.33203125" style="140" bestFit="1" customWidth="1"/>
    <col min="8715" max="8715" width="8.6640625" style="140"/>
    <col min="8716" max="8716" width="10.6640625" style="140" bestFit="1" customWidth="1"/>
    <col min="8717" max="8723" width="8.6640625" style="140"/>
    <col min="8724" max="8724" width="10.33203125" style="140" customWidth="1"/>
    <col min="8725" max="8725" width="15.83203125" style="140" customWidth="1"/>
    <col min="8726" max="8726" width="13.33203125" style="140" customWidth="1"/>
    <col min="8727" max="8727" width="11.5" style="140" customWidth="1"/>
    <col min="8728" max="8728" width="11" style="140" customWidth="1"/>
    <col min="8729" max="8729" width="10.6640625" style="140" bestFit="1" customWidth="1"/>
    <col min="8730" max="8965" width="8.6640625" style="140"/>
    <col min="8966" max="8966" width="23.1640625" style="140" bestFit="1" customWidth="1"/>
    <col min="8967" max="8967" width="17.5" style="140" bestFit="1" customWidth="1"/>
    <col min="8968" max="8968" width="12.1640625" style="140" bestFit="1" customWidth="1"/>
    <col min="8969" max="8969" width="12.6640625" style="140" customWidth="1"/>
    <col min="8970" max="8970" width="12.33203125" style="140" bestFit="1" customWidth="1"/>
    <col min="8971" max="8971" width="8.6640625" style="140"/>
    <col min="8972" max="8972" width="10.6640625" style="140" bestFit="1" customWidth="1"/>
    <col min="8973" max="8979" width="8.6640625" style="140"/>
    <col min="8980" max="8980" width="10.33203125" style="140" customWidth="1"/>
    <col min="8981" max="8981" width="15.83203125" style="140" customWidth="1"/>
    <col min="8982" max="8982" width="13.33203125" style="140" customWidth="1"/>
    <col min="8983" max="8983" width="11.5" style="140" customWidth="1"/>
    <col min="8984" max="8984" width="11" style="140" customWidth="1"/>
    <col min="8985" max="8985" width="10.6640625" style="140" bestFit="1" customWidth="1"/>
    <col min="8986" max="9221" width="8.6640625" style="140"/>
    <col min="9222" max="9222" width="23.1640625" style="140" bestFit="1" customWidth="1"/>
    <col min="9223" max="9223" width="17.5" style="140" bestFit="1" customWidth="1"/>
    <col min="9224" max="9224" width="12.1640625" style="140" bestFit="1" customWidth="1"/>
    <col min="9225" max="9225" width="12.6640625" style="140" customWidth="1"/>
    <col min="9226" max="9226" width="12.33203125" style="140" bestFit="1" customWidth="1"/>
    <col min="9227" max="9227" width="8.6640625" style="140"/>
    <col min="9228" max="9228" width="10.6640625" style="140" bestFit="1" customWidth="1"/>
    <col min="9229" max="9235" width="8.6640625" style="140"/>
    <col min="9236" max="9236" width="10.33203125" style="140" customWidth="1"/>
    <col min="9237" max="9237" width="15.83203125" style="140" customWidth="1"/>
    <col min="9238" max="9238" width="13.33203125" style="140" customWidth="1"/>
    <col min="9239" max="9239" width="11.5" style="140" customWidth="1"/>
    <col min="9240" max="9240" width="11" style="140" customWidth="1"/>
    <col min="9241" max="9241" width="10.6640625" style="140" bestFit="1" customWidth="1"/>
    <col min="9242" max="9477" width="8.6640625" style="140"/>
    <col min="9478" max="9478" width="23.1640625" style="140" bestFit="1" customWidth="1"/>
    <col min="9479" max="9479" width="17.5" style="140" bestFit="1" customWidth="1"/>
    <col min="9480" max="9480" width="12.1640625" style="140" bestFit="1" customWidth="1"/>
    <col min="9481" max="9481" width="12.6640625" style="140" customWidth="1"/>
    <col min="9482" max="9482" width="12.33203125" style="140" bestFit="1" customWidth="1"/>
    <col min="9483" max="9483" width="8.6640625" style="140"/>
    <col min="9484" max="9484" width="10.6640625" style="140" bestFit="1" customWidth="1"/>
    <col min="9485" max="9491" width="8.6640625" style="140"/>
    <col min="9492" max="9492" width="10.33203125" style="140" customWidth="1"/>
    <col min="9493" max="9493" width="15.83203125" style="140" customWidth="1"/>
    <col min="9494" max="9494" width="13.33203125" style="140" customWidth="1"/>
    <col min="9495" max="9495" width="11.5" style="140" customWidth="1"/>
    <col min="9496" max="9496" width="11" style="140" customWidth="1"/>
    <col min="9497" max="9497" width="10.6640625" style="140" bestFit="1" customWidth="1"/>
    <col min="9498" max="9733" width="8.6640625" style="140"/>
    <col min="9734" max="9734" width="23.1640625" style="140" bestFit="1" customWidth="1"/>
    <col min="9735" max="9735" width="17.5" style="140" bestFit="1" customWidth="1"/>
    <col min="9736" max="9736" width="12.1640625" style="140" bestFit="1" customWidth="1"/>
    <col min="9737" max="9737" width="12.6640625" style="140" customWidth="1"/>
    <col min="9738" max="9738" width="12.33203125" style="140" bestFit="1" customWidth="1"/>
    <col min="9739" max="9739" width="8.6640625" style="140"/>
    <col min="9740" max="9740" width="10.6640625" style="140" bestFit="1" customWidth="1"/>
    <col min="9741" max="9747" width="8.6640625" style="140"/>
    <col min="9748" max="9748" width="10.33203125" style="140" customWidth="1"/>
    <col min="9749" max="9749" width="15.83203125" style="140" customWidth="1"/>
    <col min="9750" max="9750" width="13.33203125" style="140" customWidth="1"/>
    <col min="9751" max="9751" width="11.5" style="140" customWidth="1"/>
    <col min="9752" max="9752" width="11" style="140" customWidth="1"/>
    <col min="9753" max="9753" width="10.6640625" style="140" bestFit="1" customWidth="1"/>
    <col min="9754" max="9989" width="8.6640625" style="140"/>
    <col min="9990" max="9990" width="23.1640625" style="140" bestFit="1" customWidth="1"/>
    <col min="9991" max="9991" width="17.5" style="140" bestFit="1" customWidth="1"/>
    <col min="9992" max="9992" width="12.1640625" style="140" bestFit="1" customWidth="1"/>
    <col min="9993" max="9993" width="12.6640625" style="140" customWidth="1"/>
    <col min="9994" max="9994" width="12.33203125" style="140" bestFit="1" customWidth="1"/>
    <col min="9995" max="9995" width="8.6640625" style="140"/>
    <col min="9996" max="9996" width="10.6640625" style="140" bestFit="1" customWidth="1"/>
    <col min="9997" max="10003" width="8.6640625" style="140"/>
    <col min="10004" max="10004" width="10.33203125" style="140" customWidth="1"/>
    <col min="10005" max="10005" width="15.83203125" style="140" customWidth="1"/>
    <col min="10006" max="10006" width="13.33203125" style="140" customWidth="1"/>
    <col min="10007" max="10007" width="11.5" style="140" customWidth="1"/>
    <col min="10008" max="10008" width="11" style="140" customWidth="1"/>
    <col min="10009" max="10009" width="10.6640625" style="140" bestFit="1" customWidth="1"/>
    <col min="10010" max="10245" width="8.6640625" style="140"/>
    <col min="10246" max="10246" width="23.1640625" style="140" bestFit="1" customWidth="1"/>
    <col min="10247" max="10247" width="17.5" style="140" bestFit="1" customWidth="1"/>
    <col min="10248" max="10248" width="12.1640625" style="140" bestFit="1" customWidth="1"/>
    <col min="10249" max="10249" width="12.6640625" style="140" customWidth="1"/>
    <col min="10250" max="10250" width="12.33203125" style="140" bestFit="1" customWidth="1"/>
    <col min="10251" max="10251" width="8.6640625" style="140"/>
    <col min="10252" max="10252" width="10.6640625" style="140" bestFit="1" customWidth="1"/>
    <col min="10253" max="10259" width="8.6640625" style="140"/>
    <col min="10260" max="10260" width="10.33203125" style="140" customWidth="1"/>
    <col min="10261" max="10261" width="15.83203125" style="140" customWidth="1"/>
    <col min="10262" max="10262" width="13.33203125" style="140" customWidth="1"/>
    <col min="10263" max="10263" width="11.5" style="140" customWidth="1"/>
    <col min="10264" max="10264" width="11" style="140" customWidth="1"/>
    <col min="10265" max="10265" width="10.6640625" style="140" bestFit="1" customWidth="1"/>
    <col min="10266" max="10501" width="8.6640625" style="140"/>
    <col min="10502" max="10502" width="23.1640625" style="140" bestFit="1" customWidth="1"/>
    <col min="10503" max="10503" width="17.5" style="140" bestFit="1" customWidth="1"/>
    <col min="10504" max="10504" width="12.1640625" style="140" bestFit="1" customWidth="1"/>
    <col min="10505" max="10505" width="12.6640625" style="140" customWidth="1"/>
    <col min="10506" max="10506" width="12.33203125" style="140" bestFit="1" customWidth="1"/>
    <col min="10507" max="10507" width="8.6640625" style="140"/>
    <col min="10508" max="10508" width="10.6640625" style="140" bestFit="1" customWidth="1"/>
    <col min="10509" max="10515" width="8.6640625" style="140"/>
    <col min="10516" max="10516" width="10.33203125" style="140" customWidth="1"/>
    <col min="10517" max="10517" width="15.83203125" style="140" customWidth="1"/>
    <col min="10518" max="10518" width="13.33203125" style="140" customWidth="1"/>
    <col min="10519" max="10519" width="11.5" style="140" customWidth="1"/>
    <col min="10520" max="10520" width="11" style="140" customWidth="1"/>
    <col min="10521" max="10521" width="10.6640625" style="140" bestFit="1" customWidth="1"/>
    <col min="10522" max="10757" width="8.6640625" style="140"/>
    <col min="10758" max="10758" width="23.1640625" style="140" bestFit="1" customWidth="1"/>
    <col min="10759" max="10759" width="17.5" style="140" bestFit="1" customWidth="1"/>
    <col min="10760" max="10760" width="12.1640625" style="140" bestFit="1" customWidth="1"/>
    <col min="10761" max="10761" width="12.6640625" style="140" customWidth="1"/>
    <col min="10762" max="10762" width="12.33203125" style="140" bestFit="1" customWidth="1"/>
    <col min="10763" max="10763" width="8.6640625" style="140"/>
    <col min="10764" max="10764" width="10.6640625" style="140" bestFit="1" customWidth="1"/>
    <col min="10765" max="10771" width="8.6640625" style="140"/>
    <col min="10772" max="10772" width="10.33203125" style="140" customWidth="1"/>
    <col min="10773" max="10773" width="15.83203125" style="140" customWidth="1"/>
    <col min="10774" max="10774" width="13.33203125" style="140" customWidth="1"/>
    <col min="10775" max="10775" width="11.5" style="140" customWidth="1"/>
    <col min="10776" max="10776" width="11" style="140" customWidth="1"/>
    <col min="10777" max="10777" width="10.6640625" style="140" bestFit="1" customWidth="1"/>
    <col min="10778" max="11013" width="8.6640625" style="140"/>
    <col min="11014" max="11014" width="23.1640625" style="140" bestFit="1" customWidth="1"/>
    <col min="11015" max="11015" width="17.5" style="140" bestFit="1" customWidth="1"/>
    <col min="11016" max="11016" width="12.1640625" style="140" bestFit="1" customWidth="1"/>
    <col min="11017" max="11017" width="12.6640625" style="140" customWidth="1"/>
    <col min="11018" max="11018" width="12.33203125" style="140" bestFit="1" customWidth="1"/>
    <col min="11019" max="11019" width="8.6640625" style="140"/>
    <col min="11020" max="11020" width="10.6640625" style="140" bestFit="1" customWidth="1"/>
    <col min="11021" max="11027" width="8.6640625" style="140"/>
    <col min="11028" max="11028" width="10.33203125" style="140" customWidth="1"/>
    <col min="11029" max="11029" width="15.83203125" style="140" customWidth="1"/>
    <col min="11030" max="11030" width="13.33203125" style="140" customWidth="1"/>
    <col min="11031" max="11031" width="11.5" style="140" customWidth="1"/>
    <col min="11032" max="11032" width="11" style="140" customWidth="1"/>
    <col min="11033" max="11033" width="10.6640625" style="140" bestFit="1" customWidth="1"/>
    <col min="11034" max="11269" width="8.6640625" style="140"/>
    <col min="11270" max="11270" width="23.1640625" style="140" bestFit="1" customWidth="1"/>
    <col min="11271" max="11271" width="17.5" style="140" bestFit="1" customWidth="1"/>
    <col min="11272" max="11272" width="12.1640625" style="140" bestFit="1" customWidth="1"/>
    <col min="11273" max="11273" width="12.6640625" style="140" customWidth="1"/>
    <col min="11274" max="11274" width="12.33203125" style="140" bestFit="1" customWidth="1"/>
    <col min="11275" max="11275" width="8.6640625" style="140"/>
    <col min="11276" max="11276" width="10.6640625" style="140" bestFit="1" customWidth="1"/>
    <col min="11277" max="11283" width="8.6640625" style="140"/>
    <col min="11284" max="11284" width="10.33203125" style="140" customWidth="1"/>
    <col min="11285" max="11285" width="15.83203125" style="140" customWidth="1"/>
    <col min="11286" max="11286" width="13.33203125" style="140" customWidth="1"/>
    <col min="11287" max="11287" width="11.5" style="140" customWidth="1"/>
    <col min="11288" max="11288" width="11" style="140" customWidth="1"/>
    <col min="11289" max="11289" width="10.6640625" style="140" bestFit="1" customWidth="1"/>
    <col min="11290" max="11525" width="8.6640625" style="140"/>
    <col min="11526" max="11526" width="23.1640625" style="140" bestFit="1" customWidth="1"/>
    <col min="11527" max="11527" width="17.5" style="140" bestFit="1" customWidth="1"/>
    <col min="11528" max="11528" width="12.1640625" style="140" bestFit="1" customWidth="1"/>
    <col min="11529" max="11529" width="12.6640625" style="140" customWidth="1"/>
    <col min="11530" max="11530" width="12.33203125" style="140" bestFit="1" customWidth="1"/>
    <col min="11531" max="11531" width="8.6640625" style="140"/>
    <col min="11532" max="11532" width="10.6640625" style="140" bestFit="1" customWidth="1"/>
    <col min="11533" max="11539" width="8.6640625" style="140"/>
    <col min="11540" max="11540" width="10.33203125" style="140" customWidth="1"/>
    <col min="11541" max="11541" width="15.83203125" style="140" customWidth="1"/>
    <col min="11542" max="11542" width="13.33203125" style="140" customWidth="1"/>
    <col min="11543" max="11543" width="11.5" style="140" customWidth="1"/>
    <col min="11544" max="11544" width="11" style="140" customWidth="1"/>
    <col min="11545" max="11545" width="10.6640625" style="140" bestFit="1" customWidth="1"/>
    <col min="11546" max="11781" width="8.6640625" style="140"/>
    <col min="11782" max="11782" width="23.1640625" style="140" bestFit="1" customWidth="1"/>
    <col min="11783" max="11783" width="17.5" style="140" bestFit="1" customWidth="1"/>
    <col min="11784" max="11784" width="12.1640625" style="140" bestFit="1" customWidth="1"/>
    <col min="11785" max="11785" width="12.6640625" style="140" customWidth="1"/>
    <col min="11786" max="11786" width="12.33203125" style="140" bestFit="1" customWidth="1"/>
    <col min="11787" max="11787" width="8.6640625" style="140"/>
    <col min="11788" max="11788" width="10.6640625" style="140" bestFit="1" customWidth="1"/>
    <col min="11789" max="11795" width="8.6640625" style="140"/>
    <col min="11796" max="11796" width="10.33203125" style="140" customWidth="1"/>
    <col min="11797" max="11797" width="15.83203125" style="140" customWidth="1"/>
    <col min="11798" max="11798" width="13.33203125" style="140" customWidth="1"/>
    <col min="11799" max="11799" width="11.5" style="140" customWidth="1"/>
    <col min="11800" max="11800" width="11" style="140" customWidth="1"/>
    <col min="11801" max="11801" width="10.6640625" style="140" bestFit="1" customWidth="1"/>
    <col min="11802" max="12037" width="8.6640625" style="140"/>
    <col min="12038" max="12038" width="23.1640625" style="140" bestFit="1" customWidth="1"/>
    <col min="12039" max="12039" width="17.5" style="140" bestFit="1" customWidth="1"/>
    <col min="12040" max="12040" width="12.1640625" style="140" bestFit="1" customWidth="1"/>
    <col min="12041" max="12041" width="12.6640625" style="140" customWidth="1"/>
    <col min="12042" max="12042" width="12.33203125" style="140" bestFit="1" customWidth="1"/>
    <col min="12043" max="12043" width="8.6640625" style="140"/>
    <col min="12044" max="12044" width="10.6640625" style="140" bestFit="1" customWidth="1"/>
    <col min="12045" max="12051" width="8.6640625" style="140"/>
    <col min="12052" max="12052" width="10.33203125" style="140" customWidth="1"/>
    <col min="12053" max="12053" width="15.83203125" style="140" customWidth="1"/>
    <col min="12054" max="12054" width="13.33203125" style="140" customWidth="1"/>
    <col min="12055" max="12055" width="11.5" style="140" customWidth="1"/>
    <col min="12056" max="12056" width="11" style="140" customWidth="1"/>
    <col min="12057" max="12057" width="10.6640625" style="140" bestFit="1" customWidth="1"/>
    <col min="12058" max="12293" width="8.6640625" style="140"/>
    <col min="12294" max="12294" width="23.1640625" style="140" bestFit="1" customWidth="1"/>
    <col min="12295" max="12295" width="17.5" style="140" bestFit="1" customWidth="1"/>
    <col min="12296" max="12296" width="12.1640625" style="140" bestFit="1" customWidth="1"/>
    <col min="12297" max="12297" width="12.6640625" style="140" customWidth="1"/>
    <col min="12298" max="12298" width="12.33203125" style="140" bestFit="1" customWidth="1"/>
    <col min="12299" max="12299" width="8.6640625" style="140"/>
    <col min="12300" max="12300" width="10.6640625" style="140" bestFit="1" customWidth="1"/>
    <col min="12301" max="12307" width="8.6640625" style="140"/>
    <col min="12308" max="12308" width="10.33203125" style="140" customWidth="1"/>
    <col min="12309" max="12309" width="15.83203125" style="140" customWidth="1"/>
    <col min="12310" max="12310" width="13.33203125" style="140" customWidth="1"/>
    <col min="12311" max="12311" width="11.5" style="140" customWidth="1"/>
    <col min="12312" max="12312" width="11" style="140" customWidth="1"/>
    <col min="12313" max="12313" width="10.6640625" style="140" bestFit="1" customWidth="1"/>
    <col min="12314" max="12549" width="8.6640625" style="140"/>
    <col min="12550" max="12550" width="23.1640625" style="140" bestFit="1" customWidth="1"/>
    <col min="12551" max="12551" width="17.5" style="140" bestFit="1" customWidth="1"/>
    <col min="12552" max="12552" width="12.1640625" style="140" bestFit="1" customWidth="1"/>
    <col min="12553" max="12553" width="12.6640625" style="140" customWidth="1"/>
    <col min="12554" max="12554" width="12.33203125" style="140" bestFit="1" customWidth="1"/>
    <col min="12555" max="12555" width="8.6640625" style="140"/>
    <col min="12556" max="12556" width="10.6640625" style="140" bestFit="1" customWidth="1"/>
    <col min="12557" max="12563" width="8.6640625" style="140"/>
    <col min="12564" max="12564" width="10.33203125" style="140" customWidth="1"/>
    <col min="12565" max="12565" width="15.83203125" style="140" customWidth="1"/>
    <col min="12566" max="12566" width="13.33203125" style="140" customWidth="1"/>
    <col min="12567" max="12567" width="11.5" style="140" customWidth="1"/>
    <col min="12568" max="12568" width="11" style="140" customWidth="1"/>
    <col min="12569" max="12569" width="10.6640625" style="140" bestFit="1" customWidth="1"/>
    <col min="12570" max="12805" width="8.6640625" style="140"/>
    <col min="12806" max="12806" width="23.1640625" style="140" bestFit="1" customWidth="1"/>
    <col min="12807" max="12807" width="17.5" style="140" bestFit="1" customWidth="1"/>
    <col min="12808" max="12808" width="12.1640625" style="140" bestFit="1" customWidth="1"/>
    <col min="12809" max="12809" width="12.6640625" style="140" customWidth="1"/>
    <col min="12810" max="12810" width="12.33203125" style="140" bestFit="1" customWidth="1"/>
    <col min="12811" max="12811" width="8.6640625" style="140"/>
    <col min="12812" max="12812" width="10.6640625" style="140" bestFit="1" customWidth="1"/>
    <col min="12813" max="12819" width="8.6640625" style="140"/>
    <col min="12820" max="12820" width="10.33203125" style="140" customWidth="1"/>
    <col min="12821" max="12821" width="15.83203125" style="140" customWidth="1"/>
    <col min="12822" max="12822" width="13.33203125" style="140" customWidth="1"/>
    <col min="12823" max="12823" width="11.5" style="140" customWidth="1"/>
    <col min="12824" max="12824" width="11" style="140" customWidth="1"/>
    <col min="12825" max="12825" width="10.6640625" style="140" bestFit="1" customWidth="1"/>
    <col min="12826" max="13061" width="8.6640625" style="140"/>
    <col min="13062" max="13062" width="23.1640625" style="140" bestFit="1" customWidth="1"/>
    <col min="13063" max="13063" width="17.5" style="140" bestFit="1" customWidth="1"/>
    <col min="13064" max="13064" width="12.1640625" style="140" bestFit="1" customWidth="1"/>
    <col min="13065" max="13065" width="12.6640625" style="140" customWidth="1"/>
    <col min="13066" max="13066" width="12.33203125" style="140" bestFit="1" customWidth="1"/>
    <col min="13067" max="13067" width="8.6640625" style="140"/>
    <col min="13068" max="13068" width="10.6640625" style="140" bestFit="1" customWidth="1"/>
    <col min="13069" max="13075" width="8.6640625" style="140"/>
    <col min="13076" max="13076" width="10.33203125" style="140" customWidth="1"/>
    <col min="13077" max="13077" width="15.83203125" style="140" customWidth="1"/>
    <col min="13078" max="13078" width="13.33203125" style="140" customWidth="1"/>
    <col min="13079" max="13079" width="11.5" style="140" customWidth="1"/>
    <col min="13080" max="13080" width="11" style="140" customWidth="1"/>
    <col min="13081" max="13081" width="10.6640625" style="140" bestFit="1" customWidth="1"/>
    <col min="13082" max="13317" width="8.6640625" style="140"/>
    <col min="13318" max="13318" width="23.1640625" style="140" bestFit="1" customWidth="1"/>
    <col min="13319" max="13319" width="17.5" style="140" bestFit="1" customWidth="1"/>
    <col min="13320" max="13320" width="12.1640625" style="140" bestFit="1" customWidth="1"/>
    <col min="13321" max="13321" width="12.6640625" style="140" customWidth="1"/>
    <col min="13322" max="13322" width="12.33203125" style="140" bestFit="1" customWidth="1"/>
    <col min="13323" max="13323" width="8.6640625" style="140"/>
    <col min="13324" max="13324" width="10.6640625" style="140" bestFit="1" customWidth="1"/>
    <col min="13325" max="13331" width="8.6640625" style="140"/>
    <col min="13332" max="13332" width="10.33203125" style="140" customWidth="1"/>
    <col min="13333" max="13333" width="15.83203125" style="140" customWidth="1"/>
    <col min="13334" max="13334" width="13.33203125" style="140" customWidth="1"/>
    <col min="13335" max="13335" width="11.5" style="140" customWidth="1"/>
    <col min="13336" max="13336" width="11" style="140" customWidth="1"/>
    <col min="13337" max="13337" width="10.6640625" style="140" bestFit="1" customWidth="1"/>
    <col min="13338" max="13573" width="8.6640625" style="140"/>
    <col min="13574" max="13574" width="23.1640625" style="140" bestFit="1" customWidth="1"/>
    <col min="13575" max="13575" width="17.5" style="140" bestFit="1" customWidth="1"/>
    <col min="13576" max="13576" width="12.1640625" style="140" bestFit="1" customWidth="1"/>
    <col min="13577" max="13577" width="12.6640625" style="140" customWidth="1"/>
    <col min="13578" max="13578" width="12.33203125" style="140" bestFit="1" customWidth="1"/>
    <col min="13579" max="13579" width="8.6640625" style="140"/>
    <col min="13580" max="13580" width="10.6640625" style="140" bestFit="1" customWidth="1"/>
    <col min="13581" max="13587" width="8.6640625" style="140"/>
    <col min="13588" max="13588" width="10.33203125" style="140" customWidth="1"/>
    <col min="13589" max="13589" width="15.83203125" style="140" customWidth="1"/>
    <col min="13590" max="13590" width="13.33203125" style="140" customWidth="1"/>
    <col min="13591" max="13591" width="11.5" style="140" customWidth="1"/>
    <col min="13592" max="13592" width="11" style="140" customWidth="1"/>
    <col min="13593" max="13593" width="10.6640625" style="140" bestFit="1" customWidth="1"/>
    <col min="13594" max="13829" width="8.6640625" style="140"/>
    <col min="13830" max="13830" width="23.1640625" style="140" bestFit="1" customWidth="1"/>
    <col min="13831" max="13831" width="17.5" style="140" bestFit="1" customWidth="1"/>
    <col min="13832" max="13832" width="12.1640625" style="140" bestFit="1" customWidth="1"/>
    <col min="13833" max="13833" width="12.6640625" style="140" customWidth="1"/>
    <col min="13834" max="13834" width="12.33203125" style="140" bestFit="1" customWidth="1"/>
    <col min="13835" max="13835" width="8.6640625" style="140"/>
    <col min="13836" max="13836" width="10.6640625" style="140" bestFit="1" customWidth="1"/>
    <col min="13837" max="13843" width="8.6640625" style="140"/>
    <col min="13844" max="13844" width="10.33203125" style="140" customWidth="1"/>
    <col min="13845" max="13845" width="15.83203125" style="140" customWidth="1"/>
    <col min="13846" max="13846" width="13.33203125" style="140" customWidth="1"/>
    <col min="13847" max="13847" width="11.5" style="140" customWidth="1"/>
    <col min="13848" max="13848" width="11" style="140" customWidth="1"/>
    <col min="13849" max="13849" width="10.6640625" style="140" bestFit="1" customWidth="1"/>
    <col min="13850" max="14085" width="8.6640625" style="140"/>
    <col min="14086" max="14086" width="23.1640625" style="140" bestFit="1" customWidth="1"/>
    <col min="14087" max="14087" width="17.5" style="140" bestFit="1" customWidth="1"/>
    <col min="14088" max="14088" width="12.1640625" style="140" bestFit="1" customWidth="1"/>
    <col min="14089" max="14089" width="12.6640625" style="140" customWidth="1"/>
    <col min="14090" max="14090" width="12.33203125" style="140" bestFit="1" customWidth="1"/>
    <col min="14091" max="14091" width="8.6640625" style="140"/>
    <col min="14092" max="14092" width="10.6640625" style="140" bestFit="1" customWidth="1"/>
    <col min="14093" max="14099" width="8.6640625" style="140"/>
    <col min="14100" max="14100" width="10.33203125" style="140" customWidth="1"/>
    <col min="14101" max="14101" width="15.83203125" style="140" customWidth="1"/>
    <col min="14102" max="14102" width="13.33203125" style="140" customWidth="1"/>
    <col min="14103" max="14103" width="11.5" style="140" customWidth="1"/>
    <col min="14104" max="14104" width="11" style="140" customWidth="1"/>
    <col min="14105" max="14105" width="10.6640625" style="140" bestFit="1" customWidth="1"/>
    <col min="14106" max="14341" width="8.6640625" style="140"/>
    <col min="14342" max="14342" width="23.1640625" style="140" bestFit="1" customWidth="1"/>
    <col min="14343" max="14343" width="17.5" style="140" bestFit="1" customWidth="1"/>
    <col min="14344" max="14344" width="12.1640625" style="140" bestFit="1" customWidth="1"/>
    <col min="14345" max="14345" width="12.6640625" style="140" customWidth="1"/>
    <col min="14346" max="14346" width="12.33203125" style="140" bestFit="1" customWidth="1"/>
    <col min="14347" max="14347" width="8.6640625" style="140"/>
    <col min="14348" max="14348" width="10.6640625" style="140" bestFit="1" customWidth="1"/>
    <col min="14349" max="14355" width="8.6640625" style="140"/>
    <col min="14356" max="14356" width="10.33203125" style="140" customWidth="1"/>
    <col min="14357" max="14357" width="15.83203125" style="140" customWidth="1"/>
    <col min="14358" max="14358" width="13.33203125" style="140" customWidth="1"/>
    <col min="14359" max="14359" width="11.5" style="140" customWidth="1"/>
    <col min="14360" max="14360" width="11" style="140" customWidth="1"/>
    <col min="14361" max="14361" width="10.6640625" style="140" bestFit="1" customWidth="1"/>
    <col min="14362" max="14597" width="8.6640625" style="140"/>
    <col min="14598" max="14598" width="23.1640625" style="140" bestFit="1" customWidth="1"/>
    <col min="14599" max="14599" width="17.5" style="140" bestFit="1" customWidth="1"/>
    <col min="14600" max="14600" width="12.1640625" style="140" bestFit="1" customWidth="1"/>
    <col min="14601" max="14601" width="12.6640625" style="140" customWidth="1"/>
    <col min="14602" max="14602" width="12.33203125" style="140" bestFit="1" customWidth="1"/>
    <col min="14603" max="14603" width="8.6640625" style="140"/>
    <col min="14604" max="14604" width="10.6640625" style="140" bestFit="1" customWidth="1"/>
    <col min="14605" max="14611" width="8.6640625" style="140"/>
    <col min="14612" max="14612" width="10.33203125" style="140" customWidth="1"/>
    <col min="14613" max="14613" width="15.83203125" style="140" customWidth="1"/>
    <col min="14614" max="14614" width="13.33203125" style="140" customWidth="1"/>
    <col min="14615" max="14615" width="11.5" style="140" customWidth="1"/>
    <col min="14616" max="14616" width="11" style="140" customWidth="1"/>
    <col min="14617" max="14617" width="10.6640625" style="140" bestFit="1" customWidth="1"/>
    <col min="14618" max="14853" width="8.6640625" style="140"/>
    <col min="14854" max="14854" width="23.1640625" style="140" bestFit="1" customWidth="1"/>
    <col min="14855" max="14855" width="17.5" style="140" bestFit="1" customWidth="1"/>
    <col min="14856" max="14856" width="12.1640625" style="140" bestFit="1" customWidth="1"/>
    <col min="14857" max="14857" width="12.6640625" style="140" customWidth="1"/>
    <col min="14858" max="14858" width="12.33203125" style="140" bestFit="1" customWidth="1"/>
    <col min="14859" max="14859" width="8.6640625" style="140"/>
    <col min="14860" max="14860" width="10.6640625" style="140" bestFit="1" customWidth="1"/>
    <col min="14861" max="14867" width="8.6640625" style="140"/>
    <col min="14868" max="14868" width="10.33203125" style="140" customWidth="1"/>
    <col min="14869" max="14869" width="15.83203125" style="140" customWidth="1"/>
    <col min="14870" max="14870" width="13.33203125" style="140" customWidth="1"/>
    <col min="14871" max="14871" width="11.5" style="140" customWidth="1"/>
    <col min="14872" max="14872" width="11" style="140" customWidth="1"/>
    <col min="14873" max="14873" width="10.6640625" style="140" bestFit="1" customWidth="1"/>
    <col min="14874" max="15109" width="8.6640625" style="140"/>
    <col min="15110" max="15110" width="23.1640625" style="140" bestFit="1" customWidth="1"/>
    <col min="15111" max="15111" width="17.5" style="140" bestFit="1" customWidth="1"/>
    <col min="15112" max="15112" width="12.1640625" style="140" bestFit="1" customWidth="1"/>
    <col min="15113" max="15113" width="12.6640625" style="140" customWidth="1"/>
    <col min="15114" max="15114" width="12.33203125" style="140" bestFit="1" customWidth="1"/>
    <col min="15115" max="15115" width="8.6640625" style="140"/>
    <col min="15116" max="15116" width="10.6640625" style="140" bestFit="1" customWidth="1"/>
    <col min="15117" max="15123" width="8.6640625" style="140"/>
    <col min="15124" max="15124" width="10.33203125" style="140" customWidth="1"/>
    <col min="15125" max="15125" width="15.83203125" style="140" customWidth="1"/>
    <col min="15126" max="15126" width="13.33203125" style="140" customWidth="1"/>
    <col min="15127" max="15127" width="11.5" style="140" customWidth="1"/>
    <col min="15128" max="15128" width="11" style="140" customWidth="1"/>
    <col min="15129" max="15129" width="10.6640625" style="140" bestFit="1" customWidth="1"/>
    <col min="15130" max="15365" width="8.6640625" style="140"/>
    <col min="15366" max="15366" width="23.1640625" style="140" bestFit="1" customWidth="1"/>
    <col min="15367" max="15367" width="17.5" style="140" bestFit="1" customWidth="1"/>
    <col min="15368" max="15368" width="12.1640625" style="140" bestFit="1" customWidth="1"/>
    <col min="15369" max="15369" width="12.6640625" style="140" customWidth="1"/>
    <col min="15370" max="15370" width="12.33203125" style="140" bestFit="1" customWidth="1"/>
    <col min="15371" max="15371" width="8.6640625" style="140"/>
    <col min="15372" max="15372" width="10.6640625" style="140" bestFit="1" customWidth="1"/>
    <col min="15373" max="15379" width="8.6640625" style="140"/>
    <col min="15380" max="15380" width="10.33203125" style="140" customWidth="1"/>
    <col min="15381" max="15381" width="15.83203125" style="140" customWidth="1"/>
    <col min="15382" max="15382" width="13.33203125" style="140" customWidth="1"/>
    <col min="15383" max="15383" width="11.5" style="140" customWidth="1"/>
    <col min="15384" max="15384" width="11" style="140" customWidth="1"/>
    <col min="15385" max="15385" width="10.6640625" style="140" bestFit="1" customWidth="1"/>
    <col min="15386" max="15621" width="8.6640625" style="140"/>
    <col min="15622" max="15622" width="23.1640625" style="140" bestFit="1" customWidth="1"/>
    <col min="15623" max="15623" width="17.5" style="140" bestFit="1" customWidth="1"/>
    <col min="15624" max="15624" width="12.1640625" style="140" bestFit="1" customWidth="1"/>
    <col min="15625" max="15625" width="12.6640625" style="140" customWidth="1"/>
    <col min="15626" max="15626" width="12.33203125" style="140" bestFit="1" customWidth="1"/>
    <col min="15627" max="15627" width="8.6640625" style="140"/>
    <col min="15628" max="15628" width="10.6640625" style="140" bestFit="1" customWidth="1"/>
    <col min="15629" max="15635" width="8.6640625" style="140"/>
    <col min="15636" max="15636" width="10.33203125" style="140" customWidth="1"/>
    <col min="15637" max="15637" width="15.83203125" style="140" customWidth="1"/>
    <col min="15638" max="15638" width="13.33203125" style="140" customWidth="1"/>
    <col min="15639" max="15639" width="11.5" style="140" customWidth="1"/>
    <col min="15640" max="15640" width="11" style="140" customWidth="1"/>
    <col min="15641" max="15641" width="10.6640625" style="140" bestFit="1" customWidth="1"/>
    <col min="15642" max="15877" width="8.6640625" style="140"/>
    <col min="15878" max="15878" width="23.1640625" style="140" bestFit="1" customWidth="1"/>
    <col min="15879" max="15879" width="17.5" style="140" bestFit="1" customWidth="1"/>
    <col min="15880" max="15880" width="12.1640625" style="140" bestFit="1" customWidth="1"/>
    <col min="15881" max="15881" width="12.6640625" style="140" customWidth="1"/>
    <col min="15882" max="15882" width="12.33203125" style="140" bestFit="1" customWidth="1"/>
    <col min="15883" max="15883" width="8.6640625" style="140"/>
    <col min="15884" max="15884" width="10.6640625" style="140" bestFit="1" customWidth="1"/>
    <col min="15885" max="15891" width="8.6640625" style="140"/>
    <col min="15892" max="15892" width="10.33203125" style="140" customWidth="1"/>
    <col min="15893" max="15893" width="15.83203125" style="140" customWidth="1"/>
    <col min="15894" max="15894" width="13.33203125" style="140" customWidth="1"/>
    <col min="15895" max="15895" width="11.5" style="140" customWidth="1"/>
    <col min="15896" max="15896" width="11" style="140" customWidth="1"/>
    <col min="15897" max="15897" width="10.6640625" style="140" bestFit="1" customWidth="1"/>
    <col min="15898" max="16133" width="8.6640625" style="140"/>
    <col min="16134" max="16134" width="23.1640625" style="140" bestFit="1" customWidth="1"/>
    <col min="16135" max="16135" width="17.5" style="140" bestFit="1" customWidth="1"/>
    <col min="16136" max="16136" width="12.1640625" style="140" bestFit="1" customWidth="1"/>
    <col min="16137" max="16137" width="12.6640625" style="140" customWidth="1"/>
    <col min="16138" max="16138" width="12.33203125" style="140" bestFit="1" customWidth="1"/>
    <col min="16139" max="16139" width="8.6640625" style="140"/>
    <col min="16140" max="16140" width="10.6640625" style="140" bestFit="1" customWidth="1"/>
    <col min="16141" max="16147" width="8.6640625" style="140"/>
    <col min="16148" max="16148" width="10.33203125" style="140" customWidth="1"/>
    <col min="16149" max="16149" width="15.83203125" style="140" customWidth="1"/>
    <col min="16150" max="16150" width="13.33203125" style="140" customWidth="1"/>
    <col min="16151" max="16151" width="11.5" style="140" customWidth="1"/>
    <col min="16152" max="16152" width="11" style="140" customWidth="1"/>
    <col min="16153" max="16153" width="10.6640625" style="140" bestFit="1" customWidth="1"/>
    <col min="16154" max="16384" width="8.6640625" style="140"/>
  </cols>
  <sheetData>
    <row r="1" spans="1:26" x14ac:dyDescent="0.15">
      <c r="A1" s="134" t="s">
        <v>134</v>
      </c>
      <c r="B1" s="134" t="s">
        <v>135</v>
      </c>
      <c r="C1" s="134" t="s">
        <v>136</v>
      </c>
      <c r="D1" s="134" t="s">
        <v>87</v>
      </c>
      <c r="E1" s="134" t="s">
        <v>137</v>
      </c>
      <c r="F1" s="139" t="s">
        <v>87</v>
      </c>
      <c r="G1" s="139" t="s">
        <v>145</v>
      </c>
      <c r="H1" s="222" t="s">
        <v>151</v>
      </c>
      <c r="I1" s="222" t="s">
        <v>152</v>
      </c>
      <c r="J1" s="222" t="s">
        <v>82</v>
      </c>
      <c r="K1" s="222" t="s">
        <v>83</v>
      </c>
      <c r="Q1" s="108" t="s">
        <v>177</v>
      </c>
      <c r="R1" s="108" t="s">
        <v>178</v>
      </c>
    </row>
    <row r="2" spans="1:26" x14ac:dyDescent="0.15">
      <c r="C2" s="140">
        <f>_xlfn.SWITCH(Q2,60,60,59,60,58,60,57,58,56,58,55,56,54,IF(B2&gt;$R$2,54,56))</f>
        <v>60</v>
      </c>
      <c r="E2" s="108">
        <v>6022</v>
      </c>
      <c r="F2" s="140" t="s">
        <v>157</v>
      </c>
      <c r="G2" s="141">
        <v>9408</v>
      </c>
      <c r="H2" s="137">
        <f>E2*$U$6</f>
        <v>6.0220000000000001E-6</v>
      </c>
      <c r="I2" s="140">
        <f>_xlfn.SWITCH(C2+$U$2,54,$Z$10,55,$Y$10,56,$X$10,57,$W$10,58,$V$10,59,$U$10,$U$17)*H2</f>
        <v>1.8966457615999999E-6</v>
      </c>
      <c r="K2" s="140">
        <f>_xlfn.SWITCH(C2+$U$2,54,$Z$12,55,$Y$12,56,$X$12,57,$W$12,58,$V$12,59,$U$12,$U$19)*G2*$U$6</f>
        <v>6.2484455040000005E-7</v>
      </c>
      <c r="M2" s="140">
        <f>+E2*25</f>
        <v>150550</v>
      </c>
      <c r="N2" s="140">
        <f t="shared" ref="N2:N30" si="0">+M2/G2</f>
        <v>16.002338435374149</v>
      </c>
      <c r="Q2" s="140">
        <v>60</v>
      </c>
      <c r="R2">
        <v>0.88133335113525302</v>
      </c>
      <c r="T2" s="108" t="s">
        <v>171</v>
      </c>
      <c r="U2" s="108">
        <v>1</v>
      </c>
      <c r="V2" s="108"/>
      <c r="W2" s="108"/>
      <c r="X2" s="108"/>
      <c r="Y2" s="108"/>
    </row>
    <row r="3" spans="1:26" x14ac:dyDescent="0.15">
      <c r="A3" s="108">
        <v>0</v>
      </c>
      <c r="B3" s="142">
        <v>0.8399999737739563</v>
      </c>
      <c r="C3" s="140">
        <f t="shared" ref="C3:C31" si="1">_xlfn.SWITCH(Q3,60,60,59,60,58,60,57,58,56,58,55,56,54,IF(B3&gt;$R$2,54,56))</f>
        <v>58</v>
      </c>
      <c r="D3" s="108"/>
      <c r="E3" s="108">
        <v>27646</v>
      </c>
      <c r="F3" s="140" t="s">
        <v>158</v>
      </c>
      <c r="G3" s="143">
        <v>11802</v>
      </c>
      <c r="H3" s="137">
        <f t="shared" ref="H3:H31" si="2">E3*$U$6</f>
        <v>2.7646000000000003E-5</v>
      </c>
      <c r="I3" s="140">
        <f t="shared" ref="I3:I31" si="3">_xlfn.SWITCH(C3+$U$2,54,$Z$10,55,$Y$10,56,$X$10,57,$W$10,58,$V$10,59,$U$10,$U$17)*H3</f>
        <v>8.4991102544000001E-6</v>
      </c>
      <c r="J3" s="140">
        <f>_xlfn.SWITCH(C3+$U$2,54,$Z$11,55,$Y$11,56,$X$11,57,$W$11,58,$V$11,59,$U$11,$U$18)*G3*$U$6</f>
        <v>9.5104489343934009E-7</v>
      </c>
      <c r="M3" s="140">
        <f t="shared" ref="M2:M30" si="4">+E3*25</f>
        <v>691150</v>
      </c>
      <c r="N3" s="140">
        <f t="shared" si="0"/>
        <v>58.562108117268259</v>
      </c>
      <c r="Q3" s="108">
        <v>57</v>
      </c>
      <c r="T3" s="108"/>
      <c r="U3" s="108"/>
      <c r="V3" s="108"/>
      <c r="W3" s="108"/>
      <c r="X3" s="108"/>
      <c r="Y3" s="108"/>
    </row>
    <row r="4" spans="1:26" x14ac:dyDescent="0.15">
      <c r="A4" s="108">
        <v>1</v>
      </c>
      <c r="B4" s="142">
        <v>0.87866663932800293</v>
      </c>
      <c r="C4" s="140">
        <f t="shared" si="1"/>
        <v>60</v>
      </c>
      <c r="D4" s="108"/>
      <c r="E4" s="108">
        <v>147196</v>
      </c>
      <c r="F4" s="140" t="s">
        <v>186</v>
      </c>
      <c r="G4" s="141">
        <v>25538</v>
      </c>
      <c r="H4" s="137">
        <f t="shared" si="2"/>
        <v>1.4719600000000002E-4</v>
      </c>
      <c r="I4" s="140">
        <f t="shared" si="3"/>
        <v>4.6359792348800003E-5</v>
      </c>
      <c r="K4" s="140">
        <f t="shared" ref="K3:K31" si="5">_xlfn.SWITCH(C4+$U$2,54,$Z$12,55,$Y$12,56,$X$12,57,$W$12,58,$V$12,59,$U$12,$U$19)*G4*$U$6</f>
        <v>1.6961394694E-6</v>
      </c>
      <c r="M4" s="140">
        <f t="shared" si="4"/>
        <v>3679900</v>
      </c>
      <c r="N4" s="140">
        <f t="shared" si="0"/>
        <v>144.09507400736157</v>
      </c>
      <c r="Q4" s="108">
        <v>58</v>
      </c>
      <c r="T4" s="108"/>
      <c r="U4" s="108"/>
      <c r="V4" s="108"/>
      <c r="W4" s="108"/>
      <c r="X4" s="108"/>
      <c r="Y4" s="108"/>
    </row>
    <row r="5" spans="1:26" x14ac:dyDescent="0.15">
      <c r="A5" s="108">
        <v>2</v>
      </c>
      <c r="B5" s="142">
        <v>0.87333333492279053</v>
      </c>
      <c r="C5" s="140">
        <f t="shared" si="1"/>
        <v>58</v>
      </c>
      <c r="D5" s="108"/>
      <c r="E5" s="108">
        <v>49108</v>
      </c>
      <c r="F5" s="140" t="s">
        <v>158</v>
      </c>
      <c r="G5" s="143">
        <v>100352</v>
      </c>
      <c r="H5" s="137">
        <f t="shared" si="2"/>
        <v>4.9108000000000005E-5</v>
      </c>
      <c r="I5" s="140">
        <f t="shared" si="3"/>
        <v>1.5097095651200002E-5</v>
      </c>
      <c r="J5" s="140">
        <f t="shared" ref="J4:J31" si="6">_xlfn.SWITCH(C5+$U$2,54,$Z$11,55,$Y$11,56,$X$11,57,$W$11,58,$V$11,59,$U$11,$U$18)*G5*$U$6</f>
        <v>8.0867020120678415E-6</v>
      </c>
      <c r="M5" s="140">
        <f t="shared" si="4"/>
        <v>1227700</v>
      </c>
      <c r="N5" s="140">
        <f t="shared" si="0"/>
        <v>12.233936543367347</v>
      </c>
      <c r="Q5" s="108">
        <v>57</v>
      </c>
      <c r="T5" s="108" t="s">
        <v>57</v>
      </c>
      <c r="U5" s="108">
        <v>1</v>
      </c>
      <c r="V5" s="108" t="s">
        <v>58</v>
      </c>
      <c r="W5" s="108"/>
      <c r="X5" s="108"/>
      <c r="Y5" s="108"/>
    </row>
    <row r="6" spans="1:26" x14ac:dyDescent="0.15">
      <c r="A6" s="108">
        <v>3</v>
      </c>
      <c r="B6" s="142">
        <v>0.87866663932800293</v>
      </c>
      <c r="C6" s="140">
        <f t="shared" si="1"/>
        <v>60</v>
      </c>
      <c r="D6" s="108"/>
      <c r="E6" s="108">
        <v>72604</v>
      </c>
      <c r="F6" s="140" t="s">
        <v>186</v>
      </c>
      <c r="G6" s="141">
        <v>12544</v>
      </c>
      <c r="H6" s="137">
        <f t="shared" si="2"/>
        <v>7.2603999999999998E-5</v>
      </c>
      <c r="I6" s="140">
        <f t="shared" si="3"/>
        <v>2.2866833091199996E-5</v>
      </c>
      <c r="K6" s="140">
        <f t="shared" si="5"/>
        <v>8.3312606720000007E-7</v>
      </c>
      <c r="M6" s="140">
        <f t="shared" si="4"/>
        <v>1815100</v>
      </c>
      <c r="N6" s="140">
        <f t="shared" si="0"/>
        <v>144.69866071428572</v>
      </c>
      <c r="Q6" s="108">
        <v>58</v>
      </c>
      <c r="T6" s="108"/>
      <c r="U6" s="196">
        <f>U5/1000000000</f>
        <v>1.0000000000000001E-9</v>
      </c>
      <c r="V6" s="108" t="s">
        <v>153</v>
      </c>
      <c r="W6" s="108"/>
      <c r="X6" s="108"/>
      <c r="Y6" s="108"/>
    </row>
    <row r="7" spans="1:26" x14ac:dyDescent="0.15">
      <c r="A7" s="108">
        <v>4</v>
      </c>
      <c r="B7" s="142">
        <v>0.87199997901916504</v>
      </c>
      <c r="C7" s="140">
        <f t="shared" si="1"/>
        <v>58</v>
      </c>
      <c r="D7" s="108"/>
      <c r="E7" s="108">
        <v>48436</v>
      </c>
      <c r="F7" s="140" t="s">
        <v>158</v>
      </c>
      <c r="G7" s="143">
        <v>96800</v>
      </c>
      <c r="H7" s="137">
        <f t="shared" si="2"/>
        <v>4.8436000000000002E-5</v>
      </c>
      <c r="I7" s="140">
        <f t="shared" si="3"/>
        <v>1.48905051104E-5</v>
      </c>
      <c r="J7" s="140">
        <f t="shared" si="6"/>
        <v>7.8004698936560017E-6</v>
      </c>
      <c r="M7" s="140">
        <f t="shared" si="4"/>
        <v>1210900</v>
      </c>
      <c r="N7" s="140">
        <f t="shared" si="0"/>
        <v>12.509297520661157</v>
      </c>
      <c r="Q7" s="108">
        <v>57</v>
      </c>
      <c r="T7" s="108"/>
      <c r="U7" s="108"/>
      <c r="V7" s="108"/>
      <c r="W7" s="108"/>
      <c r="X7" s="108"/>
      <c r="Y7" s="108"/>
    </row>
    <row r="8" spans="1:26" x14ac:dyDescent="0.15">
      <c r="A8" s="108">
        <v>5</v>
      </c>
      <c r="B8" s="142">
        <v>0.87999999523162842</v>
      </c>
      <c r="C8" s="140">
        <f t="shared" si="1"/>
        <v>60</v>
      </c>
      <c r="D8" s="108"/>
      <c r="E8" s="108">
        <v>145180</v>
      </c>
      <c r="F8" s="140" t="s">
        <v>186</v>
      </c>
      <c r="G8" s="141">
        <v>25088</v>
      </c>
      <c r="H8" s="137">
        <f t="shared" si="2"/>
        <v>1.4518000000000002E-4</v>
      </c>
      <c r="I8" s="140">
        <f t="shared" si="3"/>
        <v>4.5724847504000001E-5</v>
      </c>
      <c r="K8" s="140">
        <f t="shared" si="5"/>
        <v>1.6662521344000001E-6</v>
      </c>
      <c r="M8" s="140">
        <f t="shared" si="4"/>
        <v>3629500</v>
      </c>
      <c r="N8" s="140">
        <f t="shared" si="0"/>
        <v>144.67075892857142</v>
      </c>
      <c r="Q8" s="108">
        <v>58</v>
      </c>
      <c r="T8" s="108"/>
      <c r="U8" s="108"/>
      <c r="V8" s="108"/>
      <c r="W8" s="108"/>
      <c r="X8" s="108"/>
      <c r="Y8" s="108"/>
    </row>
    <row r="9" spans="1:26" x14ac:dyDescent="0.15">
      <c r="A9" s="108">
        <v>6</v>
      </c>
      <c r="B9" s="142">
        <v>0.87066668272018433</v>
      </c>
      <c r="C9" s="140">
        <f t="shared" si="1"/>
        <v>58</v>
      </c>
      <c r="D9" s="108"/>
      <c r="E9" s="108">
        <v>96820</v>
      </c>
      <c r="F9" s="140" t="s">
        <v>158</v>
      </c>
      <c r="G9" s="143">
        <v>193600</v>
      </c>
      <c r="H9" s="137">
        <f t="shared" si="2"/>
        <v>9.6820000000000012E-5</v>
      </c>
      <c r="I9" s="140">
        <f t="shared" si="3"/>
        <v>2.9765024048000001E-5</v>
      </c>
      <c r="J9" s="140">
        <f t="shared" si="6"/>
        <v>1.5600939787312003E-5</v>
      </c>
      <c r="M9" s="140">
        <f t="shared" si="4"/>
        <v>2420500</v>
      </c>
      <c r="N9" s="140">
        <f t="shared" si="0"/>
        <v>12.502582644628099</v>
      </c>
      <c r="Q9" s="108">
        <v>57</v>
      </c>
      <c r="T9" s="197"/>
      <c r="U9" s="197">
        <v>0.59</v>
      </c>
      <c r="V9" s="197">
        <v>0.57999999999999996</v>
      </c>
      <c r="W9" s="197">
        <v>0.56999999999999995</v>
      </c>
      <c r="X9" s="197">
        <v>0.56000000000000005</v>
      </c>
      <c r="Y9" s="197">
        <v>0.55000000000000004</v>
      </c>
      <c r="Z9" s="144">
        <v>0.54</v>
      </c>
    </row>
    <row r="10" spans="1:26" x14ac:dyDescent="0.15">
      <c r="A10" s="108">
        <v>7</v>
      </c>
      <c r="B10" s="142">
        <v>0.87866663932800293</v>
      </c>
      <c r="C10" s="140">
        <f t="shared" si="1"/>
        <v>60</v>
      </c>
      <c r="D10" s="108"/>
      <c r="E10" s="108">
        <v>36892</v>
      </c>
      <c r="F10" s="140" t="s">
        <v>186</v>
      </c>
      <c r="G10" s="141">
        <v>6272</v>
      </c>
      <c r="H10" s="137">
        <f t="shared" si="2"/>
        <v>3.6892000000000005E-5</v>
      </c>
      <c r="I10" s="140">
        <f t="shared" si="3"/>
        <v>1.1619238697600001E-5</v>
      </c>
      <c r="K10" s="140">
        <f t="shared" si="5"/>
        <v>4.1656303360000003E-7</v>
      </c>
      <c r="M10" s="140">
        <f t="shared" si="4"/>
        <v>922300</v>
      </c>
      <c r="N10" s="140">
        <f t="shared" si="0"/>
        <v>147.05038265306123</v>
      </c>
      <c r="Q10" s="108">
        <v>58</v>
      </c>
      <c r="T10" s="197" t="s">
        <v>46</v>
      </c>
      <c r="U10" s="198">
        <v>0.30742639999999999</v>
      </c>
      <c r="V10" s="198">
        <v>0.2999</v>
      </c>
      <c r="W10" s="198">
        <v>0.29237360000000001</v>
      </c>
      <c r="X10" s="198">
        <v>0.28484720000000002</v>
      </c>
      <c r="Y10" s="198">
        <v>0.27732079999999998</v>
      </c>
      <c r="Z10" s="93">
        <v>0.26979439999999999</v>
      </c>
    </row>
    <row r="11" spans="1:26" x14ac:dyDescent="0.15">
      <c r="A11" s="108">
        <v>8</v>
      </c>
      <c r="B11" s="142">
        <v>0.87999999523162842</v>
      </c>
      <c r="C11" s="140">
        <f t="shared" si="1"/>
        <v>60</v>
      </c>
      <c r="D11" s="108"/>
      <c r="E11" s="108">
        <v>45108</v>
      </c>
      <c r="F11" s="140" t="s">
        <v>158</v>
      </c>
      <c r="G11" s="143">
        <v>93312</v>
      </c>
      <c r="H11" s="137">
        <f t="shared" si="2"/>
        <v>4.5108000000000002E-5</v>
      </c>
      <c r="I11" s="140">
        <f t="shared" si="3"/>
        <v>1.42068909024E-5</v>
      </c>
      <c r="J11" s="140">
        <f t="shared" si="6"/>
        <v>7.8191163648000005E-6</v>
      </c>
      <c r="M11" s="140">
        <f t="shared" si="4"/>
        <v>1127700</v>
      </c>
      <c r="N11" s="140">
        <f t="shared" si="0"/>
        <v>12.085262345679013</v>
      </c>
      <c r="Q11" s="108">
        <v>58</v>
      </c>
      <c r="T11" s="197" t="s">
        <v>48</v>
      </c>
      <c r="U11" s="198">
        <v>8.0583366670000003E-2</v>
      </c>
      <c r="V11" s="198">
        <v>7.737133333E-2</v>
      </c>
      <c r="W11" s="198">
        <v>7.4159299999999997E-2</v>
      </c>
      <c r="X11" s="198">
        <v>7.0947266667000006E-2</v>
      </c>
      <c r="Y11" s="198">
        <v>6.7735233332999994E-2</v>
      </c>
      <c r="Z11" s="93">
        <v>6.4523200000000003E-2</v>
      </c>
    </row>
    <row r="12" spans="1:26" x14ac:dyDescent="0.15">
      <c r="A12" s="108">
        <v>9</v>
      </c>
      <c r="B12" s="142">
        <v>0.87599998712539673</v>
      </c>
      <c r="C12" s="140">
        <f t="shared" si="1"/>
        <v>58</v>
      </c>
      <c r="D12" s="108"/>
      <c r="E12" s="108">
        <v>73756</v>
      </c>
      <c r="F12" s="140" t="s">
        <v>186</v>
      </c>
      <c r="G12" s="141">
        <v>12544</v>
      </c>
      <c r="H12" s="137">
        <f t="shared" si="2"/>
        <v>7.3756000000000003E-5</v>
      </c>
      <c r="I12" s="140">
        <f t="shared" si="3"/>
        <v>2.2674541558399999E-5</v>
      </c>
      <c r="K12" s="140">
        <f t="shared" si="5"/>
        <v>7.9467159889152005E-7</v>
      </c>
      <c r="M12" s="140">
        <f t="shared" si="4"/>
        <v>1843900</v>
      </c>
      <c r="N12" s="140">
        <f t="shared" si="0"/>
        <v>146.99457908163265</v>
      </c>
      <c r="Q12" s="108">
        <v>57</v>
      </c>
      <c r="T12" s="197" t="s">
        <v>49</v>
      </c>
      <c r="U12" s="198">
        <v>6.3350733330000006E-2</v>
      </c>
      <c r="V12" s="198">
        <v>6.0285166666700002E-2</v>
      </c>
      <c r="W12" s="198">
        <v>5.7219600000000002E-2</v>
      </c>
      <c r="X12" s="198">
        <v>5.4154033329999997E-2</v>
      </c>
      <c r="Y12" s="198">
        <v>5.1088466667000003E-2</v>
      </c>
      <c r="Z12" s="93">
        <v>4.80229E-2</v>
      </c>
    </row>
    <row r="13" spans="1:26" x14ac:dyDescent="0.15">
      <c r="A13" s="108">
        <v>10</v>
      </c>
      <c r="B13" s="142">
        <v>0.87999999523162842</v>
      </c>
      <c r="C13" s="140">
        <f t="shared" si="1"/>
        <v>58</v>
      </c>
      <c r="D13" s="108"/>
      <c r="E13" s="108">
        <v>90164</v>
      </c>
      <c r="F13" s="140" t="s">
        <v>158</v>
      </c>
      <c r="G13" s="143">
        <v>186624</v>
      </c>
      <c r="H13" s="137">
        <f t="shared" si="2"/>
        <v>9.0163999999999999E-5</v>
      </c>
      <c r="I13" s="140">
        <f t="shared" si="3"/>
        <v>2.7718793929599998E-5</v>
      </c>
      <c r="J13" s="140">
        <f t="shared" si="6"/>
        <v>1.5038790221422082E-5</v>
      </c>
      <c r="M13" s="140">
        <f t="shared" si="4"/>
        <v>2254100</v>
      </c>
      <c r="N13" s="140">
        <f t="shared" si="0"/>
        <v>12.07829646776406</v>
      </c>
      <c r="Q13" s="108">
        <v>57</v>
      </c>
      <c r="T13" s="108"/>
      <c r="U13" s="108"/>
      <c r="V13" s="108"/>
      <c r="W13" s="108"/>
      <c r="X13" s="108"/>
      <c r="Y13" s="108"/>
    </row>
    <row r="14" spans="1:26" x14ac:dyDescent="0.15">
      <c r="A14" s="108">
        <v>11</v>
      </c>
      <c r="B14" s="142">
        <v>0.87999999523162842</v>
      </c>
      <c r="C14" s="140">
        <f t="shared" si="1"/>
        <v>58</v>
      </c>
      <c r="D14" s="108"/>
      <c r="E14" s="108">
        <v>18460</v>
      </c>
      <c r="F14" s="140" t="s">
        <v>186</v>
      </c>
      <c r="G14" s="141">
        <v>3136</v>
      </c>
      <c r="H14" s="137">
        <f t="shared" si="2"/>
        <v>1.8460000000000003E-5</v>
      </c>
      <c r="I14" s="140">
        <f t="shared" si="3"/>
        <v>5.6750913440000009E-6</v>
      </c>
      <c r="K14" s="140">
        <f t="shared" si="5"/>
        <v>1.9866789972288001E-7</v>
      </c>
      <c r="M14" s="140">
        <f t="shared" si="4"/>
        <v>461500</v>
      </c>
      <c r="N14" s="140">
        <f t="shared" si="0"/>
        <v>147.16198979591837</v>
      </c>
      <c r="Q14" s="108">
        <v>57</v>
      </c>
      <c r="T14" s="108"/>
      <c r="U14" s="108"/>
      <c r="V14" s="108"/>
      <c r="W14" s="108"/>
      <c r="X14" s="108"/>
      <c r="Y14" s="108"/>
    </row>
    <row r="15" spans="1:26" x14ac:dyDescent="0.15">
      <c r="A15" s="108">
        <v>12</v>
      </c>
      <c r="B15" s="142">
        <v>0.87466669082641602</v>
      </c>
      <c r="C15" s="140">
        <f t="shared" si="1"/>
        <v>58</v>
      </c>
      <c r="D15" s="108"/>
      <c r="E15" s="108">
        <v>43060</v>
      </c>
      <c r="F15" s="140" t="s">
        <v>158</v>
      </c>
      <c r="G15" s="143">
        <v>86528</v>
      </c>
      <c r="H15" s="137">
        <f t="shared" si="2"/>
        <v>4.3060000000000004E-5</v>
      </c>
      <c r="I15" s="140">
        <f t="shared" si="3"/>
        <v>1.3237780784E-5</v>
      </c>
      <c r="J15" s="140">
        <f t="shared" si="6"/>
        <v>6.9727175512217608E-6</v>
      </c>
      <c r="M15" s="140">
        <f t="shared" si="4"/>
        <v>1076500</v>
      </c>
      <c r="N15" s="140">
        <f t="shared" si="0"/>
        <v>12.441059541420119</v>
      </c>
      <c r="Q15" s="108">
        <v>56</v>
      </c>
      <c r="T15" s="108" t="s">
        <v>45</v>
      </c>
      <c r="U15" s="108" t="s">
        <v>9</v>
      </c>
      <c r="V15" s="108"/>
      <c r="W15" s="108"/>
      <c r="X15" s="108"/>
      <c r="Y15" s="108"/>
    </row>
    <row r="16" spans="1:26" x14ac:dyDescent="0.15">
      <c r="A16" s="108">
        <v>13</v>
      </c>
      <c r="B16" s="142">
        <v>0.87866663932800293</v>
      </c>
      <c r="C16" s="140">
        <f t="shared" si="1"/>
        <v>58</v>
      </c>
      <c r="D16" s="108"/>
      <c r="E16" s="108">
        <v>36892</v>
      </c>
      <c r="F16" s="140" t="s">
        <v>186</v>
      </c>
      <c r="G16" s="141">
        <v>6272</v>
      </c>
      <c r="H16" s="137">
        <f t="shared" si="2"/>
        <v>3.6892000000000005E-5</v>
      </c>
      <c r="I16" s="140">
        <f t="shared" si="3"/>
        <v>1.1341574748800001E-5</v>
      </c>
      <c r="K16" s="140">
        <f t="shared" si="5"/>
        <v>3.9733579944576003E-7</v>
      </c>
      <c r="M16" s="140">
        <f t="shared" si="4"/>
        <v>922300</v>
      </c>
      <c r="N16" s="140">
        <f t="shared" si="0"/>
        <v>147.05038265306123</v>
      </c>
      <c r="Q16" s="108">
        <v>57</v>
      </c>
      <c r="T16" s="108" t="s">
        <v>102</v>
      </c>
      <c r="U16" s="199">
        <v>3.1</v>
      </c>
      <c r="V16" s="108"/>
      <c r="W16" s="108"/>
      <c r="X16" s="108"/>
      <c r="Y16" s="108"/>
    </row>
    <row r="17" spans="1:25" x14ac:dyDescent="0.15">
      <c r="A17" s="108">
        <v>14</v>
      </c>
      <c r="B17" s="142">
        <v>0.87466669082641602</v>
      </c>
      <c r="C17" s="140">
        <f t="shared" si="1"/>
        <v>58</v>
      </c>
      <c r="D17" s="108"/>
      <c r="E17" s="108">
        <v>86068</v>
      </c>
      <c r="F17" s="140" t="s">
        <v>158</v>
      </c>
      <c r="G17" s="143">
        <v>173056</v>
      </c>
      <c r="H17" s="137">
        <f t="shared" si="2"/>
        <v>8.6068000000000003E-5</v>
      </c>
      <c r="I17" s="140">
        <f t="shared" si="3"/>
        <v>2.6459575395200001E-5</v>
      </c>
      <c r="J17" s="140">
        <f t="shared" si="6"/>
        <v>1.3945435102443522E-5</v>
      </c>
      <c r="M17" s="140">
        <f t="shared" si="4"/>
        <v>2151700</v>
      </c>
      <c r="N17" s="140">
        <f t="shared" si="0"/>
        <v>12.433547522189349</v>
      </c>
      <c r="Q17" s="108">
        <v>57</v>
      </c>
      <c r="T17" s="108" t="s">
        <v>46</v>
      </c>
      <c r="U17" s="199">
        <v>0.31495279999999998</v>
      </c>
      <c r="V17" s="108"/>
      <c r="W17" s="108"/>
      <c r="X17" s="108"/>
      <c r="Y17" s="108"/>
    </row>
    <row r="18" spans="1:25" x14ac:dyDescent="0.15">
      <c r="A18" s="108">
        <v>15</v>
      </c>
      <c r="B18" s="142">
        <v>0.87999999523162842</v>
      </c>
      <c r="C18" s="140">
        <f t="shared" si="1"/>
        <v>58</v>
      </c>
      <c r="D18" s="108"/>
      <c r="E18" s="108">
        <v>36892</v>
      </c>
      <c r="F18" s="140" t="s">
        <v>186</v>
      </c>
      <c r="G18" s="141">
        <v>6272</v>
      </c>
      <c r="H18" s="137">
        <f t="shared" si="2"/>
        <v>3.6892000000000005E-5</v>
      </c>
      <c r="I18" s="140">
        <f t="shared" si="3"/>
        <v>1.1341574748800001E-5</v>
      </c>
      <c r="K18" s="140">
        <f t="shared" si="5"/>
        <v>3.9733579944576003E-7</v>
      </c>
      <c r="M18" s="140">
        <f t="shared" si="4"/>
        <v>922300</v>
      </c>
      <c r="N18" s="140">
        <f t="shared" si="0"/>
        <v>147.05038265306123</v>
      </c>
      <c r="Q18" s="108">
        <v>57</v>
      </c>
      <c r="T18" s="108" t="s">
        <v>48</v>
      </c>
      <c r="U18" s="199">
        <v>8.3795400000000006E-2</v>
      </c>
      <c r="V18" s="108"/>
      <c r="W18" s="108"/>
      <c r="X18" s="108"/>
      <c r="Y18" s="108"/>
    </row>
    <row r="19" spans="1:25" x14ac:dyDescent="0.15">
      <c r="A19" s="108">
        <v>16</v>
      </c>
      <c r="B19" s="142">
        <v>0.87466669082641602</v>
      </c>
      <c r="C19" s="140">
        <f t="shared" si="1"/>
        <v>58</v>
      </c>
      <c r="D19" s="108"/>
      <c r="E19" s="108">
        <v>86068</v>
      </c>
      <c r="F19" s="140" t="s">
        <v>158</v>
      </c>
      <c r="G19" s="143">
        <v>173056</v>
      </c>
      <c r="H19" s="137">
        <f t="shared" si="2"/>
        <v>8.6068000000000003E-5</v>
      </c>
      <c r="I19" s="140">
        <f t="shared" si="3"/>
        <v>2.6459575395200001E-5</v>
      </c>
      <c r="J19" s="140">
        <f t="shared" si="6"/>
        <v>1.3945435102443522E-5</v>
      </c>
      <c r="M19" s="140">
        <f t="shared" si="4"/>
        <v>2151700</v>
      </c>
      <c r="N19" s="140">
        <f t="shared" si="0"/>
        <v>12.433547522189349</v>
      </c>
      <c r="Q19" s="108">
        <v>56</v>
      </c>
      <c r="T19" s="108" t="s">
        <v>49</v>
      </c>
      <c r="U19" s="199">
        <v>6.6416299999999998E-2</v>
      </c>
      <c r="V19" s="108"/>
      <c r="W19" s="108"/>
      <c r="X19" s="108"/>
      <c r="Y19" s="108"/>
    </row>
    <row r="20" spans="1:25" x14ac:dyDescent="0.15">
      <c r="A20" s="108">
        <v>17</v>
      </c>
      <c r="B20" s="142">
        <v>0.87999999523162842</v>
      </c>
      <c r="C20" s="140">
        <f t="shared" si="1"/>
        <v>58</v>
      </c>
      <c r="D20" s="108"/>
      <c r="E20" s="108">
        <v>36892</v>
      </c>
      <c r="F20" s="140" t="s">
        <v>186</v>
      </c>
      <c r="G20" s="141">
        <v>6272</v>
      </c>
      <c r="H20" s="137">
        <f t="shared" si="2"/>
        <v>3.6892000000000005E-5</v>
      </c>
      <c r="I20" s="140">
        <f t="shared" si="3"/>
        <v>1.1341574748800001E-5</v>
      </c>
      <c r="K20" s="140">
        <f t="shared" si="5"/>
        <v>3.9733579944576003E-7</v>
      </c>
      <c r="M20" s="140">
        <f t="shared" si="4"/>
        <v>922300</v>
      </c>
      <c r="N20" s="140">
        <f t="shared" si="0"/>
        <v>147.05038265306123</v>
      </c>
      <c r="Q20" s="108">
        <v>57</v>
      </c>
    </row>
    <row r="21" spans="1:25" x14ac:dyDescent="0.15">
      <c r="A21" s="108">
        <v>18</v>
      </c>
      <c r="B21" s="142">
        <v>0.87999999523162842</v>
      </c>
      <c r="C21" s="140">
        <f t="shared" si="1"/>
        <v>58</v>
      </c>
      <c r="D21" s="108"/>
      <c r="E21" s="108">
        <v>86068</v>
      </c>
      <c r="F21" s="140" t="s">
        <v>158</v>
      </c>
      <c r="G21" s="143">
        <v>173056</v>
      </c>
      <c r="H21" s="137">
        <f t="shared" si="2"/>
        <v>8.6068000000000003E-5</v>
      </c>
      <c r="I21" s="140">
        <f t="shared" si="3"/>
        <v>2.6459575395200001E-5</v>
      </c>
      <c r="J21" s="140">
        <f t="shared" si="6"/>
        <v>1.3945435102443522E-5</v>
      </c>
      <c r="M21" s="140">
        <f t="shared" si="4"/>
        <v>2151700</v>
      </c>
      <c r="N21" s="140">
        <f t="shared" si="0"/>
        <v>12.433547522189349</v>
      </c>
      <c r="Q21" s="108">
        <v>57</v>
      </c>
    </row>
    <row r="22" spans="1:25" x14ac:dyDescent="0.15">
      <c r="A22" s="108">
        <v>19</v>
      </c>
      <c r="B22" s="142">
        <v>0.87866663932800293</v>
      </c>
      <c r="C22" s="140">
        <f t="shared" si="1"/>
        <v>58</v>
      </c>
      <c r="D22" s="108"/>
      <c r="E22" s="108">
        <v>36892</v>
      </c>
      <c r="F22" s="140" t="s">
        <v>186</v>
      </c>
      <c r="G22" s="141">
        <v>6272</v>
      </c>
      <c r="H22" s="137">
        <f t="shared" si="2"/>
        <v>3.6892000000000005E-5</v>
      </c>
      <c r="I22" s="140">
        <f t="shared" si="3"/>
        <v>1.1341574748800001E-5</v>
      </c>
      <c r="K22" s="140">
        <f t="shared" si="5"/>
        <v>3.9733579944576003E-7</v>
      </c>
      <c r="M22" s="140">
        <f t="shared" si="4"/>
        <v>922300</v>
      </c>
      <c r="N22" s="140">
        <f t="shared" si="0"/>
        <v>147.05038265306123</v>
      </c>
      <c r="Q22" s="108">
        <v>57</v>
      </c>
    </row>
    <row r="23" spans="1:25" x14ac:dyDescent="0.15">
      <c r="A23" s="108">
        <v>20</v>
      </c>
      <c r="B23" s="142">
        <v>0.87999999523162842</v>
      </c>
      <c r="C23" s="140">
        <f t="shared" si="1"/>
        <v>58</v>
      </c>
      <c r="D23" s="108"/>
      <c r="E23" s="108">
        <v>86068</v>
      </c>
      <c r="F23" s="140" t="s">
        <v>158</v>
      </c>
      <c r="G23" s="143">
        <v>173056</v>
      </c>
      <c r="H23" s="137">
        <f t="shared" si="2"/>
        <v>8.6068000000000003E-5</v>
      </c>
      <c r="I23" s="140">
        <f t="shared" si="3"/>
        <v>2.6459575395200001E-5</v>
      </c>
      <c r="J23" s="140">
        <f t="shared" si="6"/>
        <v>1.3945435102443522E-5</v>
      </c>
      <c r="M23" s="140">
        <f t="shared" si="4"/>
        <v>2151700</v>
      </c>
      <c r="N23" s="140">
        <f t="shared" si="0"/>
        <v>12.433547522189349</v>
      </c>
      <c r="Q23" s="108">
        <v>57</v>
      </c>
    </row>
    <row r="24" spans="1:25" x14ac:dyDescent="0.15">
      <c r="A24" s="108">
        <v>21</v>
      </c>
      <c r="B24" s="142">
        <v>0.87999999523162842</v>
      </c>
      <c r="C24" s="140">
        <f t="shared" si="1"/>
        <v>58</v>
      </c>
      <c r="D24" s="108"/>
      <c r="E24" s="108">
        <v>36892</v>
      </c>
      <c r="F24" s="140" t="s">
        <v>186</v>
      </c>
      <c r="G24" s="141">
        <v>6272</v>
      </c>
      <c r="H24" s="137">
        <f t="shared" si="2"/>
        <v>3.6892000000000005E-5</v>
      </c>
      <c r="I24" s="140">
        <f t="shared" si="3"/>
        <v>1.1341574748800001E-5</v>
      </c>
      <c r="K24" s="140">
        <f t="shared" si="5"/>
        <v>3.9733579944576003E-7</v>
      </c>
      <c r="M24" s="140">
        <f t="shared" si="4"/>
        <v>922300</v>
      </c>
      <c r="N24" s="140">
        <f t="shared" si="0"/>
        <v>147.05038265306123</v>
      </c>
      <c r="Q24" s="108">
        <v>56</v>
      </c>
    </row>
    <row r="25" spans="1:25" x14ac:dyDescent="0.15">
      <c r="A25" s="108">
        <v>22</v>
      </c>
      <c r="B25" s="142">
        <v>0.87333333492279053</v>
      </c>
      <c r="C25" s="140">
        <f t="shared" si="1"/>
        <v>56</v>
      </c>
      <c r="D25" s="108"/>
      <c r="E25" s="108">
        <v>86068</v>
      </c>
      <c r="F25" s="140" t="s">
        <v>158</v>
      </c>
      <c r="G25" s="143">
        <v>173056</v>
      </c>
      <c r="H25" s="137">
        <f t="shared" si="2"/>
        <v>8.6068000000000003E-5</v>
      </c>
      <c r="I25" s="140">
        <f t="shared" si="3"/>
        <v>2.5164011004800002E-5</v>
      </c>
      <c r="J25" s="140">
        <f t="shared" si="6"/>
        <v>1.28337118208E-5</v>
      </c>
      <c r="M25" s="140">
        <f t="shared" si="4"/>
        <v>2151700</v>
      </c>
      <c r="N25" s="140">
        <f t="shared" si="0"/>
        <v>12.433547522189349</v>
      </c>
      <c r="Q25" s="108">
        <v>55</v>
      </c>
    </row>
    <row r="26" spans="1:25" x14ac:dyDescent="0.15">
      <c r="A26" s="108">
        <v>23</v>
      </c>
      <c r="B26" s="142">
        <v>0.87733334302902222</v>
      </c>
      <c r="C26" s="140">
        <f t="shared" si="1"/>
        <v>58</v>
      </c>
      <c r="D26" s="108"/>
      <c r="E26" s="108">
        <v>9244</v>
      </c>
      <c r="F26" s="140" t="s">
        <v>186</v>
      </c>
      <c r="G26" s="141">
        <v>1568</v>
      </c>
      <c r="H26" s="137">
        <f t="shared" si="2"/>
        <v>9.2439999999999999E-6</v>
      </c>
      <c r="I26" s="140">
        <f t="shared" si="3"/>
        <v>2.8418496416E-6</v>
      </c>
      <c r="K26" s="140">
        <f t="shared" si="5"/>
        <v>9.9333949861440006E-8</v>
      </c>
      <c r="M26" s="140">
        <f t="shared" si="4"/>
        <v>231100</v>
      </c>
      <c r="N26" s="140">
        <f t="shared" si="0"/>
        <v>147.38520408163265</v>
      </c>
      <c r="Q26" s="108">
        <v>56</v>
      </c>
    </row>
    <row r="27" spans="1:25" x14ac:dyDescent="0.15">
      <c r="A27" s="108">
        <v>24</v>
      </c>
      <c r="B27" s="142">
        <v>0.87866663932800293</v>
      </c>
      <c r="C27" s="140">
        <f t="shared" si="1"/>
        <v>58</v>
      </c>
      <c r="D27" s="108"/>
      <c r="E27" s="108">
        <v>42036</v>
      </c>
      <c r="F27" s="140" t="s">
        <v>158</v>
      </c>
      <c r="G27" s="143">
        <v>73728</v>
      </c>
      <c r="H27" s="137">
        <f t="shared" si="2"/>
        <v>4.2036000000000002E-5</v>
      </c>
      <c r="I27" s="140">
        <f t="shared" si="3"/>
        <v>1.2922976150399999E-5</v>
      </c>
      <c r="J27" s="140">
        <f t="shared" si="6"/>
        <v>5.9412504578457602E-6</v>
      </c>
      <c r="M27" s="140">
        <f t="shared" si="4"/>
        <v>1050900</v>
      </c>
      <c r="N27" s="140">
        <f t="shared" si="0"/>
        <v>14.253743489583334</v>
      </c>
      <c r="Q27" s="108">
        <v>56</v>
      </c>
    </row>
    <row r="28" spans="1:25" x14ac:dyDescent="0.15">
      <c r="A28" s="108">
        <v>25</v>
      </c>
      <c r="B28" s="142">
        <v>0.87599998712539673</v>
      </c>
      <c r="C28" s="140">
        <f t="shared" si="1"/>
        <v>56</v>
      </c>
      <c r="D28" s="108"/>
      <c r="E28" s="108">
        <v>18460</v>
      </c>
      <c r="F28" s="140" t="s">
        <v>186</v>
      </c>
      <c r="G28" s="141">
        <v>3136</v>
      </c>
      <c r="H28" s="137">
        <f t="shared" si="2"/>
        <v>1.8460000000000003E-5</v>
      </c>
      <c r="I28" s="140">
        <f t="shared" si="3"/>
        <v>5.3972166560000009E-6</v>
      </c>
      <c r="K28" s="140">
        <f t="shared" si="5"/>
        <v>1.7944066560000002E-7</v>
      </c>
      <c r="M28" s="140">
        <f t="shared" si="4"/>
        <v>461500</v>
      </c>
      <c r="N28" s="140">
        <f t="shared" si="0"/>
        <v>147.16198979591837</v>
      </c>
      <c r="Q28" s="108">
        <v>54</v>
      </c>
    </row>
    <row r="29" spans="1:25" x14ac:dyDescent="0.15">
      <c r="A29" s="108">
        <v>26</v>
      </c>
      <c r="B29" s="142">
        <v>0.87599998712539673</v>
      </c>
      <c r="C29" s="140">
        <f t="shared" si="1"/>
        <v>56</v>
      </c>
      <c r="D29" s="108"/>
      <c r="E29" s="108">
        <v>84020</v>
      </c>
      <c r="F29" s="140" t="s">
        <v>158</v>
      </c>
      <c r="G29" s="143">
        <v>147456</v>
      </c>
      <c r="H29" s="137">
        <f t="shared" si="2"/>
        <v>8.4019999999999999E-5</v>
      </c>
      <c r="I29" s="140">
        <f t="shared" si="3"/>
        <v>2.4565229872000002E-5</v>
      </c>
      <c r="J29" s="140">
        <f t="shared" si="6"/>
        <v>1.0935233740800001E-5</v>
      </c>
      <c r="M29" s="140">
        <f t="shared" si="4"/>
        <v>2100500</v>
      </c>
      <c r="N29" s="140">
        <f t="shared" si="0"/>
        <v>14.244927300347221</v>
      </c>
      <c r="Q29" s="108">
        <v>54</v>
      </c>
    </row>
    <row r="30" spans="1:25" x14ac:dyDescent="0.15">
      <c r="A30" s="108">
        <v>27</v>
      </c>
      <c r="B30" s="142">
        <v>0.87866663932800293</v>
      </c>
      <c r="C30" s="140">
        <f t="shared" si="1"/>
        <v>56</v>
      </c>
      <c r="D30" s="108"/>
      <c r="E30" s="108">
        <v>41</v>
      </c>
      <c r="F30" s="140" t="s">
        <v>170</v>
      </c>
      <c r="G30" s="141">
        <v>64</v>
      </c>
      <c r="H30" s="137">
        <f t="shared" si="2"/>
        <v>4.1000000000000003E-8</v>
      </c>
      <c r="I30" s="140">
        <f t="shared" si="3"/>
        <v>1.1987317600000002E-8</v>
      </c>
      <c r="K30" s="140">
        <f t="shared" si="5"/>
        <v>3.6620544000000004E-9</v>
      </c>
      <c r="M30" s="140">
        <f t="shared" si="4"/>
        <v>1025</v>
      </c>
      <c r="N30" s="140">
        <f t="shared" si="0"/>
        <v>16.015625</v>
      </c>
      <c r="Q30" s="108">
        <v>55</v>
      </c>
    </row>
    <row r="31" spans="1:25" x14ac:dyDescent="0.15">
      <c r="A31" s="108">
        <v>28</v>
      </c>
      <c r="B31" s="142">
        <v>0.88133335113525391</v>
      </c>
      <c r="C31" s="140">
        <f t="shared" si="1"/>
        <v>54</v>
      </c>
      <c r="D31" s="108"/>
      <c r="E31" s="108">
        <v>1035</v>
      </c>
      <c r="F31" s="140" t="s">
        <v>158</v>
      </c>
      <c r="G31" s="143">
        <v>0</v>
      </c>
      <c r="H31" s="137">
        <f t="shared" si="2"/>
        <v>1.035E-6</v>
      </c>
      <c r="I31" s="140">
        <f t="shared" si="3"/>
        <v>2.8702702800000002E-7</v>
      </c>
      <c r="J31" s="140">
        <f t="shared" si="6"/>
        <v>0</v>
      </c>
      <c r="K31" s="140">
        <f t="shared" si="5"/>
        <v>0</v>
      </c>
      <c r="Q31" s="108">
        <v>54</v>
      </c>
    </row>
    <row r="32" spans="1:25" x14ac:dyDescent="0.15">
      <c r="H32" s="140" t="s">
        <v>194</v>
      </c>
      <c r="I32" s="140">
        <f>SUM(I2:I31)</f>
        <v>5.1396866398079998E-4</v>
      </c>
      <c r="J32" s="140">
        <f>SUM(J2:J31)</f>
        <v>1.4776171715313887E-4</v>
      </c>
      <c r="K32" s="140">
        <f>SUM(K2:K31)</f>
        <v>8.4993804207046416E-6</v>
      </c>
    </row>
    <row r="34" spans="2:13" x14ac:dyDescent="0.15">
      <c r="F34" s="144"/>
      <c r="G34" s="144"/>
      <c r="H34" s="144"/>
      <c r="I34" s="144"/>
      <c r="J34" s="144"/>
      <c r="K34" s="144"/>
      <c r="L34" s="164" t="s">
        <v>172</v>
      </c>
      <c r="M34" s="164">
        <f>SUM(I32:K32)</f>
        <v>6.7022976155464351E-4</v>
      </c>
    </row>
    <row r="35" spans="2:13" x14ac:dyDescent="0.15">
      <c r="F35" s="144"/>
      <c r="G35" s="144"/>
      <c r="H35" s="145"/>
      <c r="I35" s="144"/>
      <c r="J35" s="144"/>
      <c r="K35" s="144"/>
      <c r="L35" s="164"/>
      <c r="M35" s="164"/>
    </row>
    <row r="36" spans="2:13" x14ac:dyDescent="0.15">
      <c r="B36" s="144" t="s">
        <v>198</v>
      </c>
      <c r="C36" s="144"/>
      <c r="F36" s="144"/>
      <c r="G36" s="144"/>
      <c r="H36" s="146"/>
      <c r="I36" s="147"/>
      <c r="J36" s="148"/>
      <c r="K36" s="144"/>
      <c r="L36" s="164" t="s">
        <v>174</v>
      </c>
      <c r="M36" s="164">
        <f>SUM('[1]Hoja 1'!L69:Q69)</f>
        <v>6.2830111139220996E-4</v>
      </c>
    </row>
    <row r="37" spans="2:13" x14ac:dyDescent="0.15">
      <c r="B37" s="140">
        <v>54</v>
      </c>
      <c r="C37" s="140">
        <f>COUNTIF(C2:C31,54)</f>
        <v>1</v>
      </c>
      <c r="F37" s="144" t="s">
        <v>184</v>
      </c>
      <c r="G37" s="148">
        <f>+G2+G4+G6+G8+G10+G12+G14+G16+G18+G20+G22+G24+G26+G28+G30</f>
        <v>130658</v>
      </c>
      <c r="H37" s="144"/>
      <c r="I37" s="144"/>
      <c r="J37" s="144"/>
      <c r="K37" s="144"/>
      <c r="L37" s="144"/>
    </row>
    <row r="38" spans="2:13" x14ac:dyDescent="0.15">
      <c r="B38" s="140">
        <v>56</v>
      </c>
      <c r="C38" s="140">
        <f>COUNTIF(C2:C31,56)</f>
        <v>4</v>
      </c>
      <c r="F38" s="163" t="s">
        <v>185</v>
      </c>
      <c r="G38" s="144">
        <f>+'[1]Hoja 1'!F49</f>
        <v>130658</v>
      </c>
      <c r="H38" s="145">
        <f>+G37/G38</f>
        <v>1</v>
      </c>
      <c r="I38" s="144"/>
      <c r="J38" s="144"/>
      <c r="K38" s="149"/>
      <c r="L38" s="144"/>
    </row>
    <row r="39" spans="2:13" x14ac:dyDescent="0.15">
      <c r="B39" s="140">
        <v>58</v>
      </c>
      <c r="C39" s="140">
        <f>COUNTIF(C2:C31,58)</f>
        <v>19</v>
      </c>
      <c r="F39" s="144" t="s">
        <v>82</v>
      </c>
      <c r="G39" s="148">
        <f>+G3+G5+G7+G9+G13+G15+G17+G19+G21+G23+G25+G27+G29+G31</f>
        <v>1762170</v>
      </c>
      <c r="H39" s="144">
        <f>+G39/G40</f>
        <v>0.94600557885446668</v>
      </c>
      <c r="I39" s="144"/>
      <c r="J39" s="144"/>
      <c r="K39" s="144"/>
      <c r="L39" s="144"/>
    </row>
    <row r="40" spans="2:13" x14ac:dyDescent="0.15">
      <c r="B40" s="140">
        <v>60</v>
      </c>
      <c r="C40" s="140">
        <f>COUNTIF(C2:C31,60)</f>
        <v>6</v>
      </c>
      <c r="F40" s="144" t="s">
        <v>185</v>
      </c>
      <c r="G40" s="144">
        <f>+'[1]Hoja 1'!D49</f>
        <v>1862748</v>
      </c>
      <c r="H40" s="144"/>
      <c r="I40" s="144"/>
      <c r="J40" s="144"/>
      <c r="K40" s="144"/>
      <c r="L40" s="144"/>
    </row>
    <row r="41" spans="2:13" x14ac:dyDescent="0.15">
      <c r="F41" s="144"/>
      <c r="G41" s="144"/>
      <c r="H41" s="144"/>
      <c r="I41" s="144"/>
      <c r="J41" s="144"/>
      <c r="K41" s="144"/>
      <c r="L41" s="144"/>
    </row>
  </sheetData>
  <autoFilter ref="A1:K32" xr:uid="{195F5049-FB4B-E44F-B906-FD71E8BE99E4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F03EC-3BFF-E64A-A7D4-1C46CA690657}">
  <sheetPr codeName="Hoja7"/>
  <dimension ref="A1:Z38"/>
  <sheetViews>
    <sheetView workbookViewId="0">
      <selection activeCell="U3" sqref="U3"/>
    </sheetView>
  </sheetViews>
  <sheetFormatPr baseColWidth="10" defaultRowHeight="13" x14ac:dyDescent="0.15"/>
  <cols>
    <col min="1" max="1" width="10.83203125" style="108"/>
    <col min="2" max="2" width="11.33203125" style="108" bestFit="1" customWidth="1"/>
    <col min="3" max="3" width="6.6640625" style="108" customWidth="1"/>
    <col min="4" max="4" width="20.83203125" style="108" bestFit="1" customWidth="1"/>
    <col min="5" max="5" width="10.83203125" style="108"/>
    <col min="6" max="6" width="26.83203125" style="108" bestFit="1" customWidth="1"/>
    <col min="7" max="7" width="17.5" style="108" bestFit="1" customWidth="1"/>
    <col min="8" max="8" width="13.1640625" style="108" bestFit="1" customWidth="1"/>
    <col min="9" max="11" width="12.33203125" style="108" bestFit="1" customWidth="1"/>
    <col min="12" max="20" width="10.83203125" style="108"/>
    <col min="21" max="21" width="14.6640625" style="108" bestFit="1" customWidth="1"/>
    <col min="22" max="16384" width="10.83203125" style="108"/>
  </cols>
  <sheetData>
    <row r="1" spans="1:26" ht="14" x14ac:dyDescent="0.15">
      <c r="A1" s="108" t="s">
        <v>134</v>
      </c>
      <c r="B1" s="108" t="s">
        <v>135</v>
      </c>
      <c r="C1" s="108" t="s">
        <v>136</v>
      </c>
      <c r="D1" s="134" t="s">
        <v>87</v>
      </c>
      <c r="E1" s="134" t="s">
        <v>137</v>
      </c>
      <c r="F1" s="134" t="s">
        <v>87</v>
      </c>
      <c r="G1" s="134" t="s">
        <v>145</v>
      </c>
      <c r="H1" s="144" t="s">
        <v>151</v>
      </c>
      <c r="I1" s="144" t="s">
        <v>152</v>
      </c>
      <c r="J1" s="144" t="s">
        <v>82</v>
      </c>
      <c r="K1" s="144" t="s">
        <v>83</v>
      </c>
      <c r="Q1" s="108" t="s">
        <v>177</v>
      </c>
      <c r="R1" s="108" t="s">
        <v>178</v>
      </c>
    </row>
    <row r="2" spans="1:26" x14ac:dyDescent="0.15">
      <c r="C2" s="108">
        <f>_xlfn.SWITCH(Q2,60,60,59,60,58,60,57,58,56,58,55,56,54,IF(B2&gt;$R$2,54,56))</f>
        <v>60</v>
      </c>
      <c r="D2" s="108" t="s">
        <v>91</v>
      </c>
      <c r="E2" s="108">
        <v>6022</v>
      </c>
      <c r="F2" s="108" t="s">
        <v>157</v>
      </c>
      <c r="G2" s="108">
        <v>9408</v>
      </c>
      <c r="H2" s="137">
        <f>E2*$U$6</f>
        <v>6.0220000000000001E-6</v>
      </c>
      <c r="I2" s="108">
        <f>_xlfn.SWITCH(C2+$U$2,54,$Z$10,55,$Y$10,56,$X$10,57,$W$10,58,$V$10,59,$U$10,$U$17)*H2</f>
        <v>1.8966457615999999E-6</v>
      </c>
      <c r="K2" s="108">
        <f>_xlfn.SWITCH(C2+$U$2,54,$Z$12,55,$Y$12,56,$X$12,57,$W$12,58,$V$12,59,$U$12,$U$19)*G2*$U$6</f>
        <v>6.2484455040000005E-7</v>
      </c>
      <c r="Q2" s="108">
        <v>59</v>
      </c>
      <c r="R2">
        <v>0.93066668510437001</v>
      </c>
      <c r="T2" s="108" t="s">
        <v>171</v>
      </c>
      <c r="U2" s="108">
        <v>1</v>
      </c>
    </row>
    <row r="3" spans="1:26" x14ac:dyDescent="0.15">
      <c r="A3" s="108">
        <v>0</v>
      </c>
      <c r="B3" s="161">
        <v>0.87733334302902222</v>
      </c>
      <c r="C3" s="108">
        <f t="shared" ref="C3:C24" si="0">_xlfn.SWITCH(Q3,60,60,59,60,58,60,57,58,56,58,55,56,54,IF(B3&gt;$R$2,54,56))</f>
        <v>58</v>
      </c>
      <c r="D3" s="108" t="s">
        <v>90</v>
      </c>
      <c r="E3" s="108">
        <v>295228</v>
      </c>
      <c r="F3" s="108" t="s">
        <v>158</v>
      </c>
      <c r="G3" s="108">
        <v>48513.375</v>
      </c>
      <c r="H3" s="137">
        <f t="shared" ref="H3:H24" si="1">E3*$U$6</f>
        <v>2.9522800000000003E-4</v>
      </c>
      <c r="I3" s="108">
        <f t="shared" ref="I3:I24" si="2">_xlfn.SWITCH(C3+$U$2,54,$Z$10,55,$Y$10,56,$X$10,57,$W$10,58,$V$10,59,$U$10,$U$17)*H3</f>
        <v>9.0760881219200006E-5</v>
      </c>
      <c r="J3" s="108">
        <f>_xlfn.SWITCH(C3+$U$2,54,$Z$11,55,$Y$11,56,$X$11,57,$W$11,58,$V$11,59,$U$11,$U$18)*G3*$U$6</f>
        <v>3.9093710860242113E-6</v>
      </c>
      <c r="Q3" s="108">
        <v>57</v>
      </c>
    </row>
    <row r="4" spans="1:26" x14ac:dyDescent="0.15">
      <c r="A4" s="108">
        <v>1</v>
      </c>
      <c r="B4" s="161">
        <v>0.92533332109451294</v>
      </c>
      <c r="C4" s="108">
        <f t="shared" si="0"/>
        <v>60</v>
      </c>
      <c r="D4" s="108" t="s">
        <v>92</v>
      </c>
      <c r="E4" s="108">
        <v>12043</v>
      </c>
      <c r="F4" s="108" t="s">
        <v>159</v>
      </c>
      <c r="G4" s="108">
        <v>18816</v>
      </c>
      <c r="H4" s="137">
        <f t="shared" si="1"/>
        <v>1.2043000000000001E-5</v>
      </c>
      <c r="I4" s="108">
        <f t="shared" si="2"/>
        <v>3.7929765704000002E-6</v>
      </c>
      <c r="K4" s="108">
        <f t="shared" ref="K3:K24" si="3">_xlfn.SWITCH(C4+$U$2,54,$Z$12,55,$Y$12,56,$X$12,57,$W$12,58,$V$12,59,$U$12,$U$19)*G4*$U$6</f>
        <v>1.2496891008000001E-6</v>
      </c>
      <c r="Q4" s="108">
        <v>58</v>
      </c>
    </row>
    <row r="5" spans="1:26" x14ac:dyDescent="0.15">
      <c r="A5" s="108">
        <v>2</v>
      </c>
      <c r="B5" s="161">
        <v>0.80000001192092896</v>
      </c>
      <c r="C5" s="108">
        <f t="shared" si="0"/>
        <v>58</v>
      </c>
      <c r="D5" s="108" t="s">
        <v>90</v>
      </c>
      <c r="E5" s="108">
        <v>12139</v>
      </c>
      <c r="F5" s="108" t="s">
        <v>158</v>
      </c>
      <c r="G5" s="108">
        <v>18816</v>
      </c>
      <c r="H5" s="137">
        <f t="shared" si="1"/>
        <v>1.2139E-5</v>
      </c>
      <c r="I5" s="108">
        <f t="shared" si="2"/>
        <v>3.7318490696E-6</v>
      </c>
      <c r="J5" s="108">
        <f t="shared" ref="J4:J24" si="4">_xlfn.SWITCH(C5+$U$2,54,$Z$11,55,$Y$11,56,$X$11,57,$W$11,58,$V$11,59,$U$11,$U$18)*G5*$U$6</f>
        <v>1.5162566272627201E-6</v>
      </c>
      <c r="Q5" s="108">
        <v>57</v>
      </c>
      <c r="T5" s="108" t="s">
        <v>57</v>
      </c>
      <c r="U5" s="108">
        <v>1</v>
      </c>
      <c r="V5" s="108" t="s">
        <v>58</v>
      </c>
    </row>
    <row r="6" spans="1:26" x14ac:dyDescent="0.15">
      <c r="A6" s="108">
        <v>3</v>
      </c>
      <c r="B6" s="161">
        <v>0.79066663980484009</v>
      </c>
      <c r="C6" s="108">
        <f t="shared" si="0"/>
        <v>58</v>
      </c>
      <c r="D6" s="108" t="s">
        <v>168</v>
      </c>
      <c r="E6" s="108">
        <v>62591</v>
      </c>
      <c r="F6" s="108" t="s">
        <v>161</v>
      </c>
      <c r="G6" s="108">
        <v>25088</v>
      </c>
      <c r="H6" s="137">
        <f t="shared" si="1"/>
        <v>6.2590999999999998E-5</v>
      </c>
      <c r="I6" s="108">
        <f t="shared" si="2"/>
        <v>1.9242125802399998E-5</v>
      </c>
      <c r="K6" s="108">
        <f t="shared" si="3"/>
        <v>1.5893431977830401E-6</v>
      </c>
      <c r="Q6" s="108">
        <v>56</v>
      </c>
      <c r="U6" s="196">
        <f>U5/1000000000</f>
        <v>1.0000000000000001E-9</v>
      </c>
      <c r="V6" s="108" t="s">
        <v>153</v>
      </c>
    </row>
    <row r="7" spans="1:26" x14ac:dyDescent="0.15">
      <c r="A7" s="108">
        <v>4</v>
      </c>
      <c r="B7" s="161">
        <v>0.92933332920074463</v>
      </c>
      <c r="C7" s="108">
        <f t="shared" si="0"/>
        <v>60</v>
      </c>
      <c r="D7" s="108" t="s">
        <v>90</v>
      </c>
      <c r="E7" s="108">
        <v>16171</v>
      </c>
      <c r="F7" s="108" t="s">
        <v>158</v>
      </c>
      <c r="G7" s="108">
        <v>25088</v>
      </c>
      <c r="H7" s="137">
        <f t="shared" si="1"/>
        <v>1.6171000000000002E-5</v>
      </c>
      <c r="I7" s="108">
        <f t="shared" si="2"/>
        <v>5.0931017288000005E-6</v>
      </c>
      <c r="J7" s="108">
        <f t="shared" si="4"/>
        <v>2.1022589952000003E-6</v>
      </c>
      <c r="Q7" s="108">
        <v>58</v>
      </c>
    </row>
    <row r="8" spans="1:26" x14ac:dyDescent="0.15">
      <c r="A8" s="108">
        <v>5</v>
      </c>
      <c r="B8" s="161">
        <v>0.76800000667572021</v>
      </c>
      <c r="C8" s="108">
        <f t="shared" si="0"/>
        <v>58</v>
      </c>
      <c r="D8" s="108" t="s">
        <v>168</v>
      </c>
      <c r="E8" s="108">
        <v>62591</v>
      </c>
      <c r="F8" s="108" t="s">
        <v>161</v>
      </c>
      <c r="G8" s="108">
        <v>25088</v>
      </c>
      <c r="H8" s="137">
        <f t="shared" si="1"/>
        <v>6.2590999999999998E-5</v>
      </c>
      <c r="I8" s="108">
        <f t="shared" si="2"/>
        <v>1.9242125802399998E-5</v>
      </c>
      <c r="K8" s="108">
        <f t="shared" si="3"/>
        <v>1.5893431977830401E-6</v>
      </c>
      <c r="Q8" s="108">
        <v>56</v>
      </c>
    </row>
    <row r="9" spans="1:26" ht="14" x14ac:dyDescent="0.15">
      <c r="A9" s="108">
        <v>6</v>
      </c>
      <c r="B9" s="161">
        <v>0.65066665410995483</v>
      </c>
      <c r="C9" s="108">
        <f t="shared" si="0"/>
        <v>58</v>
      </c>
      <c r="D9" s="108" t="s">
        <v>90</v>
      </c>
      <c r="E9" s="108">
        <v>32308</v>
      </c>
      <c r="F9" s="108" t="s">
        <v>158</v>
      </c>
      <c r="G9" s="108">
        <v>50176</v>
      </c>
      <c r="H9" s="137">
        <f t="shared" si="1"/>
        <v>3.2308000000000003E-5</v>
      </c>
      <c r="I9" s="108">
        <f t="shared" si="2"/>
        <v>9.9323321312000001E-6</v>
      </c>
      <c r="J9" s="108">
        <f t="shared" si="4"/>
        <v>4.0433510060339208E-6</v>
      </c>
      <c r="Q9" s="108">
        <v>57</v>
      </c>
      <c r="T9" s="197"/>
      <c r="U9" s="197">
        <v>0.59</v>
      </c>
      <c r="V9" s="197">
        <v>0.57999999999999996</v>
      </c>
      <c r="W9" s="197">
        <v>0.56999999999999995</v>
      </c>
      <c r="X9" s="197">
        <v>0.56000000000000005</v>
      </c>
      <c r="Y9" s="197">
        <v>0.55000000000000004</v>
      </c>
      <c r="Z9" s="144">
        <v>0.54</v>
      </c>
    </row>
    <row r="10" spans="1:26" x14ac:dyDescent="0.15">
      <c r="A10" s="108">
        <v>7</v>
      </c>
      <c r="B10" s="161">
        <v>0.78266668319702148</v>
      </c>
      <c r="C10" s="108">
        <f t="shared" si="0"/>
        <v>58</v>
      </c>
      <c r="D10" s="108" t="s">
        <v>168</v>
      </c>
      <c r="E10" s="108">
        <v>242024</v>
      </c>
      <c r="F10" s="108" t="s">
        <v>161</v>
      </c>
      <c r="G10" s="108">
        <v>50176</v>
      </c>
      <c r="H10" s="137">
        <f t="shared" si="1"/>
        <v>2.4202400000000003E-4</v>
      </c>
      <c r="I10" s="108">
        <f t="shared" si="2"/>
        <v>7.4404567033600007E-5</v>
      </c>
      <c r="K10" s="108">
        <f t="shared" si="3"/>
        <v>3.1786863955660802E-6</v>
      </c>
      <c r="Q10" s="108">
        <v>57</v>
      </c>
      <c r="T10" s="197" t="s">
        <v>46</v>
      </c>
      <c r="U10" s="198">
        <v>0.30742639999999999</v>
      </c>
      <c r="V10" s="198">
        <v>0.2999</v>
      </c>
      <c r="W10" s="198">
        <v>0.29237360000000001</v>
      </c>
      <c r="X10" s="198">
        <v>0.28484720000000002</v>
      </c>
      <c r="Y10" s="198">
        <v>0.27732079999999998</v>
      </c>
      <c r="Z10" s="93">
        <v>0.26979439999999999</v>
      </c>
    </row>
    <row r="11" spans="1:26" x14ac:dyDescent="0.15">
      <c r="A11" s="108">
        <v>8</v>
      </c>
      <c r="B11" s="161">
        <v>0.7839999794960022</v>
      </c>
      <c r="C11" s="108">
        <f t="shared" si="0"/>
        <v>60</v>
      </c>
      <c r="D11" s="108" t="s">
        <v>92</v>
      </c>
      <c r="E11" s="108">
        <v>8029</v>
      </c>
      <c r="F11" s="108" t="s">
        <v>169</v>
      </c>
      <c r="G11" s="108">
        <v>50176</v>
      </c>
      <c r="H11" s="137">
        <f t="shared" si="1"/>
        <v>8.0290000000000005E-6</v>
      </c>
      <c r="I11" s="108">
        <f t="shared" si="2"/>
        <v>2.5287560311999998E-6</v>
      </c>
      <c r="J11" s="108">
        <f t="shared" si="4"/>
        <v>4.2045179904000007E-6</v>
      </c>
      <c r="Q11" s="108">
        <v>58</v>
      </c>
      <c r="T11" s="197" t="s">
        <v>48</v>
      </c>
      <c r="U11" s="198">
        <v>8.0583366670000003E-2</v>
      </c>
      <c r="V11" s="198">
        <v>7.737133333E-2</v>
      </c>
      <c r="W11" s="198">
        <v>7.4159299999999997E-2</v>
      </c>
      <c r="X11" s="198">
        <v>7.0947266667000006E-2</v>
      </c>
      <c r="Y11" s="198">
        <v>6.7735233332999994E-2</v>
      </c>
      <c r="Z11" s="93">
        <v>6.4523200000000003E-2</v>
      </c>
    </row>
    <row r="12" spans="1:26" x14ac:dyDescent="0.15">
      <c r="A12" s="108">
        <v>9</v>
      </c>
      <c r="B12" s="161">
        <v>0.781333327293396</v>
      </c>
      <c r="C12" s="108">
        <f t="shared" si="0"/>
        <v>58</v>
      </c>
      <c r="D12" s="108" t="s">
        <v>90</v>
      </c>
      <c r="E12" s="108">
        <v>16436</v>
      </c>
      <c r="F12" s="108" t="s">
        <v>161</v>
      </c>
      <c r="G12" s="108">
        <v>1568</v>
      </c>
      <c r="H12" s="137">
        <f t="shared" si="1"/>
        <v>1.6436E-5</v>
      </c>
      <c r="I12" s="108">
        <f t="shared" si="2"/>
        <v>5.0528603104E-6</v>
      </c>
      <c r="K12" s="108">
        <f t="shared" si="3"/>
        <v>9.9333949861440006E-8</v>
      </c>
      <c r="Q12" s="108">
        <v>57</v>
      </c>
      <c r="T12" s="197" t="s">
        <v>49</v>
      </c>
      <c r="U12" s="198">
        <v>6.3350733330000006E-2</v>
      </c>
      <c r="V12" s="198">
        <v>6.0285166666700002E-2</v>
      </c>
      <c r="W12" s="198">
        <v>5.7219600000000002E-2</v>
      </c>
      <c r="X12" s="198">
        <v>5.4154033329999997E-2</v>
      </c>
      <c r="Y12" s="198">
        <v>5.1088466667000003E-2</v>
      </c>
      <c r="Z12" s="93">
        <v>4.80229E-2</v>
      </c>
    </row>
    <row r="13" spans="1:26" x14ac:dyDescent="0.15">
      <c r="A13" s="108">
        <v>10</v>
      </c>
      <c r="B13" s="161">
        <v>0.87999999523162842</v>
      </c>
      <c r="C13" s="108">
        <f t="shared" si="0"/>
        <v>58</v>
      </c>
      <c r="D13" s="108" t="s">
        <v>168</v>
      </c>
      <c r="E13" s="108">
        <v>61544</v>
      </c>
      <c r="F13" s="108" t="s">
        <v>158</v>
      </c>
      <c r="G13" s="108">
        <v>12544</v>
      </c>
      <c r="H13" s="137">
        <f t="shared" si="1"/>
        <v>6.1544000000000006E-5</v>
      </c>
      <c r="I13" s="108">
        <f t="shared" si="2"/>
        <v>1.8920250361600001E-5</v>
      </c>
      <c r="J13" s="108">
        <f t="shared" si="4"/>
        <v>1.0108377515084802E-6</v>
      </c>
      <c r="Q13" s="108">
        <v>56</v>
      </c>
    </row>
    <row r="14" spans="1:26" x14ac:dyDescent="0.15">
      <c r="A14" s="108">
        <v>11</v>
      </c>
      <c r="B14" s="161">
        <v>0.79333335161209106</v>
      </c>
      <c r="C14" s="108">
        <f t="shared" si="0"/>
        <v>58</v>
      </c>
      <c r="D14" s="108" t="s">
        <v>90</v>
      </c>
      <c r="E14" s="108">
        <v>16436</v>
      </c>
      <c r="F14" s="108" t="s">
        <v>161</v>
      </c>
      <c r="G14" s="108">
        <v>2352</v>
      </c>
      <c r="H14" s="137">
        <f t="shared" si="1"/>
        <v>1.6436E-5</v>
      </c>
      <c r="I14" s="108">
        <f t="shared" si="2"/>
        <v>5.0528603104E-6</v>
      </c>
      <c r="K14" s="108">
        <f t="shared" si="3"/>
        <v>1.4900092479216002E-7</v>
      </c>
      <c r="Q14" s="108">
        <v>57</v>
      </c>
    </row>
    <row r="15" spans="1:26" x14ac:dyDescent="0.15">
      <c r="A15" s="108">
        <v>12</v>
      </c>
      <c r="B15" s="161">
        <v>0.73466664552688599</v>
      </c>
      <c r="C15" s="108">
        <f t="shared" si="0"/>
        <v>58</v>
      </c>
      <c r="D15" s="108" t="s">
        <v>168</v>
      </c>
      <c r="E15" s="108">
        <v>122984</v>
      </c>
      <c r="F15" s="108" t="s">
        <v>158</v>
      </c>
      <c r="G15" s="108">
        <v>28224</v>
      </c>
      <c r="H15" s="137">
        <f t="shared" si="1"/>
        <v>1.22984E-4</v>
      </c>
      <c r="I15" s="108">
        <f t="shared" si="2"/>
        <v>3.7808528377599995E-5</v>
      </c>
      <c r="J15" s="108">
        <f t="shared" si="4"/>
        <v>2.2743849408940803E-6</v>
      </c>
      <c r="Q15" s="108">
        <v>56</v>
      </c>
      <c r="T15" s="108" t="s">
        <v>45</v>
      </c>
      <c r="U15" s="108" t="s">
        <v>9</v>
      </c>
    </row>
    <row r="16" spans="1:26" x14ac:dyDescent="0.15">
      <c r="A16" s="108">
        <v>13</v>
      </c>
      <c r="B16" s="161">
        <v>0.92666667699813843</v>
      </c>
      <c r="C16" s="108">
        <f t="shared" si="0"/>
        <v>58</v>
      </c>
      <c r="D16" s="108" t="s">
        <v>90</v>
      </c>
      <c r="E16" s="108">
        <v>24628</v>
      </c>
      <c r="F16" s="108" t="s">
        <v>161</v>
      </c>
      <c r="G16" s="108">
        <v>2352</v>
      </c>
      <c r="H16" s="137">
        <f t="shared" si="1"/>
        <v>2.4628000000000002E-5</v>
      </c>
      <c r="I16" s="108">
        <f t="shared" si="2"/>
        <v>7.5712973792000003E-6</v>
      </c>
      <c r="K16" s="108">
        <f t="shared" si="3"/>
        <v>1.4900092479216002E-7</v>
      </c>
      <c r="Q16" s="108">
        <v>57</v>
      </c>
      <c r="T16" s="108" t="s">
        <v>102</v>
      </c>
      <c r="U16" s="199">
        <v>3.1</v>
      </c>
    </row>
    <row r="17" spans="1:21" x14ac:dyDescent="0.15">
      <c r="A17" s="108">
        <v>14</v>
      </c>
      <c r="B17" s="161">
        <v>0.92666667699813843</v>
      </c>
      <c r="C17" s="108">
        <f t="shared" si="0"/>
        <v>58</v>
      </c>
      <c r="D17" s="108" t="s">
        <v>168</v>
      </c>
      <c r="E17" s="108">
        <v>122984</v>
      </c>
      <c r="F17" s="108" t="s">
        <v>158</v>
      </c>
      <c r="G17" s="108">
        <v>28224</v>
      </c>
      <c r="H17" s="137">
        <f t="shared" si="1"/>
        <v>1.22984E-4</v>
      </c>
      <c r="I17" s="108">
        <f t="shared" si="2"/>
        <v>3.7808528377599995E-5</v>
      </c>
      <c r="J17" s="108">
        <f t="shared" si="4"/>
        <v>2.2743849408940803E-6</v>
      </c>
      <c r="Q17" s="108">
        <v>56</v>
      </c>
      <c r="T17" s="108" t="s">
        <v>46</v>
      </c>
      <c r="U17" s="199">
        <v>0.31495279999999998</v>
      </c>
    </row>
    <row r="18" spans="1:21" x14ac:dyDescent="0.15">
      <c r="A18" s="108">
        <v>15</v>
      </c>
      <c r="B18" s="161">
        <v>0.92933332920074463</v>
      </c>
      <c r="C18" s="108">
        <f t="shared" si="0"/>
        <v>58</v>
      </c>
      <c r="D18" s="108" t="s">
        <v>90</v>
      </c>
      <c r="E18" s="108">
        <v>36916</v>
      </c>
      <c r="F18" s="108" t="s">
        <v>161</v>
      </c>
      <c r="G18" s="108">
        <v>3136</v>
      </c>
      <c r="H18" s="137">
        <f t="shared" si="1"/>
        <v>3.6916000000000004E-5</v>
      </c>
      <c r="I18" s="108">
        <f t="shared" si="2"/>
        <v>1.1348952982400001E-5</v>
      </c>
      <c r="K18" s="108">
        <f t="shared" si="3"/>
        <v>1.9866789972288001E-7</v>
      </c>
      <c r="Q18" s="108">
        <v>57</v>
      </c>
      <c r="T18" s="108" t="s">
        <v>48</v>
      </c>
      <c r="U18" s="199">
        <v>8.3795400000000006E-2</v>
      </c>
    </row>
    <row r="19" spans="1:21" x14ac:dyDescent="0.15">
      <c r="A19" s="108">
        <v>16</v>
      </c>
      <c r="B19" s="161">
        <v>0.89466667175292969</v>
      </c>
      <c r="C19" s="108">
        <f t="shared" si="0"/>
        <v>56</v>
      </c>
      <c r="D19" s="108" t="s">
        <v>168</v>
      </c>
      <c r="E19" s="108">
        <v>225384</v>
      </c>
      <c r="F19" s="108" t="s">
        <v>158</v>
      </c>
      <c r="G19" s="108">
        <v>50176</v>
      </c>
      <c r="H19" s="137">
        <f t="shared" si="1"/>
        <v>2.2538400000000002E-4</v>
      </c>
      <c r="I19" s="108">
        <f t="shared" si="2"/>
        <v>6.5896331462400015E-5</v>
      </c>
      <c r="J19" s="108">
        <f t="shared" si="4"/>
        <v>3.7210170368000002E-6</v>
      </c>
      <c r="Q19" s="108">
        <v>55</v>
      </c>
      <c r="T19" s="108" t="s">
        <v>49</v>
      </c>
      <c r="U19" s="199">
        <v>6.6416299999999998E-2</v>
      </c>
    </row>
    <row r="20" spans="1:21" x14ac:dyDescent="0.15">
      <c r="A20" s="108">
        <v>17</v>
      </c>
      <c r="B20" s="161">
        <v>0.80533331632614136</v>
      </c>
      <c r="C20" s="108">
        <f t="shared" si="0"/>
        <v>58</v>
      </c>
      <c r="D20" s="108" t="s">
        <v>92</v>
      </c>
      <c r="E20" s="108">
        <v>4015</v>
      </c>
      <c r="F20" s="108" t="s">
        <v>159</v>
      </c>
      <c r="G20" s="108">
        <v>6272</v>
      </c>
      <c r="H20" s="137">
        <f t="shared" si="1"/>
        <v>4.0150000000000005E-6</v>
      </c>
      <c r="I20" s="108">
        <f t="shared" si="2"/>
        <v>1.234316996E-6</v>
      </c>
      <c r="K20" s="108">
        <f t="shared" si="3"/>
        <v>3.9733579944576003E-7</v>
      </c>
      <c r="Q20" s="108">
        <v>56</v>
      </c>
    </row>
    <row r="21" spans="1:21" x14ac:dyDescent="0.15">
      <c r="A21" s="108">
        <v>18</v>
      </c>
      <c r="B21" s="161">
        <v>0.92266666889190674</v>
      </c>
      <c r="C21" s="108">
        <f t="shared" si="0"/>
        <v>56</v>
      </c>
      <c r="D21" s="108" t="s">
        <v>90</v>
      </c>
      <c r="E21" s="108">
        <v>12340</v>
      </c>
      <c r="F21" s="108" t="s">
        <v>158</v>
      </c>
      <c r="G21" s="108">
        <v>25088</v>
      </c>
      <c r="H21" s="137">
        <f t="shared" si="1"/>
        <v>1.234E-5</v>
      </c>
      <c r="I21" s="108">
        <f t="shared" si="2"/>
        <v>3.6078902240000003E-6</v>
      </c>
      <c r="J21" s="108">
        <f t="shared" si="4"/>
        <v>1.8605085184000001E-6</v>
      </c>
      <c r="Q21" s="108">
        <v>54</v>
      </c>
    </row>
    <row r="22" spans="1:21" x14ac:dyDescent="0.15">
      <c r="A22" s="108">
        <v>19</v>
      </c>
      <c r="B22" s="161">
        <v>0.93466669321060181</v>
      </c>
      <c r="C22" s="108">
        <f t="shared" si="0"/>
        <v>54</v>
      </c>
      <c r="D22" s="108" t="s">
        <v>168</v>
      </c>
      <c r="E22" s="108">
        <v>56424</v>
      </c>
      <c r="F22" s="108" t="s">
        <v>161</v>
      </c>
      <c r="G22" s="108">
        <v>6272</v>
      </c>
      <c r="H22" s="137">
        <f t="shared" si="1"/>
        <v>5.6424000000000001E-5</v>
      </c>
      <c r="I22" s="108">
        <f t="shared" si="2"/>
        <v>1.56475488192E-5</v>
      </c>
      <c r="K22" s="108">
        <f t="shared" si="3"/>
        <v>3.2042686293542403E-7</v>
      </c>
      <c r="Q22" s="108">
        <v>54</v>
      </c>
    </row>
    <row r="23" spans="1:21" x14ac:dyDescent="0.15">
      <c r="A23" s="108">
        <v>20</v>
      </c>
      <c r="B23" s="161">
        <v>0.93066668510437012</v>
      </c>
      <c r="C23" s="108">
        <f t="shared" si="0"/>
        <v>56</v>
      </c>
      <c r="D23" s="108" t="s">
        <v>90</v>
      </c>
      <c r="E23" s="108">
        <v>4131</v>
      </c>
      <c r="F23" s="108" t="s">
        <v>158</v>
      </c>
      <c r="G23" s="108">
        <v>5408</v>
      </c>
      <c r="H23" s="137">
        <f t="shared" si="1"/>
        <v>4.1309999999999999E-6</v>
      </c>
      <c r="I23" s="108">
        <f t="shared" si="2"/>
        <v>1.2077953416000001E-6</v>
      </c>
      <c r="J23" s="108">
        <f t="shared" si="4"/>
        <v>4.0105349440000001E-7</v>
      </c>
      <c r="Q23" s="108">
        <v>54</v>
      </c>
    </row>
    <row r="24" spans="1:21" x14ac:dyDescent="0.15">
      <c r="A24" s="108">
        <v>21</v>
      </c>
      <c r="B24" s="161">
        <v>0.93066668510437012</v>
      </c>
      <c r="C24" s="108">
        <f t="shared" si="0"/>
        <v>56</v>
      </c>
      <c r="D24" s="108" t="s">
        <v>94</v>
      </c>
      <c r="E24" s="108">
        <v>1</v>
      </c>
      <c r="F24" s="108" t="s">
        <v>170</v>
      </c>
      <c r="G24" s="108">
        <v>0.5</v>
      </c>
      <c r="H24" s="137">
        <f t="shared" si="1"/>
        <v>1.0000000000000001E-9</v>
      </c>
      <c r="I24" s="108">
        <f t="shared" si="2"/>
        <v>2.923736E-10</v>
      </c>
      <c r="K24" s="108">
        <f t="shared" si="3"/>
        <v>2.8609800000000003E-11</v>
      </c>
      <c r="Q24" s="108">
        <v>54</v>
      </c>
    </row>
    <row r="25" spans="1:21" x14ac:dyDescent="0.15">
      <c r="D25" s="162" t="s">
        <v>165</v>
      </c>
      <c r="E25" s="108">
        <f>+SUM(E2:E24)</f>
        <v>1453369</v>
      </c>
      <c r="H25" s="108" t="s">
        <v>154</v>
      </c>
      <c r="I25" s="108">
        <f>SUM(I2:I24)</f>
        <v>4.4178281446640002E-4</v>
      </c>
      <c r="J25" s="108">
        <f>SUM(J2:J24)</f>
        <v>2.731794238781749E-5</v>
      </c>
      <c r="K25" s="108">
        <f>SUM(K2:K24)</f>
        <v>9.5457014136819859E-6</v>
      </c>
    </row>
    <row r="27" spans="1:21" x14ac:dyDescent="0.15">
      <c r="B27" s="108" t="s">
        <v>199</v>
      </c>
      <c r="L27" s="164" t="s">
        <v>172</v>
      </c>
      <c r="M27" s="164">
        <f>SUM(I25:K25)</f>
        <v>4.7864645826789948E-4</v>
      </c>
    </row>
    <row r="28" spans="1:21" ht="14" x14ac:dyDescent="0.15">
      <c r="B28" s="108">
        <v>54</v>
      </c>
      <c r="C28" s="108">
        <f>COUNTIF(C2:C24,54)</f>
        <v>1</v>
      </c>
      <c r="F28" s="144" t="s">
        <v>184</v>
      </c>
      <c r="G28" s="195">
        <f>+G2+G4+G6+G8+G10+G12+G14++G16+G18+G20+G22+G24</f>
        <v>150528.5</v>
      </c>
      <c r="H28" s="144"/>
      <c r="L28" s="164"/>
      <c r="M28" s="164"/>
    </row>
    <row r="29" spans="1:21" ht="14" x14ac:dyDescent="0.15">
      <c r="B29" s="108">
        <v>56</v>
      </c>
      <c r="C29" s="108">
        <f>COUNTIF(C2:C24,56)</f>
        <v>4</v>
      </c>
      <c r="F29" s="163" t="s">
        <v>185</v>
      </c>
      <c r="G29" s="144">
        <f>+'[2]Hoja 1'!F47</f>
        <v>150528.5</v>
      </c>
      <c r="H29" s="145">
        <f>+G28/G29</f>
        <v>1</v>
      </c>
      <c r="L29" s="164" t="s">
        <v>174</v>
      </c>
      <c r="M29" s="164">
        <f>SUM('[2]Hoja 1'!L63:Q63)</f>
        <v>4.5125767334218994E-4</v>
      </c>
    </row>
    <row r="30" spans="1:21" ht="14" x14ac:dyDescent="0.15">
      <c r="B30" s="108">
        <v>58</v>
      </c>
      <c r="C30" s="108">
        <f>COUNTIF(C2:C24,58)</f>
        <v>14</v>
      </c>
      <c r="F30" s="144" t="s">
        <v>82</v>
      </c>
      <c r="G30" s="148">
        <f>+G3+G5+G7+G9+G11+G13+G15+G17+G19+G21+G23</f>
        <v>342433.375</v>
      </c>
      <c r="H30" s="144">
        <f>+G30/G31</f>
        <v>1.3530584081776191</v>
      </c>
    </row>
    <row r="31" spans="1:21" ht="14" x14ac:dyDescent="0.15">
      <c r="B31" s="108">
        <v>60</v>
      </c>
      <c r="C31" s="108">
        <f>COUNTIF(C2:C24,60)</f>
        <v>4</v>
      </c>
      <c r="F31" s="144" t="s">
        <v>185</v>
      </c>
      <c r="G31" s="144">
        <f>+'[2]Hoja 1'!D47</f>
        <v>253081</v>
      </c>
      <c r="H31" s="144"/>
    </row>
    <row r="32" spans="1:21" ht="14" x14ac:dyDescent="0.15">
      <c r="F32" s="144"/>
      <c r="G32" s="144"/>
      <c r="H32" s="144"/>
    </row>
    <row r="33" spans="8:12" x14ac:dyDescent="0.15">
      <c r="H33" s="160"/>
    </row>
    <row r="35" spans="8:12" ht="14" x14ac:dyDescent="0.15">
      <c r="H35" s="144"/>
      <c r="I35" s="144"/>
      <c r="J35" s="144"/>
      <c r="K35" s="144"/>
      <c r="L35" s="144"/>
    </row>
    <row r="36" spans="8:12" ht="14" x14ac:dyDescent="0.15">
      <c r="H36" s="163"/>
      <c r="I36" s="163"/>
      <c r="J36" s="144"/>
      <c r="K36" s="144"/>
      <c r="L36" s="144"/>
    </row>
    <row r="37" spans="8:12" ht="14" x14ac:dyDescent="0.15">
      <c r="H37" s="163"/>
      <c r="I37" s="163"/>
      <c r="J37" s="148"/>
      <c r="K37" s="144"/>
      <c r="L37" s="144"/>
    </row>
    <row r="38" spans="8:12" ht="14" x14ac:dyDescent="0.15">
      <c r="H38" s="144"/>
      <c r="I38" s="144"/>
      <c r="J38" s="144"/>
      <c r="K38" s="144"/>
      <c r="L38" s="144"/>
    </row>
  </sheetData>
  <autoFilter ref="F1:F38" xr:uid="{FCE72641-0F95-4942-A145-6DA55F5326A4}"/>
  <conditionalFormatting sqref="F33:G65536 F30:G30 F1:G24">
    <cfRule type="containsText" dxfId="11" priority="1" operator="containsText" text="write">
      <formula>NOT(ISERROR(SEARCH("write",F1)))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32E16-0B11-3F4D-98E2-E22F6A579E46}">
  <sheetPr codeName="Hoja6"/>
  <dimension ref="A1:Z37"/>
  <sheetViews>
    <sheetView workbookViewId="0">
      <selection activeCell="H44" sqref="H44"/>
    </sheetView>
  </sheetViews>
  <sheetFormatPr baseColWidth="10" defaultRowHeight="13" x14ac:dyDescent="0.15"/>
  <cols>
    <col min="1" max="3" width="10.83203125" style="108"/>
    <col min="4" max="4" width="12.33203125" style="108" bestFit="1" customWidth="1"/>
    <col min="5" max="5" width="10.83203125" style="108"/>
    <col min="6" max="6" width="12.33203125" style="108" bestFit="1" customWidth="1"/>
    <col min="7" max="7" width="15.1640625" style="108" bestFit="1" customWidth="1"/>
    <col min="8" max="8" width="12.1640625" style="108" bestFit="1" customWidth="1"/>
    <col min="9" max="11" width="12.33203125" style="108" bestFit="1" customWidth="1"/>
    <col min="12" max="12" width="13.5" style="108" bestFit="1" customWidth="1"/>
    <col min="13" max="20" width="10.83203125" style="108"/>
    <col min="21" max="21" width="14.6640625" style="108" bestFit="1" customWidth="1"/>
    <col min="22" max="16384" width="10.83203125" style="108"/>
  </cols>
  <sheetData>
    <row r="1" spans="1:26" ht="14" x14ac:dyDescent="0.15">
      <c r="A1" s="150" t="s">
        <v>134</v>
      </c>
      <c r="B1" s="150" t="s">
        <v>135</v>
      </c>
      <c r="C1" s="150" t="s">
        <v>136</v>
      </c>
      <c r="D1" s="151" t="s">
        <v>87</v>
      </c>
      <c r="E1" s="151" t="s">
        <v>137</v>
      </c>
      <c r="F1" s="108" t="s">
        <v>87</v>
      </c>
      <c r="G1" s="108" t="s">
        <v>145</v>
      </c>
      <c r="H1" s="144" t="s">
        <v>151</v>
      </c>
      <c r="I1" s="144" t="s">
        <v>152</v>
      </c>
      <c r="J1" s="144" t="s">
        <v>82</v>
      </c>
      <c r="K1" s="144" t="s">
        <v>83</v>
      </c>
      <c r="Q1" s="108" t="s">
        <v>177</v>
      </c>
      <c r="R1" s="108" t="s">
        <v>178</v>
      </c>
    </row>
    <row r="2" spans="1:26" x14ac:dyDescent="0.15">
      <c r="C2" s="108">
        <f>_xlfn.SWITCH(Q2,60,60,59,60,58,60,57,58,56,58,55,56,54,IF(B2&gt;$R$2,54,56))</f>
        <v>60</v>
      </c>
      <c r="D2" s="108" t="s">
        <v>91</v>
      </c>
      <c r="E2" s="108">
        <v>6022</v>
      </c>
      <c r="F2" s="108" t="s">
        <v>91</v>
      </c>
      <c r="G2" s="152">
        <v>9408</v>
      </c>
      <c r="H2" s="108">
        <f>E2*$U$6</f>
        <v>6.0220000000000001E-6</v>
      </c>
      <c r="I2" s="108">
        <f>_xlfn.SWITCH(C2+$U$2,54,$Z$10,55,$Y$10,56,$X$10,57,$W$10,58,$V$10,59,$U$10,$U$17)*H2</f>
        <v>1.8966457615999999E-6</v>
      </c>
      <c r="K2" s="108">
        <f>_xlfn.SWITCH(C2+$U$2,54,$Z$12,55,$Y$12,56,$X$12,57,$W$12,58,$V$12,59,$U$12,$U$19)*G2*$U$6</f>
        <v>6.2484455040000005E-7</v>
      </c>
      <c r="Q2" s="108">
        <v>60</v>
      </c>
      <c r="R2">
        <v>0.80533331632614102</v>
      </c>
      <c r="T2" s="108" t="s">
        <v>171</v>
      </c>
      <c r="U2" s="108">
        <v>1</v>
      </c>
    </row>
    <row r="3" spans="1:26" x14ac:dyDescent="0.15">
      <c r="A3" s="108">
        <v>0</v>
      </c>
      <c r="B3" s="142">
        <v>0.79600000381469727</v>
      </c>
      <c r="C3" s="108">
        <f t="shared" ref="C3:C23" si="0">_xlfn.SWITCH(Q3,60,60,59,60,58,60,57,58,56,58,55,56,54,IF(B3&gt;$R$2,54,56))</f>
        <v>58</v>
      </c>
      <c r="D3" s="108" t="s">
        <v>90</v>
      </c>
      <c r="E3" s="108">
        <v>162700</v>
      </c>
      <c r="F3" s="108" t="s">
        <v>90</v>
      </c>
      <c r="G3" s="153">
        <v>37296.75</v>
      </c>
      <c r="H3" s="108">
        <f>E3*$U$6</f>
        <v>1.627E-4</v>
      </c>
      <c r="I3" s="108">
        <f t="shared" ref="I3:I23" si="1">_xlfn.SWITCH(C3+$U$2,54,$Z$10,55,$Y$10,56,$X$10,57,$W$10,58,$V$10,59,$U$10,$U$17)*H3</f>
        <v>5.0018275279999995E-5</v>
      </c>
      <c r="J3" s="108">
        <f>_xlfn.SWITCH(C3+$U$2,54,$Z$11,55,$Y$11,56,$X$11,57,$W$11,58,$V$11,59,$U$11,$U$18)*G3*$U$6</f>
        <v>3.0054976808493228E-6</v>
      </c>
      <c r="Q3" s="108">
        <v>56</v>
      </c>
    </row>
    <row r="4" spans="1:26" x14ac:dyDescent="0.15">
      <c r="A4" s="108">
        <v>1</v>
      </c>
      <c r="B4" s="142">
        <v>0.78533333539962769</v>
      </c>
      <c r="C4" s="108">
        <f t="shared" si="0"/>
        <v>58</v>
      </c>
      <c r="D4" s="108" t="s">
        <v>90</v>
      </c>
      <c r="E4" s="108">
        <v>3469876</v>
      </c>
      <c r="F4" s="108" t="s">
        <v>90</v>
      </c>
      <c r="G4" s="152">
        <v>200704</v>
      </c>
      <c r="H4" s="108">
        <f>E4*$U$6</f>
        <v>3.4698760000000002E-3</v>
      </c>
      <c r="I4" s="108">
        <f t="shared" si="1"/>
        <v>1.0667314871264E-3</v>
      </c>
      <c r="K4" s="108">
        <f t="shared" ref="K3:K23" si="2">_xlfn.SWITCH(C4+$U$2,54,$Z$12,55,$Y$12,56,$X$12,57,$W$12,58,$V$12,59,$U$12,$U$19)*G4*$U$6</f>
        <v>1.2714745582264321E-5</v>
      </c>
      <c r="Q4" s="108">
        <v>57</v>
      </c>
    </row>
    <row r="5" spans="1:26" x14ac:dyDescent="0.15">
      <c r="A5" s="108">
        <v>2</v>
      </c>
      <c r="B5" s="142">
        <v>0.62533330917358398</v>
      </c>
      <c r="C5" s="108">
        <f t="shared" si="0"/>
        <v>58</v>
      </c>
      <c r="D5" s="108" t="s">
        <v>92</v>
      </c>
      <c r="E5" s="108">
        <v>32113</v>
      </c>
      <c r="F5" s="108" t="s">
        <v>92</v>
      </c>
      <c r="G5" s="153">
        <v>200704</v>
      </c>
      <c r="H5" s="108">
        <f>E5*$U$6</f>
        <v>3.2113000000000002E-5</v>
      </c>
      <c r="I5" s="108">
        <f t="shared" si="1"/>
        <v>9.8723839832000011E-6</v>
      </c>
      <c r="J5" s="108">
        <f t="shared" ref="J4:J23" si="3">_xlfn.SWITCH(C5+$U$2,54,$Z$11,55,$Y$11,56,$X$11,57,$W$11,58,$V$11,59,$U$11,$U$18)*G5*$U$6</f>
        <v>1.6173404024135683E-5</v>
      </c>
      <c r="Q5" s="108">
        <v>57</v>
      </c>
      <c r="T5" s="108" t="s">
        <v>57</v>
      </c>
      <c r="U5" s="108">
        <v>1</v>
      </c>
      <c r="V5" s="108" t="s">
        <v>58</v>
      </c>
    </row>
    <row r="6" spans="1:26" x14ac:dyDescent="0.15">
      <c r="A6" s="108">
        <v>3</v>
      </c>
      <c r="B6" s="142">
        <v>0.80400002002716064</v>
      </c>
      <c r="C6" s="108">
        <f t="shared" si="0"/>
        <v>60</v>
      </c>
      <c r="D6" s="108" t="s">
        <v>90</v>
      </c>
      <c r="E6" s="108">
        <v>1734964</v>
      </c>
      <c r="F6" s="108" t="s">
        <v>90</v>
      </c>
      <c r="G6" s="152">
        <v>100352</v>
      </c>
      <c r="H6" s="108">
        <f>E6*$U$6</f>
        <v>1.7349640000000001E-3</v>
      </c>
      <c r="I6" s="108">
        <f t="shared" si="1"/>
        <v>5.4643176969919999E-4</v>
      </c>
      <c r="K6" s="108">
        <f t="shared" si="2"/>
        <v>6.6650085376000005E-6</v>
      </c>
      <c r="Q6" s="108">
        <v>58</v>
      </c>
      <c r="U6" s="196">
        <f>U5/1000000000</f>
        <v>1.0000000000000001E-9</v>
      </c>
      <c r="V6" s="108" t="s">
        <v>153</v>
      </c>
    </row>
    <row r="7" spans="1:26" x14ac:dyDescent="0.15">
      <c r="A7" s="108">
        <v>4</v>
      </c>
      <c r="B7" s="142">
        <v>0.62400001287460327</v>
      </c>
      <c r="C7" s="108">
        <f t="shared" si="0"/>
        <v>58</v>
      </c>
      <c r="D7" s="108" t="s">
        <v>90</v>
      </c>
      <c r="E7" s="108">
        <v>3469876</v>
      </c>
      <c r="F7" s="108" t="s">
        <v>90</v>
      </c>
      <c r="G7" s="153">
        <v>518088</v>
      </c>
      <c r="H7" s="108">
        <f>E7*$U$6</f>
        <v>3.4698760000000002E-3</v>
      </c>
      <c r="I7" s="108">
        <f t="shared" si="1"/>
        <v>1.0667314871264E-3</v>
      </c>
      <c r="J7" s="108">
        <f t="shared" si="3"/>
        <v>4.1749275271326962E-5</v>
      </c>
      <c r="Q7" s="108">
        <v>57</v>
      </c>
    </row>
    <row r="8" spans="1:26" x14ac:dyDescent="0.15">
      <c r="A8" s="108">
        <v>5</v>
      </c>
      <c r="B8" s="142">
        <v>0.64800000190734863</v>
      </c>
      <c r="C8" s="108">
        <f t="shared" si="0"/>
        <v>58</v>
      </c>
      <c r="D8" s="108" t="s">
        <v>92</v>
      </c>
      <c r="E8" s="108">
        <v>16057</v>
      </c>
      <c r="F8" s="108" t="s">
        <v>92</v>
      </c>
      <c r="G8" s="152">
        <v>25088</v>
      </c>
      <c r="H8" s="108">
        <f>E8*$U$6</f>
        <v>1.6057000000000002E-5</v>
      </c>
      <c r="I8" s="108">
        <f t="shared" si="1"/>
        <v>4.9363457048000009E-6</v>
      </c>
      <c r="K8" s="108">
        <f t="shared" si="2"/>
        <v>1.5893431977830401E-6</v>
      </c>
      <c r="Q8" s="108">
        <v>57</v>
      </c>
    </row>
    <row r="9" spans="1:26" ht="14" x14ac:dyDescent="0.15">
      <c r="A9" s="108">
        <v>6</v>
      </c>
      <c r="B9" s="142">
        <v>0.67333334684371948</v>
      </c>
      <c r="C9" s="108">
        <f t="shared" si="0"/>
        <v>58</v>
      </c>
      <c r="D9" s="108" t="s">
        <v>90</v>
      </c>
      <c r="E9" s="108">
        <v>1596724</v>
      </c>
      <c r="F9" s="108" t="s">
        <v>90</v>
      </c>
      <c r="G9" s="153">
        <v>390752</v>
      </c>
      <c r="H9" s="108">
        <f>E9*$U$6</f>
        <v>1.5967240000000001E-3</v>
      </c>
      <c r="I9" s="108">
        <f t="shared" si="1"/>
        <v>4.9087511111359998E-4</v>
      </c>
      <c r="J9" s="108">
        <f t="shared" si="3"/>
        <v>3.1488111693035843E-5</v>
      </c>
      <c r="Q9" s="108">
        <v>57</v>
      </c>
      <c r="T9" s="197"/>
      <c r="U9" s="197">
        <v>0.59</v>
      </c>
      <c r="V9" s="197">
        <v>0.57999999999999996</v>
      </c>
      <c r="W9" s="197">
        <v>0.56999999999999995</v>
      </c>
      <c r="X9" s="197">
        <v>0.56000000000000005</v>
      </c>
      <c r="Y9" s="197">
        <v>0.55000000000000004</v>
      </c>
      <c r="Z9" s="144">
        <v>0.54</v>
      </c>
    </row>
    <row r="10" spans="1:26" x14ac:dyDescent="0.15">
      <c r="A10" s="108">
        <v>7</v>
      </c>
      <c r="B10" s="142">
        <v>0.80400002002716064</v>
      </c>
      <c r="C10" s="108">
        <f t="shared" si="0"/>
        <v>60</v>
      </c>
      <c r="D10" s="108" t="s">
        <v>90</v>
      </c>
      <c r="E10" s="108">
        <v>3193396</v>
      </c>
      <c r="F10" s="108" t="s">
        <v>90</v>
      </c>
      <c r="G10" s="152">
        <v>50176</v>
      </c>
      <c r="H10" s="108">
        <f>E10*$U$6</f>
        <v>3.1933960000000003E-3</v>
      </c>
      <c r="I10" s="108">
        <f t="shared" si="1"/>
        <v>1.0057690117088001E-3</v>
      </c>
      <c r="K10" s="108">
        <f t="shared" si="2"/>
        <v>3.3325042688000003E-6</v>
      </c>
      <c r="Q10" s="108">
        <v>58</v>
      </c>
      <c r="T10" s="197" t="s">
        <v>46</v>
      </c>
      <c r="U10" s="198">
        <v>0.30742639999999999</v>
      </c>
      <c r="V10" s="198">
        <v>0.2999</v>
      </c>
      <c r="W10" s="198">
        <v>0.29237360000000001</v>
      </c>
      <c r="X10" s="198">
        <v>0.28484720000000002</v>
      </c>
      <c r="Y10" s="198">
        <v>0.27732079999999998</v>
      </c>
      <c r="Z10" s="93">
        <v>0.26979439999999999</v>
      </c>
    </row>
    <row r="11" spans="1:26" x14ac:dyDescent="0.15">
      <c r="A11" s="108">
        <v>8</v>
      </c>
      <c r="B11" s="142">
        <v>0.79466664791107178</v>
      </c>
      <c r="C11" s="108">
        <f t="shared" si="0"/>
        <v>60</v>
      </c>
      <c r="D11" s="108" t="s">
        <v>90</v>
      </c>
      <c r="E11" s="108">
        <v>3193396</v>
      </c>
      <c r="F11" s="108" t="s">
        <v>90</v>
      </c>
      <c r="G11" s="153">
        <v>781504</v>
      </c>
      <c r="H11" s="108">
        <f>E11*$U$6</f>
        <v>3.1933960000000003E-3</v>
      </c>
      <c r="I11" s="108">
        <f t="shared" si="1"/>
        <v>1.0057690117088001E-3</v>
      </c>
      <c r="J11" s="108">
        <f t="shared" si="3"/>
        <v>6.5486440281600013E-5</v>
      </c>
      <c r="Q11" s="108">
        <v>58</v>
      </c>
      <c r="T11" s="197" t="s">
        <v>48</v>
      </c>
      <c r="U11" s="198">
        <v>8.0583366670000003E-2</v>
      </c>
      <c r="V11" s="198">
        <v>7.737133333E-2</v>
      </c>
      <c r="W11" s="198">
        <v>7.4159299999999997E-2</v>
      </c>
      <c r="X11" s="198">
        <v>7.0947266667000006E-2</v>
      </c>
      <c r="Y11" s="198">
        <v>6.7735233332999994E-2</v>
      </c>
      <c r="Z11" s="93">
        <v>6.4523200000000003E-2</v>
      </c>
    </row>
    <row r="12" spans="1:26" x14ac:dyDescent="0.15">
      <c r="A12" s="108">
        <v>9</v>
      </c>
      <c r="B12" s="142">
        <v>0.80266666412353516</v>
      </c>
      <c r="C12" s="108">
        <f t="shared" si="0"/>
        <v>60</v>
      </c>
      <c r="D12" s="108" t="s">
        <v>92</v>
      </c>
      <c r="E12" s="108">
        <v>8029</v>
      </c>
      <c r="F12" s="108" t="s">
        <v>92</v>
      </c>
      <c r="G12" s="152">
        <v>12544</v>
      </c>
      <c r="H12" s="108">
        <f>E12*$U$6</f>
        <v>8.0290000000000005E-6</v>
      </c>
      <c r="I12" s="108">
        <f t="shared" si="1"/>
        <v>2.5287560311999998E-6</v>
      </c>
      <c r="K12" s="108">
        <f t="shared" si="2"/>
        <v>8.3312606720000007E-7</v>
      </c>
      <c r="Q12" s="108">
        <v>58</v>
      </c>
      <c r="T12" s="197" t="s">
        <v>49</v>
      </c>
      <c r="U12" s="198">
        <v>6.3350733330000006E-2</v>
      </c>
      <c r="V12" s="198">
        <v>6.0285166666700002E-2</v>
      </c>
      <c r="W12" s="198">
        <v>5.7219600000000002E-2</v>
      </c>
      <c r="X12" s="198">
        <v>5.4154033329999997E-2</v>
      </c>
      <c r="Y12" s="198">
        <v>5.1088466667000003E-2</v>
      </c>
      <c r="Z12" s="93">
        <v>4.80229E-2</v>
      </c>
    </row>
    <row r="13" spans="1:26" x14ac:dyDescent="0.15">
      <c r="A13" s="108">
        <v>10</v>
      </c>
      <c r="B13" s="142">
        <v>0.79866665601730347</v>
      </c>
      <c r="C13" s="108">
        <f t="shared" si="0"/>
        <v>58</v>
      </c>
      <c r="D13" s="108" t="s">
        <v>90</v>
      </c>
      <c r="E13" s="108">
        <v>1548340</v>
      </c>
      <c r="F13" s="108" t="s">
        <v>90</v>
      </c>
      <c r="G13" s="153">
        <v>381952</v>
      </c>
      <c r="H13" s="108">
        <f>E13*$U$6</f>
        <v>1.54834E-3</v>
      </c>
      <c r="I13" s="108">
        <f t="shared" si="1"/>
        <v>4.7600059217599999E-4</v>
      </c>
      <c r="J13" s="108">
        <f t="shared" si="3"/>
        <v>3.0778978066339842E-5</v>
      </c>
      <c r="Q13" s="108">
        <v>57</v>
      </c>
    </row>
    <row r="14" spans="1:26" x14ac:dyDescent="0.15">
      <c r="A14" s="108">
        <v>11</v>
      </c>
      <c r="B14" s="142">
        <v>0.67733335494995117</v>
      </c>
      <c r="C14" s="108">
        <f t="shared" si="0"/>
        <v>58</v>
      </c>
      <c r="D14" s="108" t="s">
        <v>90</v>
      </c>
      <c r="E14" s="108">
        <v>3096628</v>
      </c>
      <c r="F14" s="108" t="s">
        <v>90</v>
      </c>
      <c r="G14" s="152">
        <v>25088</v>
      </c>
      <c r="H14" s="108">
        <f>E14*$U$6</f>
        <v>3.0966280000000001E-3</v>
      </c>
      <c r="I14" s="108">
        <f t="shared" si="1"/>
        <v>9.5198519817919997E-4</v>
      </c>
      <c r="K14" s="108">
        <f t="shared" si="2"/>
        <v>1.5893431977830401E-6</v>
      </c>
      <c r="Q14" s="108">
        <v>57</v>
      </c>
    </row>
    <row r="15" spans="1:26" x14ac:dyDescent="0.15">
      <c r="A15" s="108">
        <v>12</v>
      </c>
      <c r="B15" s="142">
        <v>0.68000000715255737</v>
      </c>
      <c r="C15" s="108">
        <f t="shared" si="0"/>
        <v>58</v>
      </c>
      <c r="D15" s="108" t="s">
        <v>90</v>
      </c>
      <c r="E15" s="108">
        <v>3096628</v>
      </c>
      <c r="F15" s="108" t="s">
        <v>90</v>
      </c>
      <c r="G15" s="153">
        <v>763904</v>
      </c>
      <c r="H15" s="108">
        <f>E15*$U$6</f>
        <v>3.0966280000000001E-3</v>
      </c>
      <c r="I15" s="108">
        <f t="shared" si="1"/>
        <v>9.5198519817919997E-4</v>
      </c>
      <c r="J15" s="108">
        <f t="shared" si="3"/>
        <v>6.1557956132679683E-5</v>
      </c>
      <c r="Q15" s="108">
        <v>57</v>
      </c>
      <c r="T15" s="108" t="s">
        <v>45</v>
      </c>
      <c r="U15" s="108" t="s">
        <v>9</v>
      </c>
    </row>
    <row r="16" spans="1:26" x14ac:dyDescent="0.15">
      <c r="A16" s="108">
        <v>13</v>
      </c>
      <c r="B16" s="142">
        <v>0.67066669464111328</v>
      </c>
      <c r="C16" s="108">
        <f t="shared" si="0"/>
        <v>58</v>
      </c>
      <c r="D16" s="108" t="s">
        <v>92</v>
      </c>
      <c r="E16" s="108">
        <v>4015</v>
      </c>
      <c r="F16" s="108" t="s">
        <v>92</v>
      </c>
      <c r="G16" s="152">
        <v>6272</v>
      </c>
      <c r="H16" s="108">
        <f>E16*$U$6</f>
        <v>4.0150000000000005E-6</v>
      </c>
      <c r="I16" s="108">
        <f t="shared" si="1"/>
        <v>1.234316996E-6</v>
      </c>
      <c r="K16" s="108">
        <f t="shared" si="2"/>
        <v>3.9733579944576003E-7</v>
      </c>
      <c r="Q16" s="108">
        <v>57</v>
      </c>
      <c r="T16" s="108" t="s">
        <v>102</v>
      </c>
      <c r="U16" s="199">
        <v>3.1</v>
      </c>
    </row>
    <row r="17" spans="1:21" x14ac:dyDescent="0.15">
      <c r="A17" s="108">
        <v>14</v>
      </c>
      <c r="B17" s="142">
        <v>0.67866665124893188</v>
      </c>
      <c r="C17" s="108">
        <f t="shared" si="0"/>
        <v>58</v>
      </c>
      <c r="D17" s="108" t="s">
        <v>90</v>
      </c>
      <c r="E17" s="108">
        <v>774196</v>
      </c>
      <c r="F17" s="108" t="s">
        <v>90</v>
      </c>
      <c r="G17" s="153">
        <v>181504</v>
      </c>
      <c r="H17" s="108">
        <f>E17*$U$6</f>
        <v>7.74196E-4</v>
      </c>
      <c r="I17" s="108">
        <f t="shared" si="1"/>
        <v>2.380082891744E-4</v>
      </c>
      <c r="J17" s="108">
        <f t="shared" si="3"/>
        <v>1.4626203384071683E-5</v>
      </c>
      <c r="Q17" s="108">
        <v>56</v>
      </c>
      <c r="T17" s="108" t="s">
        <v>46</v>
      </c>
      <c r="U17" s="199">
        <v>0.31495279999999998</v>
      </c>
    </row>
    <row r="18" spans="1:21" x14ac:dyDescent="0.15">
      <c r="A18" s="108">
        <v>15</v>
      </c>
      <c r="B18" s="142">
        <v>0.78666669130325317</v>
      </c>
      <c r="C18" s="108">
        <f t="shared" si="0"/>
        <v>58</v>
      </c>
      <c r="D18" s="108" t="s">
        <v>90</v>
      </c>
      <c r="E18" s="108">
        <v>774196</v>
      </c>
      <c r="F18" s="108" t="s">
        <v>90</v>
      </c>
      <c r="G18" s="152">
        <v>6272</v>
      </c>
      <c r="H18" s="108">
        <f>E18*$U$6</f>
        <v>7.74196E-4</v>
      </c>
      <c r="I18" s="108">
        <f t="shared" si="1"/>
        <v>2.380082891744E-4</v>
      </c>
      <c r="K18" s="108">
        <f t="shared" si="2"/>
        <v>3.9733579944576003E-7</v>
      </c>
      <c r="Q18" s="108">
        <v>56</v>
      </c>
      <c r="T18" s="108" t="s">
        <v>48</v>
      </c>
      <c r="U18" s="199">
        <v>8.3795400000000006E-2</v>
      </c>
    </row>
    <row r="19" spans="1:21" x14ac:dyDescent="0.15">
      <c r="A19" s="108">
        <v>16</v>
      </c>
      <c r="B19" s="142">
        <v>0.79733335971832275</v>
      </c>
      <c r="C19" s="108">
        <f t="shared" si="0"/>
        <v>58</v>
      </c>
      <c r="D19" s="108" t="s">
        <v>90</v>
      </c>
      <c r="E19" s="108">
        <v>774196</v>
      </c>
      <c r="F19" s="108" t="s">
        <v>90</v>
      </c>
      <c r="G19" s="153">
        <v>181504</v>
      </c>
      <c r="H19" s="108">
        <f>E19*$U$6</f>
        <v>7.74196E-4</v>
      </c>
      <c r="I19" s="108">
        <f t="shared" si="1"/>
        <v>2.380082891744E-4</v>
      </c>
      <c r="J19" s="108">
        <f t="shared" si="3"/>
        <v>1.4626203384071683E-5</v>
      </c>
      <c r="Q19" s="108">
        <v>57</v>
      </c>
      <c r="T19" s="108" t="s">
        <v>49</v>
      </c>
      <c r="U19" s="199">
        <v>6.6416299999999998E-2</v>
      </c>
    </row>
    <row r="20" spans="1:21" x14ac:dyDescent="0.15">
      <c r="A20" s="108">
        <v>17</v>
      </c>
      <c r="B20" s="142">
        <v>0.80266666412353516</v>
      </c>
      <c r="C20" s="108">
        <f t="shared" si="0"/>
        <v>58</v>
      </c>
      <c r="D20" s="108" t="s">
        <v>92</v>
      </c>
      <c r="E20" s="108">
        <v>1004</v>
      </c>
      <c r="F20" s="108" t="s">
        <v>92</v>
      </c>
      <c r="G20" s="152">
        <v>1568</v>
      </c>
      <c r="H20" s="108">
        <f>E20*$U$6</f>
        <v>1.004E-6</v>
      </c>
      <c r="I20" s="108">
        <f t="shared" si="1"/>
        <v>3.0865610559999999E-7</v>
      </c>
      <c r="K20" s="108">
        <f t="shared" si="2"/>
        <v>9.9333949861440006E-8</v>
      </c>
      <c r="Q20" s="108">
        <v>57</v>
      </c>
    </row>
    <row r="21" spans="1:21" x14ac:dyDescent="0.15">
      <c r="A21" s="108">
        <v>18</v>
      </c>
      <c r="B21" s="142">
        <v>0.79199999570846558</v>
      </c>
      <c r="C21" s="108">
        <f t="shared" si="0"/>
        <v>58</v>
      </c>
      <c r="D21" s="108" t="s">
        <v>93</v>
      </c>
      <c r="E21" s="108">
        <v>175618</v>
      </c>
      <c r="F21" s="108" t="s">
        <v>93</v>
      </c>
      <c r="G21" s="153">
        <v>629407744</v>
      </c>
      <c r="H21" s="108">
        <f>E21*$U$6</f>
        <v>1.75618E-4</v>
      </c>
      <c r="I21" s="108">
        <f t="shared" si="1"/>
        <v>5.3989609515199998E-5</v>
      </c>
      <c r="J21" s="108">
        <f t="shared" si="3"/>
        <v>5.0719795019689498E-2</v>
      </c>
      <c r="Q21" s="108">
        <v>56</v>
      </c>
    </row>
    <row r="22" spans="1:21" x14ac:dyDescent="0.15">
      <c r="A22" s="108">
        <v>19</v>
      </c>
      <c r="B22" s="142">
        <v>0.80800002813339233</v>
      </c>
      <c r="C22" s="108">
        <f t="shared" si="0"/>
        <v>54</v>
      </c>
      <c r="D22" s="108" t="s">
        <v>93</v>
      </c>
      <c r="E22" s="108">
        <v>28674</v>
      </c>
      <c r="F22" s="108" t="s">
        <v>93</v>
      </c>
      <c r="G22" s="152">
        <v>256</v>
      </c>
      <c r="H22" s="108">
        <f>E22*$U$6</f>
        <v>2.8674E-5</v>
      </c>
      <c r="I22" s="108">
        <f t="shared" si="1"/>
        <v>7.9518966191999986E-6</v>
      </c>
      <c r="K22" s="108">
        <f t="shared" si="2"/>
        <v>1.3078647466752002E-8</v>
      </c>
      <c r="Q22" s="108">
        <v>54</v>
      </c>
    </row>
    <row r="23" spans="1:21" x14ac:dyDescent="0.15">
      <c r="A23" s="108">
        <v>20</v>
      </c>
      <c r="B23" s="142">
        <v>0.80800002813339233</v>
      </c>
      <c r="C23" s="108">
        <f t="shared" si="0"/>
        <v>54</v>
      </c>
      <c r="D23" s="108" t="s">
        <v>93</v>
      </c>
      <c r="E23" s="108">
        <v>4098</v>
      </c>
      <c r="F23" s="108" t="s">
        <v>93</v>
      </c>
      <c r="G23" s="153">
        <v>1048576</v>
      </c>
      <c r="H23" s="108">
        <f>E23*$U$6</f>
        <v>4.0980000000000004E-6</v>
      </c>
      <c r="I23" s="108">
        <f t="shared" si="1"/>
        <v>1.1364606384000001E-6</v>
      </c>
      <c r="J23" s="108">
        <f t="shared" si="3"/>
        <v>7.1025540027383805E-5</v>
      </c>
      <c r="K23" s="108">
        <f t="shared" si="2"/>
        <v>5.3570140023816202E-5</v>
      </c>
      <c r="Q23" s="108">
        <v>54</v>
      </c>
    </row>
    <row r="24" spans="1:21" x14ac:dyDescent="0.15">
      <c r="C24" s="108">
        <f>SUM(C2:C23)</f>
        <v>1278</v>
      </c>
      <c r="H24" s="108" t="s">
        <v>173</v>
      </c>
      <c r="I24" s="108">
        <f>SUM(I2:I23)</f>
        <v>8.4101770811759978E-3</v>
      </c>
      <c r="J24" s="108">
        <f>SUM(J2:J23)</f>
        <v>5.1070312629634997E-2</v>
      </c>
      <c r="K24" s="108">
        <f>SUM(K2:K23)</f>
        <v>8.1826139621866327E-5</v>
      </c>
      <c r="Q24" s="108">
        <f>SUM(Q2:Q23)</f>
        <v>1251</v>
      </c>
    </row>
    <row r="25" spans="1:21" x14ac:dyDescent="0.15">
      <c r="E25" s="108">
        <f>+SUM(E2:E23)</f>
        <v>27160746</v>
      </c>
      <c r="F25" s="108" t="s">
        <v>165</v>
      </c>
    </row>
    <row r="26" spans="1:21" x14ac:dyDescent="0.15">
      <c r="L26" s="164" t="s">
        <v>172</v>
      </c>
      <c r="M26" s="164">
        <f>SUM(I24:K24)</f>
        <v>5.9562315850432861E-2</v>
      </c>
    </row>
    <row r="27" spans="1:21" ht="14" x14ac:dyDescent="0.15">
      <c r="F27" s="144"/>
      <c r="G27" s="144"/>
      <c r="H27" s="144"/>
      <c r="I27" s="144"/>
      <c r="J27" s="144"/>
      <c r="K27" s="144"/>
      <c r="L27" s="164"/>
      <c r="M27" s="164"/>
    </row>
    <row r="28" spans="1:21" ht="14" x14ac:dyDescent="0.15">
      <c r="B28" s="108" t="s">
        <v>199</v>
      </c>
      <c r="F28" s="144"/>
      <c r="G28" s="144"/>
      <c r="H28" s="145"/>
      <c r="I28" s="144"/>
      <c r="J28" s="144"/>
      <c r="K28" s="144"/>
      <c r="L28" s="164" t="s">
        <v>174</v>
      </c>
      <c r="M28" s="164">
        <f>SUM('[2]Hoja 1'!L72:Q72)</f>
        <v>5.2976115141952378E-2</v>
      </c>
    </row>
    <row r="29" spans="1:21" ht="14" x14ac:dyDescent="0.15">
      <c r="B29" s="108">
        <v>54</v>
      </c>
      <c r="C29" s="108">
        <f>COUNTIF(C2:C23,54)</f>
        <v>2</v>
      </c>
      <c r="F29" s="144"/>
      <c r="G29" s="144"/>
      <c r="H29" s="146"/>
      <c r="I29" s="147"/>
      <c r="J29" s="148"/>
      <c r="K29" s="144"/>
      <c r="L29" s="144"/>
      <c r="M29" s="154"/>
    </row>
    <row r="30" spans="1:21" ht="14" x14ac:dyDescent="0.15">
      <c r="B30" s="108">
        <v>56</v>
      </c>
      <c r="C30" s="108">
        <f>COUNTIF(C2:C23,56)</f>
        <v>0</v>
      </c>
      <c r="F30" s="144"/>
      <c r="G30" s="144"/>
      <c r="H30" s="144"/>
      <c r="I30" s="144"/>
      <c r="J30" s="144"/>
      <c r="K30" s="144"/>
      <c r="L30" s="144"/>
      <c r="M30" s="154"/>
    </row>
    <row r="31" spans="1:21" ht="14" x14ac:dyDescent="0.15">
      <c r="B31" s="108">
        <v>58</v>
      </c>
      <c r="C31" s="108">
        <f>COUNTIF(C2:C23,58)</f>
        <v>15</v>
      </c>
      <c r="F31" s="144" t="s">
        <v>184</v>
      </c>
      <c r="G31" s="203" t="e">
        <f ca="1">+Sumarcolor_fuente(G22,G2:G23)</f>
        <v>#NAME?</v>
      </c>
      <c r="H31" s="144" t="e">
        <f ca="1">+G31/G32</f>
        <v>#NAME?</v>
      </c>
      <c r="I31" s="144"/>
      <c r="J31" s="144"/>
      <c r="K31" s="149"/>
      <c r="L31" s="144"/>
      <c r="M31" s="154"/>
    </row>
    <row r="32" spans="1:21" ht="14" x14ac:dyDescent="0.15">
      <c r="B32" s="108">
        <v>60</v>
      </c>
      <c r="C32" s="108">
        <f>COUNTIF(C2:C23,60)</f>
        <v>5</v>
      </c>
      <c r="F32" s="146" t="s">
        <v>185</v>
      </c>
      <c r="G32" s="148">
        <f>+'[2]Hoja 1'!F50</f>
        <v>267743.875</v>
      </c>
      <c r="H32" s="145"/>
      <c r="I32" s="144"/>
      <c r="J32" s="144"/>
      <c r="K32" s="144"/>
      <c r="L32" s="144"/>
      <c r="M32" s="154"/>
    </row>
    <row r="33" spans="6:8" ht="14" x14ac:dyDescent="0.15">
      <c r="F33" s="144" t="s">
        <v>82</v>
      </c>
      <c r="G33" s="148">
        <f>+G3+G5+G7+G9+G11+G13+G15+G17+G19+G21+G23</f>
        <v>633893528.75</v>
      </c>
      <c r="H33" s="144">
        <f>+G33/G34</f>
        <v>1.0033451650077245</v>
      </c>
    </row>
    <row r="34" spans="6:8" ht="14" x14ac:dyDescent="0.15">
      <c r="F34" s="144" t="s">
        <v>185</v>
      </c>
      <c r="G34" s="144">
        <f>+'[2]Hoja 1'!D50</f>
        <v>631780120</v>
      </c>
      <c r="H34" s="144"/>
    </row>
    <row r="37" spans="6:8" x14ac:dyDescent="0.15">
      <c r="G37" s="108">
        <f>16777216/16</f>
        <v>1048576</v>
      </c>
    </row>
  </sheetData>
  <autoFilter ref="A1:M26" xr:uid="{6CB56553-9A32-A547-AEC2-CE13662FF153}"/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52DAF-7D1C-CA4D-829A-C2C91398A82D}">
  <sheetPr codeName="Hoja4"/>
  <dimension ref="A1:Z24"/>
  <sheetViews>
    <sheetView workbookViewId="0">
      <selection activeCell="U3" sqref="U3"/>
    </sheetView>
  </sheetViews>
  <sheetFormatPr baseColWidth="10" defaultColWidth="8.6640625" defaultRowHeight="14" x14ac:dyDescent="0.15"/>
  <cols>
    <col min="1" max="1" width="13.6640625" style="154" bestFit="1" customWidth="1"/>
    <col min="2" max="2" width="9" style="154" bestFit="1" customWidth="1"/>
    <col min="3" max="3" width="8.6640625" style="154"/>
    <col min="4" max="4" width="13.6640625" style="154" bestFit="1" customWidth="1"/>
    <col min="5" max="5" width="8.5" style="154" bestFit="1" customWidth="1"/>
    <col min="6" max="6" width="12.33203125" style="154" bestFit="1" customWidth="1"/>
    <col min="7" max="7" width="17.5" style="154" bestFit="1" customWidth="1"/>
    <col min="8" max="8" width="12.1640625" style="154" bestFit="1" customWidth="1"/>
    <col min="9" max="9" width="13.6640625" style="154" bestFit="1" customWidth="1"/>
    <col min="10" max="11" width="12.33203125" style="154" bestFit="1" customWidth="1"/>
    <col min="12" max="12" width="13.33203125" style="154" bestFit="1" customWidth="1"/>
    <col min="13" max="19" width="8.6640625" style="154"/>
    <col min="20" max="20" width="13.6640625" style="154" bestFit="1" customWidth="1"/>
    <col min="21" max="21" width="14.6640625" style="154" bestFit="1" customWidth="1"/>
    <col min="22" max="25" width="10.6640625" style="154" bestFit="1" customWidth="1"/>
    <col min="26" max="16384" width="8.6640625" style="154"/>
  </cols>
  <sheetData>
    <row r="1" spans="1:26" ht="15" thickBot="1" x14ac:dyDescent="0.2">
      <c r="A1" s="155" t="s">
        <v>134</v>
      </c>
      <c r="B1" s="156" t="s">
        <v>135</v>
      </c>
      <c r="C1" s="156" t="s">
        <v>136</v>
      </c>
      <c r="D1" s="151" t="s">
        <v>87</v>
      </c>
      <c r="E1" s="151" t="s">
        <v>137</v>
      </c>
      <c r="F1" s="134" t="s">
        <v>87</v>
      </c>
      <c r="G1" s="134" t="s">
        <v>145</v>
      </c>
      <c r="H1" s="144" t="s">
        <v>151</v>
      </c>
      <c r="I1" s="144" t="s">
        <v>152</v>
      </c>
      <c r="J1" s="144" t="s">
        <v>82</v>
      </c>
      <c r="K1" s="144" t="s">
        <v>83</v>
      </c>
      <c r="Q1" s="108" t="s">
        <v>177</v>
      </c>
      <c r="R1" s="108" t="s">
        <v>178</v>
      </c>
    </row>
    <row r="2" spans="1:26" x14ac:dyDescent="0.15">
      <c r="C2" s="154">
        <f>_xlfn.SWITCH(Q2,60,60,59,60,58,60,57,58,56,58,55,56,54,IF(B2&gt;$R$2,54,56))</f>
        <v>60</v>
      </c>
      <c r="D2" s="154" t="s">
        <v>91</v>
      </c>
      <c r="E2" s="154">
        <v>6022</v>
      </c>
      <c r="F2" s="108" t="s">
        <v>91</v>
      </c>
      <c r="G2" s="157">
        <v>9408</v>
      </c>
      <c r="H2" s="154">
        <f>E2*$U$6</f>
        <v>6.0220000000000001E-6</v>
      </c>
      <c r="I2" s="154">
        <f>_xlfn.SWITCH(C2+$U$2,54,$Z$10,55,$Y$10,56,$X$10,57,$W$10,58,$V$10,59,$U$10,$U$17)*H2</f>
        <v>1.8966457615999999E-6</v>
      </c>
      <c r="K2" s="154">
        <f>_xlfn.SWITCH(C2+$U$2,54,$Z$12,55,$Y$12,56,$X$12,57,$W$12,58,$V$12,59,$U$12,$U$19)*G2*$U$6</f>
        <v>6.2484455040000005E-7</v>
      </c>
      <c r="Q2" s="154">
        <v>59</v>
      </c>
      <c r="R2">
        <v>0.83333331346511796</v>
      </c>
      <c r="T2" s="108" t="s">
        <v>171</v>
      </c>
      <c r="U2" s="108">
        <v>1</v>
      </c>
      <c r="V2" s="108"/>
      <c r="W2" s="108"/>
      <c r="X2" s="108"/>
      <c r="Y2" s="108"/>
    </row>
    <row r="3" spans="1:26" x14ac:dyDescent="0.15">
      <c r="A3" s="154">
        <v>0</v>
      </c>
      <c r="B3" s="158">
        <v>0.71333330869674683</v>
      </c>
      <c r="C3" s="154">
        <f t="shared" ref="C3:C13" si="0">_xlfn.SWITCH(Q3,60,60,59,60,58,60,57,58,56,58,55,56,54,IF(B3&gt;$R$2,54,56))</f>
        <v>58</v>
      </c>
      <c r="D3" s="154" t="s">
        <v>90</v>
      </c>
      <c r="E3" s="154">
        <v>279940</v>
      </c>
      <c r="F3" s="108" t="s">
        <v>90</v>
      </c>
      <c r="G3" s="159">
        <v>46451.25</v>
      </c>
      <c r="H3" s="154">
        <f>E3*$U$6</f>
        <v>2.7994000000000001E-4</v>
      </c>
      <c r="I3" s="154">
        <f t="shared" ref="I3:I13" si="1">_xlfn.SWITCH(C3+$U$2,54,$Z$10,55,$Y$10,56,$X$10,57,$W$10,58,$V$10,59,$U$10,$U$17)*H3</f>
        <v>8.6060946415999999E-5</v>
      </c>
      <c r="J3" s="154">
        <f>_xlfn.SWITCH(C3+$U$2,54,$Z$11,55,$Y$11,56,$X$11,57,$W$11,58,$V$11,59,$U$11,$U$18)*G3*$U$6</f>
        <v>3.7431981110298376E-6</v>
      </c>
      <c r="Q3" s="154">
        <v>57</v>
      </c>
      <c r="T3" s="108"/>
      <c r="U3" s="108"/>
      <c r="V3" s="108"/>
      <c r="W3" s="108"/>
      <c r="X3" s="108"/>
      <c r="Y3" s="108"/>
    </row>
    <row r="4" spans="1:26" x14ac:dyDescent="0.15">
      <c r="A4" s="154">
        <v>1</v>
      </c>
      <c r="B4" s="158">
        <v>0.71333330869674683</v>
      </c>
      <c r="C4" s="154">
        <f t="shared" si="0"/>
        <v>60</v>
      </c>
      <c r="D4" s="154" t="s">
        <v>92</v>
      </c>
      <c r="E4" s="154">
        <v>11198</v>
      </c>
      <c r="F4" s="108" t="s">
        <v>92</v>
      </c>
      <c r="G4" s="157">
        <v>17496</v>
      </c>
      <c r="H4" s="154">
        <f>E4*$U$6</f>
        <v>1.1198E-5</v>
      </c>
      <c r="I4" s="154">
        <f t="shared" si="1"/>
        <v>3.5268414544E-6</v>
      </c>
      <c r="K4" s="154">
        <f t="shared" ref="K3:K13" si="2">_xlfn.SWITCH(C4+$U$2,54,$Z$12,55,$Y$12,56,$X$12,57,$W$12,58,$V$12,59,$U$12,$U$19)*G4*$U$6</f>
        <v>1.1620195847999999E-6</v>
      </c>
      <c r="Q4" s="154">
        <v>58</v>
      </c>
      <c r="T4" s="108"/>
      <c r="U4" s="108"/>
      <c r="V4" s="108"/>
      <c r="W4" s="108"/>
      <c r="X4" s="108"/>
      <c r="Y4" s="108"/>
    </row>
    <row r="5" spans="1:26" x14ac:dyDescent="0.15">
      <c r="A5" s="154">
        <v>2</v>
      </c>
      <c r="B5" s="158">
        <v>0.73466664552688599</v>
      </c>
      <c r="C5" s="154">
        <f t="shared" si="0"/>
        <v>56</v>
      </c>
      <c r="D5" s="154" t="s">
        <v>90</v>
      </c>
      <c r="E5" s="154">
        <v>792052</v>
      </c>
      <c r="F5" s="108" t="s">
        <v>90</v>
      </c>
      <c r="G5" s="159">
        <v>263082</v>
      </c>
      <c r="H5" s="154">
        <f>E5*$U$6</f>
        <v>7.9205200000000001E-4</v>
      </c>
      <c r="I5" s="154">
        <f t="shared" si="1"/>
        <v>2.3157509462720001E-4</v>
      </c>
      <c r="J5" s="154">
        <f t="shared" ref="J4:J13" si="3">_xlfn.SWITCH(C5+$U$2,54,$Z$11,55,$Y$11,56,$X$11,57,$W$11,58,$V$11,59,$U$11,$U$18)*G5*$U$6</f>
        <v>1.95099769626E-5</v>
      </c>
      <c r="Q5" s="154">
        <v>54</v>
      </c>
      <c r="T5" s="108" t="s">
        <v>57</v>
      </c>
      <c r="U5" s="108">
        <v>1</v>
      </c>
      <c r="V5" s="108" t="s">
        <v>58</v>
      </c>
      <c r="W5" s="108"/>
      <c r="X5" s="108"/>
      <c r="Y5" s="108"/>
    </row>
    <row r="6" spans="1:26" x14ac:dyDescent="0.15">
      <c r="A6" s="154">
        <v>3</v>
      </c>
      <c r="B6" s="158">
        <v>0.8320000171661377</v>
      </c>
      <c r="C6" s="154">
        <f t="shared" si="0"/>
        <v>58</v>
      </c>
      <c r="D6" s="154" t="s">
        <v>92</v>
      </c>
      <c r="E6" s="154">
        <v>1731</v>
      </c>
      <c r="F6" s="108" t="s">
        <v>92</v>
      </c>
      <c r="G6" s="157">
        <v>2704</v>
      </c>
      <c r="H6" s="154">
        <f>E6*$U$6</f>
        <v>1.731E-6</v>
      </c>
      <c r="I6" s="154">
        <f t="shared" si="1"/>
        <v>5.3215509840000001E-7</v>
      </c>
      <c r="K6" s="154">
        <f t="shared" si="2"/>
        <v>1.7130038292432003E-7</v>
      </c>
      <c r="Q6" s="154">
        <v>56</v>
      </c>
      <c r="T6" s="108"/>
      <c r="U6" s="196">
        <f>U5/1000000000</f>
        <v>1.0000000000000001E-9</v>
      </c>
      <c r="V6" s="108" t="s">
        <v>153</v>
      </c>
      <c r="W6" s="108"/>
      <c r="X6" s="108"/>
      <c r="Y6" s="108"/>
    </row>
    <row r="7" spans="1:26" x14ac:dyDescent="0.15">
      <c r="A7" s="154">
        <v>4</v>
      </c>
      <c r="B7" s="158">
        <v>0.83333331346511841</v>
      </c>
      <c r="C7" s="154">
        <f t="shared" si="0"/>
        <v>56</v>
      </c>
      <c r="D7" s="154" t="s">
        <v>90</v>
      </c>
      <c r="E7" s="154">
        <v>258100</v>
      </c>
      <c r="F7" s="108" t="s">
        <v>90</v>
      </c>
      <c r="G7" s="159">
        <v>58368</v>
      </c>
      <c r="H7" s="154">
        <f>E7*$U$6</f>
        <v>2.5810000000000004E-4</v>
      </c>
      <c r="I7" s="154">
        <f t="shared" si="1"/>
        <v>7.5461626160000018E-5</v>
      </c>
      <c r="J7" s="154">
        <f t="shared" si="3"/>
        <v>4.3285300224000003E-6</v>
      </c>
      <c r="Q7" s="154">
        <v>54</v>
      </c>
      <c r="T7" s="108"/>
      <c r="U7" s="108"/>
      <c r="V7" s="108"/>
      <c r="W7" s="108"/>
      <c r="X7" s="108"/>
      <c r="Y7" s="108"/>
    </row>
    <row r="8" spans="1:26" x14ac:dyDescent="0.15">
      <c r="A8" s="154">
        <v>5</v>
      </c>
      <c r="B8" s="158">
        <v>0.83866667747497559</v>
      </c>
      <c r="C8" s="154">
        <f t="shared" si="0"/>
        <v>54</v>
      </c>
      <c r="D8" s="154" t="s">
        <v>90</v>
      </c>
      <c r="E8" s="154">
        <v>387124</v>
      </c>
      <c r="F8" s="108" t="s">
        <v>90</v>
      </c>
      <c r="G8" s="157">
        <v>4056</v>
      </c>
      <c r="H8" s="154">
        <f>E8*$U$6</f>
        <v>3.8712400000000003E-4</v>
      </c>
      <c r="I8" s="154">
        <f t="shared" si="1"/>
        <v>1.073575373792E-4</v>
      </c>
      <c r="K8" s="154">
        <f t="shared" si="2"/>
        <v>2.0721482080135201E-7</v>
      </c>
      <c r="Q8" s="154">
        <v>54</v>
      </c>
      <c r="T8" s="108"/>
      <c r="U8" s="108"/>
      <c r="V8" s="108"/>
      <c r="W8" s="108"/>
      <c r="X8" s="108"/>
      <c r="Y8" s="108"/>
    </row>
    <row r="9" spans="1:26" x14ac:dyDescent="0.15">
      <c r="A9" s="154">
        <v>6</v>
      </c>
      <c r="B9" s="158">
        <v>0.82800000905990601</v>
      </c>
      <c r="C9" s="154">
        <f t="shared" si="0"/>
        <v>56</v>
      </c>
      <c r="D9" s="154" t="s">
        <v>90</v>
      </c>
      <c r="E9" s="154">
        <v>266164</v>
      </c>
      <c r="F9" s="108" t="s">
        <v>90</v>
      </c>
      <c r="G9" s="159">
        <v>57696</v>
      </c>
      <c r="H9" s="154">
        <f>E9*$U$6</f>
        <v>2.6616399999999999E-4</v>
      </c>
      <c r="I9" s="154">
        <f t="shared" si="1"/>
        <v>7.7819326870400004E-5</v>
      </c>
      <c r="J9" s="154">
        <f t="shared" si="3"/>
        <v>4.2786949727999999E-6</v>
      </c>
      <c r="Q9" s="154">
        <v>54</v>
      </c>
      <c r="T9" s="197"/>
      <c r="U9" s="197">
        <v>0.59</v>
      </c>
      <c r="V9" s="197">
        <v>0.57999999999999996</v>
      </c>
      <c r="W9" s="197">
        <v>0.56999999999999995</v>
      </c>
      <c r="X9" s="197">
        <v>0.56000000000000005</v>
      </c>
      <c r="Y9" s="197">
        <v>0.55000000000000004</v>
      </c>
      <c r="Z9" s="144">
        <v>0.54</v>
      </c>
    </row>
    <row r="10" spans="1:26" x14ac:dyDescent="0.15">
      <c r="A10" s="154">
        <v>7</v>
      </c>
      <c r="B10" s="158">
        <v>0.77333331108093262</v>
      </c>
      <c r="C10" s="154">
        <f t="shared" si="0"/>
        <v>58</v>
      </c>
      <c r="D10" s="154" t="s">
        <v>92</v>
      </c>
      <c r="E10" s="154">
        <v>369</v>
      </c>
      <c r="F10" s="108" t="s">
        <v>92</v>
      </c>
      <c r="G10" s="157">
        <v>576</v>
      </c>
      <c r="H10" s="154">
        <f>E10*$U$6</f>
        <v>3.6900000000000004E-7</v>
      </c>
      <c r="I10" s="154">
        <f t="shared" si="1"/>
        <v>1.1344034160000001E-7</v>
      </c>
      <c r="K10" s="154">
        <f t="shared" si="2"/>
        <v>3.649002239808E-8</v>
      </c>
      <c r="Q10" s="154">
        <v>56</v>
      </c>
      <c r="T10" s="197" t="s">
        <v>46</v>
      </c>
      <c r="U10" s="198">
        <v>0.30742639999999999</v>
      </c>
      <c r="V10" s="198">
        <v>0.2999</v>
      </c>
      <c r="W10" s="198">
        <v>0.29237360000000001</v>
      </c>
      <c r="X10" s="198">
        <v>0.28484720000000002</v>
      </c>
      <c r="Y10" s="198">
        <v>0.27732079999999998</v>
      </c>
      <c r="Z10" s="93">
        <v>0.26979439999999999</v>
      </c>
    </row>
    <row r="11" spans="1:26" x14ac:dyDescent="0.15">
      <c r="A11" s="154">
        <v>8</v>
      </c>
      <c r="B11" s="158">
        <v>0.74400001764297485</v>
      </c>
      <c r="C11" s="154">
        <f t="shared" si="0"/>
        <v>56</v>
      </c>
      <c r="D11" s="154" t="s">
        <v>93</v>
      </c>
      <c r="E11" s="154">
        <v>64514</v>
      </c>
      <c r="F11" s="108" t="s">
        <v>93</v>
      </c>
      <c r="G11" s="159">
        <v>84934656</v>
      </c>
      <c r="H11" s="154">
        <f>E11*$U$6</f>
        <v>6.4513999999999999E-5</v>
      </c>
      <c r="I11" s="154">
        <f t="shared" si="1"/>
        <v>1.8862190430400002E-5</v>
      </c>
      <c r="J11" s="154">
        <f t="shared" si="3"/>
        <v>6.2986946347007994E-3</v>
      </c>
      <c r="Q11" s="154">
        <v>54</v>
      </c>
      <c r="T11" s="197" t="s">
        <v>48</v>
      </c>
      <c r="U11" s="198">
        <v>8.0583366670000003E-2</v>
      </c>
      <c r="V11" s="198">
        <v>7.737133333E-2</v>
      </c>
      <c r="W11" s="198">
        <v>7.4159299999999997E-2</v>
      </c>
      <c r="X11" s="198">
        <v>7.0947266667000006E-2</v>
      </c>
      <c r="Y11" s="198">
        <v>6.7735233332999994E-2</v>
      </c>
      <c r="Z11" s="93">
        <v>6.4523200000000003E-2</v>
      </c>
    </row>
    <row r="12" spans="1:26" x14ac:dyDescent="0.15">
      <c r="A12" s="154">
        <v>9</v>
      </c>
      <c r="B12" s="158">
        <v>0.8346666693687439</v>
      </c>
      <c r="C12" s="154">
        <f t="shared" si="0"/>
        <v>54</v>
      </c>
      <c r="D12" s="154" t="s">
        <v>93</v>
      </c>
      <c r="E12" s="154">
        <v>28674</v>
      </c>
      <c r="F12" s="108" t="s">
        <v>93</v>
      </c>
      <c r="G12" s="157">
        <v>256</v>
      </c>
      <c r="H12" s="154">
        <f>E12*$U$6</f>
        <v>2.8674E-5</v>
      </c>
      <c r="I12" s="154">
        <f t="shared" si="1"/>
        <v>7.9518966191999986E-6</v>
      </c>
      <c r="K12" s="154">
        <f t="shared" si="2"/>
        <v>1.3078647466752002E-8</v>
      </c>
      <c r="Q12" s="154">
        <v>54</v>
      </c>
      <c r="T12" s="197" t="s">
        <v>49</v>
      </c>
      <c r="U12" s="198">
        <v>6.3350733330000006E-2</v>
      </c>
      <c r="V12" s="198">
        <v>6.0285166666700002E-2</v>
      </c>
      <c r="W12" s="198">
        <v>5.7219600000000002E-2</v>
      </c>
      <c r="X12" s="198">
        <v>5.4154033329999997E-2</v>
      </c>
      <c r="Y12" s="198">
        <v>5.1088466667000003E-2</v>
      </c>
      <c r="Z12" s="93">
        <v>4.80229E-2</v>
      </c>
    </row>
    <row r="13" spans="1:26" x14ac:dyDescent="0.15">
      <c r="A13" s="154">
        <v>10</v>
      </c>
      <c r="B13" s="158">
        <v>0.8346666693687439</v>
      </c>
      <c r="C13" s="154">
        <f t="shared" si="0"/>
        <v>54</v>
      </c>
      <c r="D13" s="154" t="s">
        <v>93</v>
      </c>
      <c r="E13" s="154">
        <v>4098</v>
      </c>
      <c r="F13" s="108" t="s">
        <v>93</v>
      </c>
      <c r="G13" s="159">
        <v>1048576</v>
      </c>
      <c r="H13" s="154">
        <f>E13*$U$6</f>
        <v>4.0980000000000004E-6</v>
      </c>
      <c r="I13" s="154">
        <f t="shared" si="1"/>
        <v>1.1364606384000001E-6</v>
      </c>
      <c r="J13" s="154">
        <f t="shared" si="3"/>
        <v>7.1025540027383805E-5</v>
      </c>
      <c r="Q13" s="154">
        <v>54</v>
      </c>
      <c r="T13" s="108"/>
      <c r="U13" s="108"/>
      <c r="V13" s="108"/>
      <c r="W13" s="108"/>
      <c r="X13" s="108"/>
      <c r="Y13" s="108"/>
    </row>
    <row r="14" spans="1:26" x14ac:dyDescent="0.15">
      <c r="E14" s="154">
        <f>+SUM(E2:E13)</f>
        <v>2099986</v>
      </c>
      <c r="H14" s="154" t="s">
        <v>154</v>
      </c>
      <c r="I14" s="154">
        <f>SUM(I2:I13)</f>
        <v>6.1229416179680012E-4</v>
      </c>
      <c r="J14" s="154">
        <f>SUM(J2:J13)</f>
        <v>6.4015805747970125E-3</v>
      </c>
      <c r="K14" s="154">
        <f>SUM(K2:K13)</f>
        <v>2.2149480087905039E-6</v>
      </c>
      <c r="T14" s="108"/>
      <c r="U14" s="108"/>
      <c r="V14" s="108"/>
      <c r="W14" s="108"/>
      <c r="X14" s="108"/>
      <c r="Y14" s="108"/>
    </row>
    <row r="15" spans="1:26" x14ac:dyDescent="0.15">
      <c r="T15" s="108" t="s">
        <v>45</v>
      </c>
      <c r="U15" s="108" t="s">
        <v>9</v>
      </c>
      <c r="V15" s="108"/>
      <c r="W15" s="108"/>
      <c r="X15" s="108"/>
      <c r="Y15" s="108"/>
    </row>
    <row r="16" spans="1:26" x14ac:dyDescent="0.15">
      <c r="F16" s="144"/>
      <c r="G16" s="144"/>
      <c r="H16" s="144"/>
      <c r="I16" s="144"/>
      <c r="J16" s="144"/>
      <c r="K16" s="144"/>
      <c r="L16" s="108" t="s">
        <v>172</v>
      </c>
      <c r="M16" s="108">
        <f>SUM(I14:K14)</f>
        <v>7.0160896846026034E-3</v>
      </c>
      <c r="T16" s="108" t="s">
        <v>102</v>
      </c>
      <c r="U16" s="199">
        <v>3.1</v>
      </c>
      <c r="V16" s="108"/>
      <c r="W16" s="108"/>
      <c r="X16" s="108"/>
      <c r="Y16" s="108"/>
    </row>
    <row r="17" spans="2:25" x14ac:dyDescent="0.15">
      <c r="B17" s="108" t="s">
        <v>199</v>
      </c>
      <c r="F17" s="144"/>
      <c r="G17" s="144"/>
      <c r="H17" s="145"/>
      <c r="I17" s="144"/>
      <c r="J17" s="144"/>
      <c r="K17" s="144"/>
      <c r="L17" s="108"/>
      <c r="M17" s="108"/>
      <c r="T17" s="108" t="s">
        <v>46</v>
      </c>
      <c r="U17" s="199">
        <v>0.31495279999999998</v>
      </c>
      <c r="V17" s="108"/>
      <c r="W17" s="108"/>
      <c r="X17" s="108"/>
      <c r="Y17" s="108"/>
    </row>
    <row r="18" spans="2:25" x14ac:dyDescent="0.15">
      <c r="B18" s="108">
        <v>54</v>
      </c>
      <c r="C18" s="154">
        <f>COUNTIF(C2:C13,54)</f>
        <v>3</v>
      </c>
      <c r="F18" s="144"/>
      <c r="G18" s="144"/>
      <c r="H18" s="146"/>
      <c r="I18" s="147"/>
      <c r="J18" s="148"/>
      <c r="K18" s="144"/>
      <c r="L18" s="108" t="s">
        <v>174</v>
      </c>
      <c r="M18" s="108">
        <f>SUM('[2]Hoja 1'!L75:Q75)</f>
        <v>6.762129376834871E-3</v>
      </c>
      <c r="T18" s="108" t="s">
        <v>48</v>
      </c>
      <c r="U18" s="199">
        <v>8.3795400000000006E-2</v>
      </c>
      <c r="V18" s="108"/>
      <c r="W18" s="108"/>
      <c r="X18" s="108"/>
      <c r="Y18" s="108"/>
    </row>
    <row r="19" spans="2:25" x14ac:dyDescent="0.15">
      <c r="B19" s="108">
        <v>56</v>
      </c>
      <c r="C19" s="154">
        <f>COUNTIF(C2:C13,56)</f>
        <v>4</v>
      </c>
      <c r="F19" s="144"/>
      <c r="G19" s="144"/>
      <c r="H19" s="144"/>
      <c r="I19" s="144"/>
      <c r="J19" s="144"/>
      <c r="K19" s="144"/>
      <c r="L19" s="144"/>
      <c r="T19" s="108" t="s">
        <v>49</v>
      </c>
      <c r="U19" s="199">
        <v>6.6416299999999998E-2</v>
      </c>
      <c r="V19" s="108"/>
      <c r="W19" s="108"/>
      <c r="X19" s="108"/>
      <c r="Y19" s="108"/>
    </row>
    <row r="20" spans="2:25" x14ac:dyDescent="0.15">
      <c r="B20" s="108">
        <v>58</v>
      </c>
      <c r="C20" s="154">
        <f>COUNTIF(C2:C13,58)</f>
        <v>3</v>
      </c>
      <c r="F20" s="146"/>
      <c r="G20" s="144"/>
      <c r="H20" s="145"/>
      <c r="I20" s="144"/>
      <c r="J20" s="144"/>
      <c r="K20" s="149"/>
      <c r="L20" s="144"/>
    </row>
    <row r="21" spans="2:25" x14ac:dyDescent="0.15">
      <c r="B21" s="108">
        <v>60</v>
      </c>
      <c r="C21" s="154">
        <f>COUNTIF(C2:C13,60)</f>
        <v>2</v>
      </c>
      <c r="F21" s="144" t="s">
        <v>184</v>
      </c>
      <c r="G21" s="148">
        <f>+G2+G4+G6+G8+G10+G12</f>
        <v>34496</v>
      </c>
      <c r="H21" s="144">
        <f>+G21/G22</f>
        <v>1</v>
      </c>
      <c r="I21" s="144"/>
      <c r="J21" s="144"/>
      <c r="K21" s="144"/>
      <c r="L21" s="144"/>
    </row>
    <row r="22" spans="2:25" x14ac:dyDescent="0.15">
      <c r="F22" s="163" t="s">
        <v>185</v>
      </c>
      <c r="G22" s="144">
        <f>+'[2]Hoja 1'!F51</f>
        <v>34496</v>
      </c>
      <c r="H22" s="145"/>
      <c r="I22" s="144"/>
      <c r="J22" s="144"/>
      <c r="K22" s="144"/>
      <c r="L22" s="144"/>
    </row>
    <row r="23" spans="2:25" x14ac:dyDescent="0.15">
      <c r="F23" s="144" t="s">
        <v>82</v>
      </c>
      <c r="G23" s="148">
        <f>+G3+G5+G7+G9+G11+G13</f>
        <v>86408829.25</v>
      </c>
      <c r="H23" s="144">
        <f>+G23/G24</f>
        <v>1.0017845507286698</v>
      </c>
      <c r="I23" s="144"/>
      <c r="J23" s="144"/>
      <c r="K23" s="144"/>
      <c r="L23" s="144"/>
    </row>
    <row r="24" spans="2:25" x14ac:dyDescent="0.15">
      <c r="F24" s="144" t="s">
        <v>185</v>
      </c>
      <c r="G24" s="144">
        <f>+'[2]Hoja 1'!D51</f>
        <v>86254903</v>
      </c>
      <c r="H24" s="14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1181-437A-A74D-B4CD-3F89F727B3B1}">
  <sheetPr codeName="Hoja18"/>
  <dimension ref="A1:Z35"/>
  <sheetViews>
    <sheetView workbookViewId="0">
      <selection activeCell="U3" sqref="U3"/>
    </sheetView>
  </sheetViews>
  <sheetFormatPr baseColWidth="10" defaultRowHeight="13" x14ac:dyDescent="0.15"/>
  <cols>
    <col min="1" max="1" width="4.6640625" style="108" bestFit="1" customWidth="1"/>
    <col min="2" max="2" width="15.83203125" style="108" customWidth="1"/>
    <col min="3" max="3" width="7.33203125" style="108" customWidth="1"/>
    <col min="4" max="4" width="12.33203125" style="108" bestFit="1" customWidth="1"/>
    <col min="5" max="5" width="10.83203125" style="108"/>
    <col min="6" max="6" width="18.1640625" style="108" bestFit="1" customWidth="1"/>
    <col min="7" max="7" width="15.5" style="108" bestFit="1" customWidth="1"/>
    <col min="8" max="8" width="10.83203125" style="108"/>
    <col min="9" max="11" width="12.33203125" style="108" bestFit="1" customWidth="1"/>
    <col min="12" max="19" width="10.83203125" style="108"/>
    <col min="20" max="25" width="15" style="108" customWidth="1"/>
    <col min="26" max="16384" width="10.83203125" style="108"/>
  </cols>
  <sheetData>
    <row r="1" spans="1:26" ht="15" x14ac:dyDescent="0.15">
      <c r="A1" s="207" t="s">
        <v>134</v>
      </c>
      <c r="B1" s="207" t="s">
        <v>135</v>
      </c>
      <c r="C1" s="207" t="s">
        <v>136</v>
      </c>
      <c r="D1" s="108" t="s">
        <v>87</v>
      </c>
      <c r="E1" s="108" t="s">
        <v>137</v>
      </c>
      <c r="F1" s="207" t="s">
        <v>188</v>
      </c>
      <c r="G1" s="207" t="s">
        <v>187</v>
      </c>
      <c r="H1" s="222" t="s">
        <v>151</v>
      </c>
      <c r="I1" s="222" t="s">
        <v>152</v>
      </c>
      <c r="J1" s="222" t="s">
        <v>82</v>
      </c>
      <c r="K1" s="222" t="s">
        <v>83</v>
      </c>
      <c r="Q1" s="108" t="s">
        <v>177</v>
      </c>
      <c r="R1" s="108" t="s">
        <v>178</v>
      </c>
      <c r="T1" s="140"/>
      <c r="U1" s="140"/>
      <c r="V1" s="140"/>
      <c r="W1" s="140"/>
      <c r="X1" s="140"/>
      <c r="Y1" s="140"/>
    </row>
    <row r="2" spans="1:26" x14ac:dyDescent="0.15">
      <c r="C2" s="108">
        <f>_xlfn.SWITCH(Q2,60,60,59,60,58,60,57,58,56,58,55,56,54,IF(B2&gt;$R$2,54,56))</f>
        <v>60</v>
      </c>
      <c r="D2" s="108" t="s">
        <v>91</v>
      </c>
      <c r="E2" s="108">
        <v>14400</v>
      </c>
      <c r="F2" s="108" t="s">
        <v>157</v>
      </c>
      <c r="G2" s="152">
        <v>4218.75</v>
      </c>
      <c r="H2" s="108">
        <f>E2*$U$6</f>
        <v>1.4400000000000001E-5</v>
      </c>
      <c r="I2" s="108">
        <f>_xlfn.SWITCH(C2+$U$2,54,$Z$10,55,$Y$10,56,$X$10,57,$W$10,58,$V$10,59,$U$10,$U$17)*H2</f>
        <v>4.5353203199999996E-6</v>
      </c>
      <c r="K2" s="108">
        <f>_xlfn.SWITCH(C2+$U$2,54,$Z$12,55,$Y$12,56,$X$12,57,$W$12,58,$V$12,59,$U$12,$U$19)*G2*$U$6</f>
        <v>2.8019376562500001E-7</v>
      </c>
      <c r="Q2" s="108">
        <v>60</v>
      </c>
      <c r="R2">
        <v>0.94400000572204501</v>
      </c>
      <c r="T2" s="108" t="s">
        <v>171</v>
      </c>
      <c r="U2" s="108">
        <v>1</v>
      </c>
    </row>
    <row r="3" spans="1:26" x14ac:dyDescent="0.15">
      <c r="A3" s="108">
        <v>0</v>
      </c>
      <c r="B3" s="136">
        <v>0.9440000057220459</v>
      </c>
      <c r="C3" s="108">
        <f t="shared" ref="C3:C26" si="0">_xlfn.SWITCH(Q3,60,60,59,60,58,60,57,58,56,58,55,56,54,IF(B3&gt;$R$2,54,56))</f>
        <v>54</v>
      </c>
      <c r="D3" s="108" t="s">
        <v>90</v>
      </c>
      <c r="E3" s="108">
        <v>72952</v>
      </c>
      <c r="F3" s="108" t="s">
        <v>158</v>
      </c>
      <c r="G3" s="108">
        <v>16650.75</v>
      </c>
      <c r="H3" s="108">
        <f t="shared" ref="H3:H26" si="1">E3*$U$6</f>
        <v>7.2952000000000002E-5</v>
      </c>
      <c r="I3" s="108">
        <f t="shared" ref="I3:I26" si="2">_xlfn.SWITCH(C3+$U$2,54,$Z$10,55,$Y$10,56,$X$10,57,$W$10,58,$V$10,59,$U$10,$U$17)*H3</f>
        <v>2.02311070016E-5</v>
      </c>
      <c r="J3" s="108">
        <f>_xlfn.SWITCH(C3+$U$2,54,$Z$11,55,$Y$11,56,$X$11,57,$W$11,58,$V$11,59,$U$11,$U$18)*G3*$U$6</f>
        <v>1.1278424364194499E-6</v>
      </c>
      <c r="Q3" s="108">
        <v>54</v>
      </c>
    </row>
    <row r="4" spans="1:26" x14ac:dyDescent="0.15">
      <c r="A4" s="108">
        <v>1</v>
      </c>
      <c r="B4" s="136">
        <v>0.9440000057220459</v>
      </c>
      <c r="C4" s="108">
        <f t="shared" si="0"/>
        <v>54</v>
      </c>
      <c r="D4" s="108" t="s">
        <v>90</v>
      </c>
      <c r="E4" s="108">
        <v>1555252</v>
      </c>
      <c r="F4" s="108" t="s">
        <v>161</v>
      </c>
      <c r="G4" s="152">
        <v>90000</v>
      </c>
      <c r="H4" s="108">
        <f t="shared" si="1"/>
        <v>1.555252E-3</v>
      </c>
      <c r="I4" s="108">
        <f t="shared" si="2"/>
        <v>4.3130372884159999E-4</v>
      </c>
      <c r="K4" s="108">
        <f t="shared" ref="K3:K26" si="3">_xlfn.SWITCH(C4+$U$2,54,$Z$12,55,$Y$12,56,$X$12,57,$W$12,58,$V$12,59,$U$12,$U$19)*G4*$U$6</f>
        <v>4.5979620000300003E-6</v>
      </c>
      <c r="Q4" s="108">
        <v>54</v>
      </c>
    </row>
    <row r="5" spans="1:26" x14ac:dyDescent="0.15">
      <c r="A5" s="108">
        <v>2</v>
      </c>
      <c r="B5" s="136">
        <v>0.9440000057220459</v>
      </c>
      <c r="C5" s="108">
        <f t="shared" si="0"/>
        <v>54</v>
      </c>
      <c r="D5" s="108" t="s">
        <v>92</v>
      </c>
      <c r="E5" s="108">
        <v>14400</v>
      </c>
      <c r="F5" s="108" t="s">
        <v>169</v>
      </c>
      <c r="G5" s="108">
        <v>90000</v>
      </c>
      <c r="H5" s="108">
        <f t="shared" si="1"/>
        <v>1.4400000000000001E-5</v>
      </c>
      <c r="I5" s="108">
        <f t="shared" si="2"/>
        <v>3.9934195200000003E-6</v>
      </c>
      <c r="J5" s="108">
        <f t="shared" ref="J4:J26" si="4">_xlfn.SWITCH(C5+$U$2,54,$Z$11,55,$Y$11,56,$X$11,57,$W$11,58,$V$11,59,$U$11,$U$18)*G5*$U$6</f>
        <v>6.0961709999699998E-6</v>
      </c>
      <c r="Q5" s="108">
        <v>54</v>
      </c>
      <c r="T5" s="108" t="s">
        <v>57</v>
      </c>
      <c r="U5" s="108">
        <v>1</v>
      </c>
      <c r="V5" s="108" t="s">
        <v>58</v>
      </c>
    </row>
    <row r="6" spans="1:26" x14ac:dyDescent="0.15">
      <c r="A6" s="108">
        <v>3</v>
      </c>
      <c r="B6" s="136">
        <v>0.9440000057220459</v>
      </c>
      <c r="C6" s="108">
        <f t="shared" si="0"/>
        <v>56</v>
      </c>
      <c r="D6" s="108" t="s">
        <v>90</v>
      </c>
      <c r="E6" s="108">
        <v>777652</v>
      </c>
      <c r="F6" s="108" t="s">
        <v>161</v>
      </c>
      <c r="G6" s="152">
        <v>45000</v>
      </c>
      <c r="H6" s="108">
        <f t="shared" si="1"/>
        <v>7.776520000000001E-4</v>
      </c>
      <c r="I6" s="108">
        <f t="shared" si="2"/>
        <v>2.2736491478720004E-4</v>
      </c>
      <c r="K6" s="108">
        <f t="shared" si="3"/>
        <v>2.574882E-6</v>
      </c>
      <c r="Q6" s="108">
        <v>55</v>
      </c>
      <c r="U6" s="196">
        <f>U5/1000000000</f>
        <v>1.0000000000000001E-9</v>
      </c>
      <c r="V6" s="108" t="s">
        <v>153</v>
      </c>
    </row>
    <row r="7" spans="1:26" x14ac:dyDescent="0.15">
      <c r="A7" s="108">
        <v>4</v>
      </c>
      <c r="B7" s="136">
        <v>0.92400002479553223</v>
      </c>
      <c r="C7" s="108">
        <f t="shared" si="0"/>
        <v>56</v>
      </c>
      <c r="D7" s="108" t="s">
        <v>90</v>
      </c>
      <c r="E7" s="108">
        <v>1555252</v>
      </c>
      <c r="F7" s="108" t="s">
        <v>158</v>
      </c>
      <c r="G7" s="108">
        <v>373376</v>
      </c>
      <c r="H7" s="108">
        <f t="shared" si="1"/>
        <v>1.555252E-3</v>
      </c>
      <c r="I7" s="108">
        <f t="shared" si="2"/>
        <v>4.547146261472E-4</v>
      </c>
      <c r="J7" s="108">
        <f t="shared" si="4"/>
        <v>2.7689302796800002E-5</v>
      </c>
      <c r="Q7" s="108">
        <v>54</v>
      </c>
    </row>
    <row r="8" spans="1:26" x14ac:dyDescent="0.15">
      <c r="A8" s="108">
        <v>5</v>
      </c>
      <c r="B8" s="136">
        <v>0.9440000057220459</v>
      </c>
      <c r="C8" s="108">
        <f t="shared" si="0"/>
        <v>54</v>
      </c>
      <c r="D8" s="108" t="s">
        <v>92</v>
      </c>
      <c r="E8" s="108">
        <v>7394</v>
      </c>
      <c r="F8" s="108" t="s">
        <v>159</v>
      </c>
      <c r="G8" s="152">
        <v>11552</v>
      </c>
      <c r="H8" s="108">
        <f t="shared" si="1"/>
        <v>7.3940000000000007E-6</v>
      </c>
      <c r="I8" s="108">
        <f t="shared" si="2"/>
        <v>2.0505099952000002E-6</v>
      </c>
      <c r="K8" s="108">
        <f t="shared" si="3"/>
        <v>5.9017396693718402E-7</v>
      </c>
      <c r="Q8" s="108">
        <v>54</v>
      </c>
    </row>
    <row r="9" spans="1:26" ht="14" x14ac:dyDescent="0.15">
      <c r="A9" s="108">
        <v>6</v>
      </c>
      <c r="B9" s="136">
        <v>0.9440000057220459</v>
      </c>
      <c r="C9" s="108">
        <f t="shared" si="0"/>
        <v>56</v>
      </c>
      <c r="D9" s="108" t="s">
        <v>90</v>
      </c>
      <c r="E9" s="108">
        <v>735028</v>
      </c>
      <c r="F9" s="108" t="s">
        <v>158</v>
      </c>
      <c r="G9" s="108">
        <v>462472</v>
      </c>
      <c r="H9" s="108">
        <f t="shared" si="1"/>
        <v>7.3502800000000009E-4</v>
      </c>
      <c r="I9" s="108">
        <f t="shared" si="2"/>
        <v>2.1490278246080003E-4</v>
      </c>
      <c r="J9" s="108">
        <f t="shared" si="4"/>
        <v>3.4296599789599997E-5</v>
      </c>
      <c r="Q9" s="108">
        <v>55</v>
      </c>
      <c r="T9" s="197"/>
      <c r="U9" s="197">
        <v>0.59</v>
      </c>
      <c r="V9" s="197">
        <v>0.57999999999999996</v>
      </c>
      <c r="W9" s="197">
        <v>0.56999999999999995</v>
      </c>
      <c r="X9" s="197">
        <v>0.56000000000000005</v>
      </c>
      <c r="Y9" s="197">
        <v>0.55000000000000004</v>
      </c>
      <c r="Z9" s="144">
        <v>0.54</v>
      </c>
    </row>
    <row r="10" spans="1:26" x14ac:dyDescent="0.15">
      <c r="A10" s="108">
        <v>7</v>
      </c>
      <c r="B10" s="136">
        <v>0.90799999237060547</v>
      </c>
      <c r="C10" s="108">
        <f t="shared" si="0"/>
        <v>56</v>
      </c>
      <c r="D10" s="108" t="s">
        <v>90</v>
      </c>
      <c r="E10" s="108">
        <v>1470004</v>
      </c>
      <c r="F10" s="108" t="s">
        <v>161</v>
      </c>
      <c r="G10" s="152">
        <v>23104</v>
      </c>
      <c r="H10" s="108">
        <f t="shared" si="1"/>
        <v>1.470004E-3</v>
      </c>
      <c r="I10" s="108">
        <f t="shared" si="2"/>
        <v>4.297903614944E-4</v>
      </c>
      <c r="K10" s="108">
        <f t="shared" si="3"/>
        <v>1.3220016384000001E-6</v>
      </c>
      <c r="Q10" s="108">
        <v>54</v>
      </c>
      <c r="T10" s="197" t="s">
        <v>46</v>
      </c>
      <c r="U10" s="198">
        <v>0.30742639999999999</v>
      </c>
      <c r="V10" s="198">
        <v>0.2999</v>
      </c>
      <c r="W10" s="198">
        <v>0.29237360000000001</v>
      </c>
      <c r="X10" s="198">
        <v>0.28484720000000002</v>
      </c>
      <c r="Y10" s="198">
        <v>0.27732079999999998</v>
      </c>
      <c r="Z10" s="93">
        <v>0.26979439999999999</v>
      </c>
    </row>
    <row r="11" spans="1:26" x14ac:dyDescent="0.15">
      <c r="A11" s="108">
        <v>8</v>
      </c>
      <c r="B11" s="136">
        <v>0.9440000057220459</v>
      </c>
      <c r="C11" s="108">
        <f t="shared" si="0"/>
        <v>54</v>
      </c>
      <c r="D11" s="108" t="s">
        <v>90</v>
      </c>
      <c r="E11" s="108">
        <v>1470004</v>
      </c>
      <c r="F11" s="108" t="s">
        <v>158</v>
      </c>
      <c r="G11" s="108">
        <v>560712</v>
      </c>
      <c r="H11" s="108">
        <f t="shared" si="1"/>
        <v>1.470004E-3</v>
      </c>
      <c r="I11" s="108">
        <f t="shared" si="2"/>
        <v>4.0766268528319997E-4</v>
      </c>
      <c r="J11" s="108">
        <f t="shared" si="4"/>
        <v>3.7979958152613095E-5</v>
      </c>
      <c r="Q11" s="108">
        <v>54</v>
      </c>
      <c r="T11" s="197" t="s">
        <v>48</v>
      </c>
      <c r="U11" s="198">
        <v>8.0583366670000003E-2</v>
      </c>
      <c r="V11" s="198">
        <v>7.737133333E-2</v>
      </c>
      <c r="W11" s="198">
        <v>7.4159299999999997E-2</v>
      </c>
      <c r="X11" s="198">
        <v>7.0947266667000006E-2</v>
      </c>
      <c r="Y11" s="198">
        <v>6.7735233332999994E-2</v>
      </c>
      <c r="Z11" s="93">
        <v>6.4523200000000003E-2</v>
      </c>
    </row>
    <row r="12" spans="1:26" x14ac:dyDescent="0.15">
      <c r="A12" s="108">
        <v>9</v>
      </c>
      <c r="B12" s="136">
        <v>0.9440000057220459</v>
      </c>
      <c r="C12" s="108">
        <f t="shared" si="0"/>
        <v>54</v>
      </c>
      <c r="D12" s="108" t="s">
        <v>90</v>
      </c>
      <c r="E12" s="108">
        <v>1470004</v>
      </c>
      <c r="F12" s="108" t="s">
        <v>161</v>
      </c>
      <c r="G12" s="152">
        <v>23104</v>
      </c>
      <c r="H12" s="108">
        <f t="shared" si="1"/>
        <v>1.470004E-3</v>
      </c>
      <c r="I12" s="108">
        <f t="shared" si="2"/>
        <v>4.0766268528319997E-4</v>
      </c>
      <c r="K12" s="108">
        <f t="shared" si="3"/>
        <v>1.180347933874368E-6</v>
      </c>
      <c r="Q12" s="108">
        <v>54</v>
      </c>
      <c r="T12" s="197" t="s">
        <v>49</v>
      </c>
      <c r="U12" s="198">
        <v>6.3350733330000006E-2</v>
      </c>
      <c r="V12" s="198">
        <v>6.0285166666700002E-2</v>
      </c>
      <c r="W12" s="198">
        <v>5.7219600000000002E-2</v>
      </c>
      <c r="X12" s="198">
        <v>5.4154033329999997E-2</v>
      </c>
      <c r="Y12" s="198">
        <v>5.1088466667000003E-2</v>
      </c>
      <c r="Z12" s="93">
        <v>4.80229E-2</v>
      </c>
    </row>
    <row r="13" spans="1:26" x14ac:dyDescent="0.15">
      <c r="A13" s="108">
        <v>10</v>
      </c>
      <c r="B13" s="136">
        <v>0.9440000057220459</v>
      </c>
      <c r="C13" s="108">
        <f t="shared" si="0"/>
        <v>54</v>
      </c>
      <c r="D13" s="108" t="s">
        <v>92</v>
      </c>
      <c r="E13" s="108">
        <v>3697</v>
      </c>
      <c r="F13" s="108" t="s">
        <v>169</v>
      </c>
      <c r="G13" s="108">
        <v>23104</v>
      </c>
      <c r="H13" s="108">
        <f t="shared" si="1"/>
        <v>3.6970000000000003E-6</v>
      </c>
      <c r="I13" s="108">
        <f t="shared" si="2"/>
        <v>1.0252549976000001E-6</v>
      </c>
      <c r="J13" s="108">
        <f t="shared" si="4"/>
        <v>1.5649548309256318E-6</v>
      </c>
      <c r="Q13" s="108">
        <v>54</v>
      </c>
    </row>
    <row r="14" spans="1:26" x14ac:dyDescent="0.15">
      <c r="A14" s="108">
        <v>11</v>
      </c>
      <c r="B14" s="136">
        <v>0.9440000057220459</v>
      </c>
      <c r="C14" s="108">
        <f t="shared" si="0"/>
        <v>54</v>
      </c>
      <c r="D14" s="108" t="s">
        <v>90</v>
      </c>
      <c r="E14" s="108">
        <v>725812</v>
      </c>
      <c r="F14" s="108" t="s">
        <v>161</v>
      </c>
      <c r="G14" s="152">
        <v>11552</v>
      </c>
      <c r="H14" s="108">
        <f t="shared" si="1"/>
        <v>7.2581200000000005E-4</v>
      </c>
      <c r="I14" s="108">
        <f t="shared" si="2"/>
        <v>2.0128276448959999E-4</v>
      </c>
      <c r="K14" s="108">
        <f t="shared" si="3"/>
        <v>5.9017396693718402E-7</v>
      </c>
      <c r="Q14" s="108">
        <v>54</v>
      </c>
    </row>
    <row r="15" spans="1:26" x14ac:dyDescent="0.15">
      <c r="A15" s="108">
        <v>12</v>
      </c>
      <c r="B15" s="136">
        <v>0.9440000057220459</v>
      </c>
      <c r="C15" s="108">
        <f t="shared" si="0"/>
        <v>58</v>
      </c>
      <c r="D15" s="108" t="s">
        <v>90</v>
      </c>
      <c r="E15" s="108">
        <v>1451572</v>
      </c>
      <c r="F15" s="108" t="s">
        <v>158</v>
      </c>
      <c r="G15" s="108">
        <v>747880</v>
      </c>
      <c r="H15" s="108">
        <f t="shared" si="1"/>
        <v>1.4515720000000001E-3</v>
      </c>
      <c r="I15" s="108">
        <f t="shared" si="2"/>
        <v>4.4625155430080002E-4</v>
      </c>
      <c r="J15" s="108">
        <f t="shared" si="4"/>
        <v>6.0266688265159609E-5</v>
      </c>
      <c r="Q15" s="108">
        <v>56</v>
      </c>
      <c r="T15" s="108" t="s">
        <v>45</v>
      </c>
      <c r="U15" s="108" t="s">
        <v>9</v>
      </c>
    </row>
    <row r="16" spans="1:26" x14ac:dyDescent="0.15">
      <c r="A16" s="108">
        <v>13</v>
      </c>
      <c r="B16" s="136">
        <v>0.80800002813339233</v>
      </c>
      <c r="C16" s="108">
        <f t="shared" si="0"/>
        <v>56</v>
      </c>
      <c r="D16" s="108" t="s">
        <v>90</v>
      </c>
      <c r="E16" s="108">
        <v>1451572</v>
      </c>
      <c r="F16" s="108" t="s">
        <v>161</v>
      </c>
      <c r="G16" s="152">
        <v>11552</v>
      </c>
      <c r="H16" s="108">
        <f t="shared" si="1"/>
        <v>1.4515720000000001E-3</v>
      </c>
      <c r="I16" s="108">
        <f t="shared" si="2"/>
        <v>4.2440133129920007E-4</v>
      </c>
      <c r="K16" s="108">
        <f t="shared" si="3"/>
        <v>6.6100081920000005E-7</v>
      </c>
      <c r="Q16" s="108">
        <v>54</v>
      </c>
      <c r="T16" s="108" t="s">
        <v>102</v>
      </c>
      <c r="U16" s="199">
        <v>3.1</v>
      </c>
    </row>
    <row r="17" spans="1:21" x14ac:dyDescent="0.15">
      <c r="A17" s="108">
        <v>14</v>
      </c>
      <c r="B17" s="136">
        <v>0.9440000057220459</v>
      </c>
      <c r="C17" s="108">
        <f t="shared" si="0"/>
        <v>54</v>
      </c>
      <c r="D17" s="108" t="s">
        <v>90</v>
      </c>
      <c r="E17" s="108">
        <v>1451572</v>
      </c>
      <c r="F17" s="108" t="s">
        <v>158</v>
      </c>
      <c r="G17" s="108">
        <v>758216</v>
      </c>
      <c r="H17" s="108">
        <f t="shared" si="1"/>
        <v>1.4515720000000001E-3</v>
      </c>
      <c r="I17" s="108">
        <f t="shared" si="2"/>
        <v>4.0255110829760002E-4</v>
      </c>
      <c r="J17" s="108">
        <f t="shared" si="4"/>
        <v>5.1357937676813931E-5</v>
      </c>
      <c r="Q17" s="108">
        <v>54</v>
      </c>
      <c r="T17" s="108" t="s">
        <v>46</v>
      </c>
      <c r="U17" s="199">
        <v>0.31495279999999998</v>
      </c>
    </row>
    <row r="18" spans="1:21" x14ac:dyDescent="0.15">
      <c r="A18" s="108">
        <v>15</v>
      </c>
      <c r="B18" s="136">
        <v>0.9440000057220459</v>
      </c>
      <c r="C18" s="108">
        <f t="shared" si="0"/>
        <v>54</v>
      </c>
      <c r="D18" s="108" t="s">
        <v>92</v>
      </c>
      <c r="E18" s="108">
        <v>2048</v>
      </c>
      <c r="F18" s="108" t="s">
        <v>159</v>
      </c>
      <c r="G18" s="152">
        <v>3200</v>
      </c>
      <c r="H18" s="108">
        <f t="shared" si="1"/>
        <v>2.0480000000000001E-6</v>
      </c>
      <c r="I18" s="108">
        <f t="shared" si="2"/>
        <v>5.6795299839999995E-7</v>
      </c>
      <c r="K18" s="108">
        <f t="shared" si="3"/>
        <v>1.6348309333440001E-7</v>
      </c>
      <c r="Q18" s="108">
        <v>54</v>
      </c>
      <c r="T18" s="108" t="s">
        <v>48</v>
      </c>
      <c r="U18" s="199">
        <v>8.3795400000000006E-2</v>
      </c>
    </row>
    <row r="19" spans="1:21" x14ac:dyDescent="0.15">
      <c r="A19" s="108">
        <v>16</v>
      </c>
      <c r="B19" s="136">
        <v>0.9440000057220459</v>
      </c>
      <c r="C19" s="108">
        <f t="shared" si="0"/>
        <v>54</v>
      </c>
      <c r="D19" s="108" t="s">
        <v>90</v>
      </c>
      <c r="E19" s="108">
        <v>387124</v>
      </c>
      <c r="F19" s="108" t="s">
        <v>158</v>
      </c>
      <c r="G19" s="108">
        <v>755656</v>
      </c>
      <c r="H19" s="108">
        <f t="shared" si="1"/>
        <v>3.8712400000000003E-4</v>
      </c>
      <c r="I19" s="108">
        <f t="shared" si="2"/>
        <v>1.073575373792E-4</v>
      </c>
      <c r="J19" s="108">
        <f t="shared" si="4"/>
        <v>5.1184535479481445E-5</v>
      </c>
      <c r="Q19" s="108">
        <v>54</v>
      </c>
      <c r="T19" s="108" t="s">
        <v>49</v>
      </c>
      <c r="U19" s="199">
        <v>6.6416299999999998E-2</v>
      </c>
    </row>
    <row r="20" spans="1:21" x14ac:dyDescent="0.15">
      <c r="A20" s="108">
        <v>17</v>
      </c>
      <c r="B20" s="136">
        <v>0.9440000057220459</v>
      </c>
      <c r="C20" s="108">
        <f t="shared" si="0"/>
        <v>58</v>
      </c>
      <c r="D20" s="108" t="s">
        <v>90</v>
      </c>
      <c r="E20" s="108">
        <v>387124</v>
      </c>
      <c r="F20" s="108" t="s">
        <v>161</v>
      </c>
      <c r="G20" s="152">
        <v>3200</v>
      </c>
      <c r="H20" s="108">
        <f t="shared" si="1"/>
        <v>3.8712400000000003E-4</v>
      </c>
      <c r="I20" s="108">
        <f t="shared" si="2"/>
        <v>1.1901213767360001E-4</v>
      </c>
      <c r="K20" s="108">
        <f t="shared" si="3"/>
        <v>2.0272234665600004E-7</v>
      </c>
      <c r="Q20" s="108">
        <v>56</v>
      </c>
    </row>
    <row r="21" spans="1:21" x14ac:dyDescent="0.15">
      <c r="A21" s="108">
        <v>18</v>
      </c>
      <c r="B21" s="136">
        <v>0.81599998474121094</v>
      </c>
      <c r="C21" s="108">
        <f t="shared" si="0"/>
        <v>56</v>
      </c>
      <c r="D21" s="108" t="s">
        <v>90</v>
      </c>
      <c r="E21" s="108">
        <v>387124</v>
      </c>
      <c r="F21" s="108" t="s">
        <v>158</v>
      </c>
      <c r="G21" s="108">
        <v>755368</v>
      </c>
      <c r="H21" s="108">
        <f t="shared" si="1"/>
        <v>3.8712400000000003E-4</v>
      </c>
      <c r="I21" s="108">
        <f t="shared" si="2"/>
        <v>1.1318483752640002E-4</v>
      </c>
      <c r="J21" s="108">
        <f t="shared" si="4"/>
        <v>5.6017562122400001E-5</v>
      </c>
      <c r="Q21" s="108">
        <v>54</v>
      </c>
    </row>
    <row r="22" spans="1:21" x14ac:dyDescent="0.15">
      <c r="A22" s="108">
        <v>19</v>
      </c>
      <c r="B22" s="136">
        <v>0.9440000057220459</v>
      </c>
      <c r="C22" s="108">
        <f t="shared" si="0"/>
        <v>54</v>
      </c>
      <c r="D22" s="108" t="s">
        <v>90</v>
      </c>
      <c r="E22" s="108">
        <v>387124</v>
      </c>
      <c r="F22" s="108" t="s">
        <v>161</v>
      </c>
      <c r="G22" s="152">
        <v>3200</v>
      </c>
      <c r="H22" s="108">
        <f t="shared" si="1"/>
        <v>3.8712400000000003E-4</v>
      </c>
      <c r="I22" s="108">
        <f t="shared" si="2"/>
        <v>1.073575373792E-4</v>
      </c>
      <c r="K22" s="108">
        <f t="shared" si="3"/>
        <v>1.6348309333440001E-7</v>
      </c>
      <c r="Q22" s="108">
        <v>54</v>
      </c>
    </row>
    <row r="23" spans="1:21" x14ac:dyDescent="0.15">
      <c r="A23" s="108">
        <v>20</v>
      </c>
      <c r="B23" s="136">
        <v>0.9440000057220459</v>
      </c>
      <c r="C23" s="108">
        <f t="shared" si="0"/>
        <v>54</v>
      </c>
      <c r="D23" s="108" t="s">
        <v>92</v>
      </c>
      <c r="E23" s="108">
        <v>512</v>
      </c>
      <c r="F23" s="108" t="s">
        <v>169</v>
      </c>
      <c r="G23" s="108">
        <v>3200</v>
      </c>
      <c r="H23" s="108">
        <f t="shared" si="1"/>
        <v>5.1200000000000003E-7</v>
      </c>
      <c r="I23" s="108">
        <f t="shared" si="2"/>
        <v>1.4198824959999999E-7</v>
      </c>
      <c r="J23" s="108">
        <f t="shared" si="4"/>
        <v>2.1675274666559999E-7</v>
      </c>
      <c r="Q23" s="108">
        <v>54</v>
      </c>
    </row>
    <row r="24" spans="1:21" x14ac:dyDescent="0.15">
      <c r="A24" s="108">
        <v>21</v>
      </c>
      <c r="B24" s="136">
        <v>0.9440000057220459</v>
      </c>
      <c r="C24" s="108">
        <f t="shared" si="0"/>
        <v>54</v>
      </c>
      <c r="D24" s="108" t="s">
        <v>93</v>
      </c>
      <c r="E24" s="108">
        <v>89602</v>
      </c>
      <c r="F24" s="108" t="s">
        <v>167</v>
      </c>
      <c r="G24" s="152">
        <v>256</v>
      </c>
      <c r="H24" s="108">
        <f t="shared" si="1"/>
        <v>8.9602E-5</v>
      </c>
      <c r="I24" s="108">
        <f t="shared" si="2"/>
        <v>2.4848498321599998E-5</v>
      </c>
      <c r="K24" s="108">
        <f t="shared" si="3"/>
        <v>1.3078647466752002E-8</v>
      </c>
      <c r="Q24" s="108">
        <v>54</v>
      </c>
    </row>
    <row r="25" spans="1:21" x14ac:dyDescent="0.15">
      <c r="A25" s="108">
        <v>22</v>
      </c>
      <c r="B25" s="136">
        <v>0.9440000057220459</v>
      </c>
      <c r="C25" s="108">
        <f t="shared" si="0"/>
        <v>56</v>
      </c>
      <c r="D25" s="108" t="s">
        <v>93</v>
      </c>
      <c r="E25" s="108">
        <v>28674</v>
      </c>
      <c r="F25" s="108" t="s">
        <v>183</v>
      </c>
      <c r="G25" s="108">
        <v>17535784</v>
      </c>
      <c r="H25" s="108">
        <f t="shared" si="1"/>
        <v>2.8674E-5</v>
      </c>
      <c r="I25" s="108">
        <f t="shared" si="2"/>
        <v>8.383520606400001E-6</v>
      </c>
      <c r="J25" s="108">
        <f t="shared" si="4"/>
        <v>1.3004414663912E-3</v>
      </c>
      <c r="Q25" s="108">
        <v>55</v>
      </c>
    </row>
    <row r="26" spans="1:21" x14ac:dyDescent="0.15">
      <c r="A26" s="108">
        <v>23</v>
      </c>
      <c r="B26" s="136">
        <v>0.63999998569488525</v>
      </c>
      <c r="C26" s="108">
        <f t="shared" si="0"/>
        <v>56</v>
      </c>
      <c r="D26" s="108" t="s">
        <v>93</v>
      </c>
      <c r="E26" s="108">
        <v>1</v>
      </c>
      <c r="F26" s="108" t="s">
        <v>167</v>
      </c>
      <c r="G26" s="152">
        <v>0.5</v>
      </c>
      <c r="H26" s="108">
        <f t="shared" si="1"/>
        <v>1.0000000000000001E-9</v>
      </c>
      <c r="I26" s="108">
        <f t="shared" si="2"/>
        <v>2.923736E-10</v>
      </c>
      <c r="K26" s="108">
        <f t="shared" si="3"/>
        <v>2.8609800000000003E-11</v>
      </c>
      <c r="Q26" s="108">
        <v>54</v>
      </c>
    </row>
    <row r="27" spans="1:21" x14ac:dyDescent="0.15">
      <c r="B27" s="136"/>
      <c r="C27" s="108">
        <f>SUM(C2:C26)</f>
        <v>1380</v>
      </c>
      <c r="E27" s="108">
        <f>SUM(E2:E26)</f>
        <v>15895900</v>
      </c>
      <c r="H27" s="108" t="s">
        <v>154</v>
      </c>
      <c r="I27" s="108">
        <f>SUM(I2:I26)</f>
        <v>4.5605784570272E-3</v>
      </c>
      <c r="J27" s="108">
        <f>SUM(J2:J26)</f>
        <v>1.6282397716880488E-3</v>
      </c>
      <c r="K27" s="108">
        <f t="shared" ref="J27:K27" si="5">SUM(K2:K26)</f>
        <v>1.2339531881595289E-5</v>
      </c>
      <c r="Q27" s="108">
        <f>SUM(Q2:Q26)</f>
        <v>1363</v>
      </c>
    </row>
    <row r="28" spans="1:21" x14ac:dyDescent="0.15">
      <c r="B28" s="136"/>
    </row>
    <row r="29" spans="1:21" x14ac:dyDescent="0.15">
      <c r="B29" s="136"/>
    </row>
    <row r="30" spans="1:21" x14ac:dyDescent="0.15">
      <c r="B30" s="136"/>
    </row>
    <row r="31" spans="1:21" x14ac:dyDescent="0.15">
      <c r="B31" s="108" t="s">
        <v>199</v>
      </c>
    </row>
    <row r="32" spans="1:21" x14ac:dyDescent="0.15">
      <c r="B32" s="108">
        <v>54</v>
      </c>
      <c r="C32" s="108">
        <f>COUNTIF(C2:C26,54)</f>
        <v>14</v>
      </c>
      <c r="F32" s="108" t="s">
        <v>184</v>
      </c>
      <c r="G32" s="108" t="e">
        <f ca="1">+Sumarcolor_fuente(G26,G2:G26)</f>
        <v>#NAME?</v>
      </c>
      <c r="H32" s="108">
        <v>1</v>
      </c>
    </row>
    <row r="33" spans="2:8" x14ac:dyDescent="0.15">
      <c r="B33" s="108">
        <v>56</v>
      </c>
      <c r="C33" s="108">
        <f>COUNTIF(C2:C26,56)</f>
        <v>8</v>
      </c>
      <c r="F33" s="108" t="s">
        <v>185</v>
      </c>
      <c r="G33" s="206">
        <f>+'[2]Hoja 1'!F55</f>
        <v>229939.25</v>
      </c>
    </row>
    <row r="34" spans="2:8" x14ac:dyDescent="0.15">
      <c r="B34" s="108">
        <v>58</v>
      </c>
      <c r="C34" s="108">
        <f>COUNTIF(C2:C26,58)</f>
        <v>2</v>
      </c>
      <c r="F34" s="108" t="s">
        <v>82</v>
      </c>
      <c r="G34" s="205" t="e">
        <f ca="1">+Sumarcolor_fuente(G25,G2:G26)</f>
        <v>#NAME?</v>
      </c>
      <c r="H34" s="108" t="e">
        <f ca="1">+G34/G35</f>
        <v>#NAME?</v>
      </c>
    </row>
    <row r="35" spans="2:8" ht="16" x14ac:dyDescent="0.15">
      <c r="B35" s="108">
        <v>60</v>
      </c>
      <c r="C35" s="108">
        <f>COUNTIF(C2:C26,60)</f>
        <v>1</v>
      </c>
      <c r="F35" s="108" t="s">
        <v>185</v>
      </c>
      <c r="G35" s="204">
        <f>+'[2]Hoja 1'!D55</f>
        <v>17560248</v>
      </c>
    </row>
  </sheetData>
  <autoFilter ref="F1:F35" xr:uid="{ADEC8251-4219-2D45-B464-31C2ED2FED78}"/>
  <conditionalFormatting sqref="F1:F65536">
    <cfRule type="containsText" dxfId="10" priority="1" stopIfTrue="1" operator="containsText" text="write">
      <formula>NOT(ISERROR(SEARCH("write",F1)))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Graficar</vt:lpstr>
      <vt:lpstr>escrituras</vt:lpstr>
      <vt:lpstr>Hoja 1</vt:lpstr>
      <vt:lpstr>PC_Alex</vt:lpstr>
      <vt:lpstr>PC_Mobile</vt:lpstr>
      <vt:lpstr>PC_Squeez</vt:lpstr>
      <vt:lpstr>PC_VGG16</vt:lpstr>
      <vt:lpstr>PC_ZF</vt:lpstr>
      <vt:lpstr>PC_VGG19</vt:lpstr>
      <vt:lpstr>PC_Dense</vt:lpstr>
      <vt:lpstr>PC_Res</vt:lpstr>
      <vt:lpstr>PC_Inception</vt:lpstr>
      <vt:lpstr>PC_Xception</vt:lpstr>
      <vt:lpstr>VBW_Lect_Esc_PE_16</vt:lpstr>
      <vt:lpstr>AlexNet</vt:lpstr>
      <vt:lpstr>SqueezNet</vt:lpstr>
      <vt:lpstr>DenseNet</vt:lpstr>
      <vt:lpstr>MobileNet</vt:lpstr>
      <vt:lpstr>VGG16</vt:lpstr>
      <vt:lpstr>ZFNet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yamitok</dc:creator>
  <cp:lastModifiedBy>Microsoft Office User</cp:lastModifiedBy>
  <dcterms:created xsi:type="dcterms:W3CDTF">2023-03-09T13:43:39Z</dcterms:created>
  <dcterms:modified xsi:type="dcterms:W3CDTF">2023-07-10T10:03:10Z</dcterms:modified>
</cp:coreProperties>
</file>