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updateLinks="never" hidePivotFieldList="1"/>
  <mc:AlternateContent xmlns:mc="http://schemas.openxmlformats.org/markup-compatibility/2006">
    <mc:Choice Requires="x15">
      <x15ac:absPath xmlns:x15ac="http://schemas.microsoft.com/office/spreadsheetml/2010/11/ac" url="https://cdfw-my.sharepoint.com/personal/john_ugoretz_wildlife_ca_gov/Documents/Desktop/John Ugoretz/Sharks/AttackDatabase/"/>
    </mc:Choice>
  </mc:AlternateContent>
  <xr:revisionPtr revIDLastSave="2679" documentId="8_{639958B3-7534-4006-90C1-AF4F54DEE04D}" xr6:coauthVersionLast="47" xr6:coauthVersionMax="47" xr10:uidLastSave="{6CA30F94-12C9-44C7-B30B-E4623435D1EE}"/>
  <bookViews>
    <workbookView xWindow="-120" yWindow="-120" windowWidth="20730" windowHeight="11160" tabRatio="789" xr2:uid="{00000000-000D-0000-FFFF-FFFF00000000}"/>
  </bookViews>
  <sheets>
    <sheet name="Attacks_1950_2021" sheetId="1" r:id="rId1"/>
    <sheet name="WhiteSharks" sheetId="2" r:id="rId2"/>
    <sheet name="Fatalities" sheetId="3" r:id="rId3"/>
    <sheet name="Counties" sheetId="4" r:id="rId4"/>
    <sheet name="Year" sheetId="6" r:id="rId5"/>
    <sheet name="Species" sheetId="7" r:id="rId6"/>
    <sheet name="Activity" sheetId="8" r:id="rId7"/>
    <sheet name="Month" sheetId="9" r:id="rId8"/>
    <sheet name="TimeofDay" sheetId="13" r:id="rId9"/>
    <sheet name="Moon Phase" sheetId="14" r:id="rId10"/>
    <sheet name="GIS_All_Incidents" sheetId="10" r:id="rId11"/>
    <sheet name="GIS_Injuries" sheetId="12" r:id="rId12"/>
    <sheet name="GIS_Fatalities" sheetId="11" r:id="rId13"/>
  </sheets>
  <externalReferences>
    <externalReference r:id="rId14"/>
  </externalReferences>
  <definedNames>
    <definedName name="_xlnm._FilterDatabase" localSheetId="0" hidden="1">Attacks_1950_2021!$A$1:$N$216</definedName>
    <definedName name="_xlnm._FilterDatabase" localSheetId="10" hidden="1">GIS_All_Incidents!$A$1:$M$187</definedName>
    <definedName name="_xlnm._FilterDatabase" localSheetId="11" hidden="1">GIS_Injuries!$A$1:$M$174</definedName>
    <definedName name="_xlnm._FilterDatabase" localSheetId="9" hidden="1">'Moon Phase'!$A$2:$E$204</definedName>
    <definedName name="_xlnm._FilterDatabase" localSheetId="1" hidden="1">WhiteSharks!$A$1:$I$164</definedName>
    <definedName name="County">[1]County!$A$1:$A$19</definedName>
    <definedName name="Injury">[1]InjuryTypes!$A$1:$A$5</definedName>
    <definedName name="Mode">[1]Mode!$A$1:$A$10</definedName>
  </definedName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6" i="14" l="1"/>
  <c r="AB5" i="14"/>
  <c r="AB4" i="14"/>
  <c r="AB3" i="14"/>
  <c r="AB2" i="14"/>
  <c r="L26" i="13"/>
  <c r="L25" i="13"/>
  <c r="L24" i="13"/>
  <c r="L23" i="13"/>
  <c r="L22" i="13"/>
  <c r="L21" i="13"/>
  <c r="L20" i="13"/>
  <c r="L19" i="13"/>
  <c r="L18" i="13"/>
  <c r="L17" i="13"/>
  <c r="L16" i="13"/>
  <c r="L15" i="13"/>
  <c r="L14" i="13"/>
  <c r="L13" i="13"/>
  <c r="L12" i="13"/>
  <c r="L11" i="13"/>
  <c r="L10" i="13"/>
  <c r="L9" i="13"/>
  <c r="L8" i="13"/>
  <c r="L7" i="13"/>
  <c r="L6" i="13"/>
  <c r="L5" i="13"/>
  <c r="L4" i="13"/>
  <c r="L3" i="13"/>
  <c r="R110" i="14"/>
  <c r="R109" i="14"/>
  <c r="R108" i="14"/>
  <c r="R107" i="14"/>
  <c r="R106" i="14"/>
  <c r="R105" i="14"/>
  <c r="R104" i="14"/>
  <c r="R103" i="14"/>
  <c r="R102" i="14"/>
  <c r="R101" i="14"/>
  <c r="R100" i="14"/>
  <c r="R99" i="14"/>
  <c r="R98" i="14"/>
  <c r="R97" i="14"/>
  <c r="R96" i="14"/>
  <c r="R95" i="14"/>
  <c r="R94" i="14"/>
  <c r="R93" i="14"/>
  <c r="R92" i="14"/>
  <c r="R91" i="14"/>
  <c r="R90" i="14"/>
  <c r="R89" i="14"/>
  <c r="R88" i="14"/>
  <c r="R87" i="14"/>
  <c r="R86" i="14"/>
  <c r="R85" i="14"/>
  <c r="R84" i="14"/>
  <c r="R83" i="14"/>
  <c r="R82" i="14"/>
  <c r="R81" i="14"/>
  <c r="R80" i="14"/>
  <c r="R79" i="14"/>
  <c r="R78" i="14"/>
  <c r="R77" i="14"/>
  <c r="R76" i="14"/>
  <c r="R75" i="14"/>
  <c r="R74" i="14"/>
  <c r="R73" i="14"/>
  <c r="R72" i="14"/>
  <c r="R71" i="14"/>
  <c r="R70" i="14"/>
  <c r="R69" i="14"/>
  <c r="R68" i="14"/>
  <c r="R67" i="14"/>
  <c r="R66" i="14"/>
  <c r="R65" i="14"/>
  <c r="R64" i="14"/>
  <c r="R63" i="14"/>
  <c r="R62" i="14"/>
  <c r="R61" i="14"/>
  <c r="R60" i="14"/>
  <c r="R59" i="14"/>
  <c r="R58" i="14"/>
  <c r="R57" i="14"/>
  <c r="R56" i="14"/>
  <c r="R55" i="14"/>
  <c r="R54" i="14"/>
  <c r="R53" i="14"/>
  <c r="R52" i="14"/>
  <c r="R51" i="14"/>
  <c r="R50" i="14"/>
  <c r="R49" i="14"/>
  <c r="R48" i="14"/>
  <c r="R47" i="14"/>
  <c r="R46" i="14"/>
  <c r="R45" i="14"/>
  <c r="R44" i="14"/>
  <c r="R43" i="14"/>
  <c r="R42" i="14"/>
  <c r="R41" i="14"/>
  <c r="R40" i="14"/>
  <c r="R39" i="14"/>
  <c r="R38" i="14"/>
  <c r="R37" i="14"/>
  <c r="R36" i="14"/>
  <c r="R35" i="14"/>
  <c r="R34" i="14"/>
  <c r="R33" i="14"/>
  <c r="R32" i="14"/>
  <c r="R31" i="14"/>
  <c r="R30" i="14"/>
  <c r="R29" i="14"/>
  <c r="R28" i="14"/>
  <c r="R27" i="14"/>
  <c r="R26" i="14"/>
  <c r="R25" i="14"/>
  <c r="R24" i="14"/>
  <c r="R23" i="14"/>
  <c r="R22" i="14"/>
  <c r="R21" i="14"/>
  <c r="R20" i="14"/>
  <c r="R19" i="14"/>
  <c r="R18" i="14"/>
  <c r="R17" i="14"/>
  <c r="R16" i="14"/>
  <c r="R15" i="14"/>
  <c r="R14" i="14"/>
  <c r="R13" i="14"/>
  <c r="R12" i="14"/>
  <c r="R11" i="14"/>
  <c r="R10" i="14"/>
  <c r="R9" i="14"/>
  <c r="R8" i="14"/>
  <c r="R7" i="14"/>
  <c r="R6" i="14"/>
  <c r="R5" i="14"/>
  <c r="R4" i="14"/>
  <c r="R3" i="14"/>
  <c r="T127" i="14"/>
  <c r="T128" i="14"/>
  <c r="T129" i="14"/>
  <c r="K81" i="14"/>
  <c r="K80" i="14"/>
  <c r="K79" i="14"/>
  <c r="K78" i="14"/>
  <c r="K77" i="14"/>
  <c r="K76" i="14"/>
  <c r="K75" i="14"/>
  <c r="K74" i="14"/>
  <c r="K73" i="14"/>
  <c r="K72" i="14"/>
  <c r="K71" i="14"/>
  <c r="K70" i="14"/>
  <c r="K69" i="14"/>
  <c r="K68" i="14"/>
  <c r="K67" i="14"/>
  <c r="K66" i="14"/>
  <c r="K65" i="14"/>
  <c r="K64" i="14"/>
  <c r="K63" i="14"/>
  <c r="K62" i="14"/>
  <c r="K61" i="14"/>
  <c r="K60" i="14"/>
  <c r="K59" i="14"/>
  <c r="K58" i="14"/>
  <c r="K57" i="14"/>
  <c r="K56" i="14"/>
  <c r="K55" i="14"/>
  <c r="K54" i="14"/>
  <c r="K53" i="14"/>
  <c r="K52" i="14"/>
  <c r="K51" i="14"/>
  <c r="K50" i="14"/>
  <c r="K49" i="14"/>
  <c r="K48" i="14"/>
  <c r="K47" i="14"/>
  <c r="K46" i="14"/>
  <c r="K45" i="14"/>
  <c r="K44" i="14"/>
  <c r="K43" i="14"/>
  <c r="K42" i="14"/>
  <c r="K41" i="14"/>
  <c r="K40" i="14"/>
  <c r="K39" i="14"/>
  <c r="K38" i="14"/>
  <c r="K37" i="14"/>
  <c r="K36" i="14"/>
  <c r="K35" i="14"/>
  <c r="K34" i="14"/>
  <c r="K33" i="14"/>
  <c r="K32" i="14"/>
  <c r="K31" i="14"/>
  <c r="K30" i="14"/>
  <c r="K29" i="14"/>
  <c r="K28" i="14"/>
  <c r="K27" i="14"/>
  <c r="K26" i="14"/>
  <c r="K25" i="14"/>
  <c r="K24" i="14"/>
  <c r="K23" i="14"/>
  <c r="K22" i="14"/>
  <c r="K21" i="14"/>
  <c r="K20" i="14"/>
  <c r="K19" i="14"/>
  <c r="K18" i="14"/>
  <c r="K17" i="14"/>
  <c r="K16" i="14"/>
  <c r="K15" i="14"/>
  <c r="K14" i="14"/>
  <c r="K13" i="14"/>
  <c r="K12" i="14"/>
  <c r="K11" i="14"/>
  <c r="K10" i="14"/>
  <c r="K9" i="14"/>
  <c r="K8" i="14"/>
  <c r="K7" i="14"/>
  <c r="K6" i="14"/>
  <c r="K5" i="14"/>
  <c r="K4" i="14"/>
  <c r="K3" i="14"/>
  <c r="Y17" i="14"/>
  <c r="Y16" i="14"/>
  <c r="Y15" i="14"/>
  <c r="Y14" i="14"/>
  <c r="Y13" i="14"/>
  <c r="Y12" i="14"/>
  <c r="Y11" i="14"/>
  <c r="Y10" i="14"/>
  <c r="Y9" i="14"/>
  <c r="Y8" i="14"/>
  <c r="Y7" i="14"/>
  <c r="Y6" i="14"/>
  <c r="Y5" i="14"/>
  <c r="Y4" i="14"/>
  <c r="Y3" i="14"/>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F87" i="6"/>
  <c r="E208" i="14"/>
  <c r="E207" i="14"/>
  <c r="E206" i="14"/>
  <c r="M208" i="14"/>
  <c r="M207" i="14"/>
  <c r="M206" i="14"/>
  <c r="I74" i="6"/>
  <c r="H74" i="6"/>
  <c r="F74" i="6"/>
  <c r="F73" i="6"/>
  <c r="S22" i="4"/>
  <c r="R22" i="4"/>
  <c r="Q22" i="4"/>
  <c r="S21" i="4"/>
  <c r="R21" i="4"/>
  <c r="Q21" i="4"/>
  <c r="S20" i="4"/>
  <c r="R20" i="4"/>
  <c r="Q20" i="4"/>
  <c r="S19" i="4"/>
  <c r="Q19" i="4"/>
  <c r="R19" i="4"/>
  <c r="S18" i="4"/>
  <c r="R18" i="4"/>
  <c r="Q18" i="4"/>
  <c r="S17" i="4"/>
  <c r="R17" i="4"/>
  <c r="Q17" i="4"/>
  <c r="S16" i="4"/>
  <c r="R16" i="4"/>
  <c r="Q16" i="4"/>
  <c r="S14" i="4"/>
  <c r="R14" i="4"/>
  <c r="Q14" i="4"/>
  <c r="Q15" i="4"/>
  <c r="S15" i="4"/>
  <c r="R15" i="4"/>
  <c r="S13" i="4"/>
  <c r="R13" i="4"/>
  <c r="Q13" i="4"/>
  <c r="S12" i="4"/>
  <c r="R12" i="4"/>
  <c r="Q12" i="4"/>
  <c r="S11" i="4"/>
  <c r="R11" i="4"/>
  <c r="Q11" i="4"/>
  <c r="S10" i="4"/>
  <c r="R10" i="4"/>
  <c r="Q10" i="4"/>
  <c r="S9" i="4"/>
  <c r="R9" i="4"/>
  <c r="Q9" i="4"/>
  <c r="S8" i="4"/>
  <c r="R8" i="4"/>
  <c r="Q8" i="4"/>
  <c r="S7" i="4"/>
  <c r="R7" i="4"/>
  <c r="Q7" i="4"/>
  <c r="S6" i="4"/>
  <c r="R6" i="4"/>
  <c r="Q6" i="4"/>
  <c r="S5" i="4"/>
  <c r="R5" i="4"/>
  <c r="Q5" i="4"/>
  <c r="S4" i="4"/>
  <c r="R4" i="4"/>
  <c r="Q4" i="4"/>
  <c r="S3" i="4"/>
  <c r="R3" i="4"/>
  <c r="Q3" i="4"/>
  <c r="S2" i="4"/>
  <c r="S23" i="4" s="1"/>
  <c r="R2" i="4"/>
  <c r="R23" i="4" s="1"/>
  <c r="Q2" i="4"/>
  <c r="Q23" i="4" s="1"/>
  <c r="H2" i="4"/>
  <c r="Z27" i="14"/>
  <c r="Z26" i="14"/>
  <c r="S119" i="14"/>
  <c r="S118" i="14"/>
  <c r="E213" i="14"/>
  <c r="E212" i="14"/>
  <c r="Z20" i="14"/>
  <c r="S112" i="14"/>
  <c r="AA22" i="14"/>
  <c r="Z22" i="14"/>
  <c r="AA21" i="14"/>
  <c r="Z21" i="14"/>
  <c r="AA20" i="14"/>
  <c r="S114" i="14"/>
  <c r="S113" i="14"/>
  <c r="P22" i="4"/>
  <c r="O22" i="4"/>
  <c r="N22" i="4"/>
  <c r="M22" i="4"/>
  <c r="L22" i="4"/>
  <c r="K22" i="4"/>
  <c r="J22" i="4"/>
  <c r="I22" i="4"/>
  <c r="H22" i="4"/>
  <c r="P21" i="4"/>
  <c r="O21" i="4"/>
  <c r="N21" i="4"/>
  <c r="M21" i="4"/>
  <c r="L21" i="4"/>
  <c r="K21" i="4"/>
  <c r="J21" i="4"/>
  <c r="I21" i="4"/>
  <c r="H21" i="4"/>
  <c r="P20" i="4"/>
  <c r="O20" i="4"/>
  <c r="N20" i="4"/>
  <c r="M20" i="4"/>
  <c r="L20" i="4"/>
  <c r="K20" i="4"/>
  <c r="J20" i="4"/>
  <c r="I20" i="4"/>
  <c r="H20" i="4"/>
  <c r="P19" i="4"/>
  <c r="O19" i="4"/>
  <c r="N19" i="4"/>
  <c r="M19" i="4"/>
  <c r="L19" i="4"/>
  <c r="K19" i="4"/>
  <c r="J19" i="4"/>
  <c r="I19" i="4"/>
  <c r="H19" i="4"/>
  <c r="P18" i="4"/>
  <c r="O18" i="4"/>
  <c r="N18" i="4"/>
  <c r="M18" i="4"/>
  <c r="L18" i="4"/>
  <c r="K18" i="4"/>
  <c r="J18" i="4"/>
  <c r="I18" i="4"/>
  <c r="H18" i="4"/>
  <c r="P17" i="4"/>
  <c r="O17" i="4"/>
  <c r="N17" i="4"/>
  <c r="M17" i="4"/>
  <c r="L17" i="4"/>
  <c r="K17" i="4"/>
  <c r="J17" i="4"/>
  <c r="I17" i="4"/>
  <c r="H17" i="4"/>
  <c r="P16" i="4"/>
  <c r="O16" i="4"/>
  <c r="N16" i="4"/>
  <c r="M16" i="4"/>
  <c r="L16" i="4"/>
  <c r="K16" i="4"/>
  <c r="J16" i="4"/>
  <c r="I16" i="4"/>
  <c r="H16" i="4"/>
  <c r="P15" i="4"/>
  <c r="O15" i="4"/>
  <c r="N15" i="4"/>
  <c r="M15" i="4"/>
  <c r="L15" i="4"/>
  <c r="K15" i="4"/>
  <c r="J15" i="4"/>
  <c r="I15" i="4"/>
  <c r="P14" i="4"/>
  <c r="O14" i="4"/>
  <c r="N14" i="4"/>
  <c r="M14" i="4"/>
  <c r="L14" i="4"/>
  <c r="K14" i="4"/>
  <c r="J14" i="4"/>
  <c r="I14" i="4"/>
  <c r="H14" i="4"/>
  <c r="P13" i="4"/>
  <c r="O13" i="4"/>
  <c r="N13" i="4"/>
  <c r="M13" i="4"/>
  <c r="L13" i="4"/>
  <c r="K13" i="4"/>
  <c r="J13" i="4"/>
  <c r="I13" i="4"/>
  <c r="P12" i="4"/>
  <c r="O12" i="4"/>
  <c r="N12" i="4"/>
  <c r="M12" i="4"/>
  <c r="L12" i="4"/>
  <c r="K12" i="4"/>
  <c r="J12" i="4"/>
  <c r="I12" i="4"/>
  <c r="H12" i="4"/>
  <c r="P11" i="4"/>
  <c r="O11" i="4"/>
  <c r="N11" i="4"/>
  <c r="M11" i="4"/>
  <c r="L11" i="4"/>
  <c r="K11" i="4"/>
  <c r="J11" i="4"/>
  <c r="I11" i="4"/>
  <c r="P10" i="4"/>
  <c r="O10" i="4"/>
  <c r="N10" i="4"/>
  <c r="M10" i="4"/>
  <c r="L10" i="4"/>
  <c r="K10" i="4"/>
  <c r="J10" i="4"/>
  <c r="I10" i="4"/>
  <c r="P9" i="4"/>
  <c r="O9" i="4"/>
  <c r="N9" i="4"/>
  <c r="M9" i="4"/>
  <c r="L9" i="4"/>
  <c r="K9" i="4"/>
  <c r="J9" i="4"/>
  <c r="I9" i="4"/>
  <c r="H9" i="4"/>
  <c r="P8" i="4"/>
  <c r="O8" i="4"/>
  <c r="N8" i="4"/>
  <c r="M8" i="4"/>
  <c r="L8" i="4"/>
  <c r="K8" i="4"/>
  <c r="J8" i="4"/>
  <c r="I8" i="4"/>
  <c r="H8" i="4"/>
  <c r="P7" i="4"/>
  <c r="O7" i="4"/>
  <c r="N7" i="4"/>
  <c r="M7" i="4"/>
  <c r="L7" i="4"/>
  <c r="K7" i="4"/>
  <c r="J7" i="4"/>
  <c r="I7" i="4"/>
  <c r="P6" i="4"/>
  <c r="O6" i="4"/>
  <c r="N6" i="4"/>
  <c r="M6" i="4"/>
  <c r="L6" i="4"/>
  <c r="K6" i="4"/>
  <c r="J6" i="4"/>
  <c r="I6" i="4"/>
  <c r="H6" i="4"/>
  <c r="P5" i="4"/>
  <c r="O5" i="4"/>
  <c r="N5" i="4"/>
  <c r="M5" i="4"/>
  <c r="L5" i="4"/>
  <c r="K5" i="4"/>
  <c r="J5" i="4"/>
  <c r="I5" i="4"/>
  <c r="P4" i="4"/>
  <c r="O4" i="4"/>
  <c r="N4" i="4"/>
  <c r="M4" i="4"/>
  <c r="L4" i="4"/>
  <c r="K4" i="4"/>
  <c r="J4" i="4"/>
  <c r="I4" i="4"/>
  <c r="P3" i="4"/>
  <c r="O3" i="4"/>
  <c r="N3" i="4"/>
  <c r="M3" i="4"/>
  <c r="L3" i="4"/>
  <c r="K3" i="4"/>
  <c r="J3" i="4"/>
  <c r="I3" i="4"/>
  <c r="P2" i="4"/>
  <c r="P23" i="4" s="1"/>
  <c r="O2" i="4"/>
  <c r="O23" i="4" s="1"/>
  <c r="N2" i="4"/>
  <c r="N23" i="4" s="1"/>
  <c r="M2" i="4"/>
  <c r="M23" i="4" s="1"/>
  <c r="L2" i="4"/>
  <c r="L23" i="4" s="1"/>
  <c r="K2" i="4"/>
  <c r="K23" i="4" s="1"/>
  <c r="J2" i="4"/>
  <c r="J23" i="4" s="1"/>
  <c r="I2" i="4"/>
  <c r="I23" i="4" s="1"/>
  <c r="G217" i="1"/>
  <c r="G215" i="1"/>
  <c r="G214" i="1"/>
  <c r="H15" i="4"/>
  <c r="H13" i="4"/>
  <c r="H11" i="4"/>
  <c r="H10" i="4"/>
  <c r="H7" i="4"/>
  <c r="H5" i="4"/>
  <c r="H4" i="4"/>
  <c r="H3" i="4"/>
  <c r="H9" i="13"/>
  <c r="H20" i="13"/>
  <c r="I73" i="6"/>
  <c r="H73" i="6"/>
  <c r="G216" i="1"/>
  <c r="S123" i="14" l="1"/>
  <c r="S121" i="14"/>
  <c r="AE9" i="14" s="1"/>
  <c r="L88" i="14"/>
  <c r="AD11" i="14" s="1"/>
  <c r="T130" i="14"/>
  <c r="S115" i="14" s="1"/>
  <c r="S116" i="14" s="1"/>
  <c r="AE11" i="14"/>
  <c r="S122" i="14"/>
  <c r="AE10" i="14" s="1"/>
  <c r="L87" i="14"/>
  <c r="AD10" i="14" s="1"/>
  <c r="Z32" i="14"/>
  <c r="AF12" i="14" s="1"/>
  <c r="S124" i="14"/>
  <c r="AE12" i="14" s="1"/>
  <c r="L89" i="14"/>
  <c r="AD12" i="14" s="1"/>
  <c r="Z30" i="14"/>
  <c r="AF10" i="14" s="1"/>
  <c r="L86" i="14"/>
  <c r="AD9" i="14" s="1"/>
  <c r="L90" i="14"/>
  <c r="AD13" i="14" s="1"/>
  <c r="S125" i="14"/>
  <c r="AE13" i="14" s="1"/>
  <c r="Z33" i="14"/>
  <c r="AF13" i="14" s="1"/>
  <c r="Z29" i="14"/>
  <c r="AF9" i="14" s="1"/>
  <c r="Z31" i="14"/>
  <c r="AF11" i="14" s="1"/>
  <c r="AA23" i="14"/>
  <c r="Z23" i="14" s="1"/>
  <c r="Z24" i="14" s="1"/>
  <c r="M209" i="14"/>
  <c r="E209" i="14" s="1"/>
  <c r="E210" i="14" s="1"/>
  <c r="H217" i="1"/>
  <c r="G218" i="1"/>
  <c r="P8" i="6"/>
  <c r="P2" i="6"/>
  <c r="AG13" i="14" l="1"/>
  <c r="AG9" i="14"/>
  <c r="AG10" i="14"/>
  <c r="AG11" i="14"/>
  <c r="AG12" i="14"/>
  <c r="AF14" i="14"/>
  <c r="AE14" i="14"/>
  <c r="AD14" i="14"/>
  <c r="F6" i="8"/>
  <c r="AG14" i="14" l="1"/>
  <c r="AH13" i="14" s="1"/>
  <c r="P6" i="6"/>
  <c r="Q6" i="6"/>
  <c r="M26" i="13"/>
  <c r="K26" i="13"/>
  <c r="J26" i="13"/>
  <c r="I26" i="13"/>
  <c r="M25" i="13"/>
  <c r="K25" i="13"/>
  <c r="J25" i="13"/>
  <c r="I25" i="13"/>
  <c r="M24" i="13"/>
  <c r="K24" i="13"/>
  <c r="J24" i="13"/>
  <c r="I24" i="13"/>
  <c r="M23" i="13"/>
  <c r="K23" i="13"/>
  <c r="J23" i="13"/>
  <c r="I23" i="13"/>
  <c r="M22" i="13"/>
  <c r="K22" i="13"/>
  <c r="J22" i="13"/>
  <c r="I22" i="13"/>
  <c r="M21" i="13"/>
  <c r="K21" i="13"/>
  <c r="J21" i="13"/>
  <c r="I21" i="13"/>
  <c r="M20" i="13"/>
  <c r="K20" i="13"/>
  <c r="J20" i="13"/>
  <c r="I20" i="13"/>
  <c r="M19" i="13"/>
  <c r="K19" i="13"/>
  <c r="J19" i="13"/>
  <c r="I19" i="13"/>
  <c r="M18" i="13"/>
  <c r="K18" i="13"/>
  <c r="J18" i="13"/>
  <c r="I18" i="13"/>
  <c r="M17" i="13"/>
  <c r="K17" i="13"/>
  <c r="J17" i="13"/>
  <c r="I17" i="13"/>
  <c r="M16" i="13"/>
  <c r="K16" i="13"/>
  <c r="J16" i="13"/>
  <c r="I16" i="13"/>
  <c r="M15" i="13"/>
  <c r="K15" i="13"/>
  <c r="J15" i="13"/>
  <c r="I15" i="13"/>
  <c r="M14" i="13"/>
  <c r="K14" i="13"/>
  <c r="J14" i="13"/>
  <c r="I14" i="13"/>
  <c r="M13" i="13"/>
  <c r="K13" i="13"/>
  <c r="J13" i="13"/>
  <c r="I13" i="13"/>
  <c r="M12" i="13"/>
  <c r="K12" i="13"/>
  <c r="J12" i="13"/>
  <c r="I12" i="13"/>
  <c r="M11" i="13"/>
  <c r="K11" i="13"/>
  <c r="J11" i="13"/>
  <c r="I11" i="13"/>
  <c r="M10" i="13"/>
  <c r="K10" i="13"/>
  <c r="J10" i="13"/>
  <c r="I10" i="13"/>
  <c r="M9" i="13"/>
  <c r="K9" i="13"/>
  <c r="J9" i="13"/>
  <c r="I9" i="13"/>
  <c r="M8" i="13"/>
  <c r="K8" i="13"/>
  <c r="J8" i="13"/>
  <c r="I8" i="13"/>
  <c r="M7" i="13"/>
  <c r="K7" i="13"/>
  <c r="J7" i="13"/>
  <c r="I7" i="13"/>
  <c r="M6" i="13"/>
  <c r="K6" i="13"/>
  <c r="J6" i="13"/>
  <c r="I6" i="13"/>
  <c r="H5" i="13"/>
  <c r="M5" i="13"/>
  <c r="K5" i="13"/>
  <c r="J5" i="13"/>
  <c r="I5" i="13"/>
  <c r="M4" i="13"/>
  <c r="K4" i="13"/>
  <c r="J4" i="13"/>
  <c r="I4" i="13"/>
  <c r="M3" i="13"/>
  <c r="K3" i="13"/>
  <c r="J3" i="13"/>
  <c r="I3" i="13"/>
  <c r="H8" i="13"/>
  <c r="H7" i="13"/>
  <c r="H6" i="13"/>
  <c r="H3" i="13"/>
  <c r="H4" i="13"/>
  <c r="H26" i="13"/>
  <c r="H25" i="13"/>
  <c r="H24" i="13"/>
  <c r="H23" i="13"/>
  <c r="H22" i="13"/>
  <c r="H21" i="13"/>
  <c r="H19" i="13"/>
  <c r="H18" i="13"/>
  <c r="H17" i="13"/>
  <c r="H16" i="13"/>
  <c r="H15" i="13"/>
  <c r="H14" i="13"/>
  <c r="H13" i="13"/>
  <c r="H12" i="13"/>
  <c r="H11" i="13"/>
  <c r="H10" i="13"/>
  <c r="G3" i="9"/>
  <c r="G4" i="9"/>
  <c r="G5" i="9"/>
  <c r="G6" i="9"/>
  <c r="G7" i="9"/>
  <c r="G8" i="9"/>
  <c r="G9" i="9"/>
  <c r="G10" i="9"/>
  <c r="G11" i="9"/>
  <c r="G12" i="9"/>
  <c r="G13" i="9"/>
  <c r="G14" i="9"/>
  <c r="H7" i="9"/>
  <c r="I7" i="9"/>
  <c r="H6" i="9"/>
  <c r="I6" i="9"/>
  <c r="H3" i="9"/>
  <c r="I3" i="9"/>
  <c r="H4" i="9"/>
  <c r="I4" i="9"/>
  <c r="H5" i="9"/>
  <c r="I5" i="9"/>
  <c r="H8" i="9"/>
  <c r="I8" i="9"/>
  <c r="H9" i="9"/>
  <c r="I9" i="9"/>
  <c r="H10" i="9"/>
  <c r="I10" i="9"/>
  <c r="H11" i="9"/>
  <c r="I11" i="9"/>
  <c r="H12" i="9"/>
  <c r="I12" i="9"/>
  <c r="H13" i="9"/>
  <c r="I13" i="9"/>
  <c r="H14" i="9"/>
  <c r="I14" i="9"/>
  <c r="I72" i="6"/>
  <c r="H72" i="6"/>
  <c r="F72" i="6"/>
  <c r="Q2" i="6"/>
  <c r="O2" i="6"/>
  <c r="R2" i="6" s="1"/>
  <c r="P3" i="6"/>
  <c r="Q3" i="6"/>
  <c r="P4" i="6"/>
  <c r="Q4" i="6"/>
  <c r="P5" i="6"/>
  <c r="Q5" i="6"/>
  <c r="P7" i="6"/>
  <c r="Q7" i="6"/>
  <c r="Q8" i="6"/>
  <c r="O8" i="6" s="1"/>
  <c r="F2" i="8"/>
  <c r="F3" i="8"/>
  <c r="F4" i="8"/>
  <c r="F5" i="8"/>
  <c r="F7" i="8"/>
  <c r="F8" i="8"/>
  <c r="B5" i="7"/>
  <c r="I87" i="6"/>
  <c r="H87" i="6"/>
  <c r="I93" i="6"/>
  <c r="H93" i="6"/>
  <c r="F93" i="6"/>
  <c r="H92" i="6"/>
  <c r="I92" i="6"/>
  <c r="F92" i="6"/>
  <c r="I91" i="6"/>
  <c r="H91" i="6"/>
  <c r="F91" i="6"/>
  <c r="I90" i="6"/>
  <c r="H90" i="6"/>
  <c r="F90" i="6"/>
  <c r="I89" i="6"/>
  <c r="H89" i="6"/>
  <c r="F89" i="6"/>
  <c r="I88" i="6"/>
  <c r="H88" i="6"/>
  <c r="F88" i="6"/>
  <c r="B2" i="7"/>
  <c r="B4" i="7"/>
  <c r="B3" i="7"/>
  <c r="K136" i="1"/>
  <c r="AH9" i="14" l="1"/>
  <c r="AH12" i="14"/>
  <c r="AH10" i="14"/>
  <c r="AH11" i="14"/>
  <c r="O3" i="6"/>
  <c r="R3" i="6" s="1"/>
  <c r="R7" i="6"/>
  <c r="O7" i="6"/>
  <c r="F83" i="6"/>
  <c r="F86" i="6"/>
  <c r="K77" i="6"/>
  <c r="K30" i="6"/>
  <c r="K66" i="6"/>
  <c r="K11" i="6"/>
  <c r="K27" i="6"/>
  <c r="K43" i="6"/>
  <c r="K59" i="6"/>
  <c r="K75" i="6"/>
  <c r="K42" i="6"/>
  <c r="K4" i="6"/>
  <c r="K20" i="6"/>
  <c r="K36" i="6"/>
  <c r="K52" i="6"/>
  <c r="K68" i="6"/>
  <c r="H82" i="6"/>
  <c r="K54" i="6"/>
  <c r="K5" i="6"/>
  <c r="K21" i="6"/>
  <c r="K37" i="6"/>
  <c r="K53" i="6"/>
  <c r="K69" i="6"/>
  <c r="K18" i="6"/>
  <c r="K23" i="6"/>
  <c r="K71" i="6"/>
  <c r="K16" i="6"/>
  <c r="K64" i="6"/>
  <c r="K81" i="6"/>
  <c r="K49" i="6"/>
  <c r="K2" i="6"/>
  <c r="K34" i="6"/>
  <c r="K74" i="6"/>
  <c r="K15" i="6"/>
  <c r="K31" i="6"/>
  <c r="K47" i="6"/>
  <c r="K63" i="6"/>
  <c r="K79" i="6"/>
  <c r="K50" i="6"/>
  <c r="K8" i="6"/>
  <c r="K24" i="6"/>
  <c r="K40" i="6"/>
  <c r="K56" i="6"/>
  <c r="K72" i="6"/>
  <c r="K10" i="6"/>
  <c r="K70" i="6"/>
  <c r="K9" i="6"/>
  <c r="K25" i="6"/>
  <c r="K41" i="6"/>
  <c r="K57" i="6"/>
  <c r="K73" i="6"/>
  <c r="K58" i="6"/>
  <c r="K39" i="6"/>
  <c r="K22" i="6"/>
  <c r="K32" i="6"/>
  <c r="K80" i="6"/>
  <c r="K17" i="6"/>
  <c r="K65" i="6"/>
  <c r="K6" i="6"/>
  <c r="K46" i="6"/>
  <c r="K3" i="6"/>
  <c r="K19" i="6"/>
  <c r="K35" i="6"/>
  <c r="K51" i="6"/>
  <c r="K67" i="6"/>
  <c r="K14" i="6"/>
  <c r="K62" i="6"/>
  <c r="K12" i="6"/>
  <c r="K28" i="6"/>
  <c r="K44" i="6"/>
  <c r="K60" i="6"/>
  <c r="K76" i="6"/>
  <c r="K26" i="6"/>
  <c r="H83" i="6"/>
  <c r="K13" i="6"/>
  <c r="K29" i="6"/>
  <c r="K45" i="6"/>
  <c r="K61" i="6"/>
  <c r="K7" i="6"/>
  <c r="K55" i="6"/>
  <c r="K78" i="6"/>
  <c r="K48" i="6"/>
  <c r="K38" i="6"/>
  <c r="K33" i="6"/>
  <c r="Q9" i="6"/>
  <c r="I86" i="6"/>
  <c r="L74" i="6"/>
  <c r="L69" i="6"/>
  <c r="L64" i="6"/>
  <c r="L60" i="6"/>
  <c r="L56" i="6"/>
  <c r="L52" i="6"/>
  <c r="L48" i="6"/>
  <c r="L44" i="6"/>
  <c r="L40" i="6"/>
  <c r="L36" i="6"/>
  <c r="L32" i="6"/>
  <c r="L28" i="6"/>
  <c r="L24" i="6"/>
  <c r="L20" i="6"/>
  <c r="L16" i="6"/>
  <c r="L12" i="6"/>
  <c r="L8" i="6"/>
  <c r="L4" i="6"/>
  <c r="L78" i="6"/>
  <c r="L73" i="6"/>
  <c r="L67" i="6"/>
  <c r="L63" i="6"/>
  <c r="L59" i="6"/>
  <c r="L55" i="6"/>
  <c r="L51" i="6"/>
  <c r="L47" i="6"/>
  <c r="L43" i="6"/>
  <c r="L39" i="6"/>
  <c r="L35" i="6"/>
  <c r="L31" i="6"/>
  <c r="L27" i="6"/>
  <c r="L23" i="6"/>
  <c r="L19" i="6"/>
  <c r="L15" i="6"/>
  <c r="L11" i="6"/>
  <c r="L7" i="6"/>
  <c r="L3" i="6"/>
  <c r="L80" i="6"/>
  <c r="L77" i="6"/>
  <c r="L71" i="6"/>
  <c r="L66" i="6"/>
  <c r="L62" i="6"/>
  <c r="L58" i="6"/>
  <c r="L54" i="6"/>
  <c r="L50" i="6"/>
  <c r="L46" i="6"/>
  <c r="L42" i="6"/>
  <c r="L38" i="6"/>
  <c r="L34" i="6"/>
  <c r="L30" i="6"/>
  <c r="L26" i="6"/>
  <c r="L22" i="6"/>
  <c r="L18" i="6"/>
  <c r="L14" i="6"/>
  <c r="L10" i="6"/>
  <c r="L6" i="6"/>
  <c r="L2" i="6"/>
  <c r="I82" i="6"/>
  <c r="L75" i="6"/>
  <c r="L70" i="6"/>
  <c r="L65" i="6"/>
  <c r="L61" i="6"/>
  <c r="L57" i="6"/>
  <c r="L53" i="6"/>
  <c r="L49" i="6"/>
  <c r="L45" i="6"/>
  <c r="L41" i="6"/>
  <c r="L37" i="6"/>
  <c r="L33" i="6"/>
  <c r="L29" i="6"/>
  <c r="L25" i="6"/>
  <c r="L21" i="6"/>
  <c r="L17" i="6"/>
  <c r="L13" i="6"/>
  <c r="L9" i="6"/>
  <c r="L5" i="6"/>
  <c r="L81" i="6"/>
  <c r="L79" i="6"/>
  <c r="L76" i="6"/>
  <c r="I83" i="6"/>
  <c r="L72" i="6"/>
  <c r="L68" i="6"/>
  <c r="O6" i="6"/>
  <c r="R6" i="6" s="1"/>
  <c r="I85" i="6"/>
  <c r="F82" i="6"/>
  <c r="H27" i="13"/>
  <c r="J5" i="9"/>
  <c r="J7" i="9"/>
  <c r="J8" i="9"/>
  <c r="J9" i="9"/>
  <c r="J4" i="9"/>
  <c r="J10" i="9"/>
  <c r="J11" i="9"/>
  <c r="B6" i="7"/>
  <c r="R8" i="6"/>
  <c r="Q10" i="6"/>
  <c r="H84" i="6"/>
  <c r="O5" i="6"/>
  <c r="R5" i="6" s="1"/>
  <c r="O4" i="6"/>
  <c r="R4" i="6" s="1"/>
  <c r="H85" i="6"/>
  <c r="P9" i="6"/>
  <c r="P10" i="6" s="1"/>
  <c r="H86" i="6"/>
  <c r="I84" i="6"/>
  <c r="H23" i="4"/>
  <c r="J14" i="9"/>
  <c r="J12" i="9"/>
  <c r="G15" i="9"/>
  <c r="J13" i="9"/>
  <c r="J3" i="9"/>
  <c r="I15" i="9"/>
  <c r="J6" i="9"/>
  <c r="H15" i="9"/>
  <c r="F9" i="8"/>
  <c r="F85" i="6"/>
  <c r="F84" i="6"/>
  <c r="O9" i="6" l="1"/>
  <c r="O10" i="6" s="1"/>
  <c r="R10" i="6" s="1"/>
  <c r="J15" i="9"/>
  <c r="K12" i="9" s="1"/>
  <c r="R9" i="6" l="1"/>
  <c r="K14" i="9"/>
  <c r="K6" i="9"/>
  <c r="K9" i="9"/>
  <c r="K5" i="9"/>
  <c r="K7" i="9"/>
  <c r="K4" i="9"/>
  <c r="K3" i="9"/>
  <c r="K10" i="9"/>
  <c r="K8" i="9"/>
  <c r="K13" i="9"/>
  <c r="K11" i="9"/>
</calcChain>
</file>

<file path=xl/sharedStrings.xml><?xml version="1.0" encoding="utf-8"?>
<sst xmlns="http://schemas.openxmlformats.org/spreadsheetml/2006/main" count="8764" uniqueCount="700">
  <si>
    <t>Date</t>
  </si>
  <si>
    <t>County</t>
  </si>
  <si>
    <t>Location</t>
  </si>
  <si>
    <t>Mode</t>
  </si>
  <si>
    <t>Injury</t>
  </si>
  <si>
    <t>Depth</t>
  </si>
  <si>
    <t>Species</t>
  </si>
  <si>
    <t>Comment</t>
  </si>
  <si>
    <t>Longitude</t>
  </si>
  <si>
    <t>Latitude</t>
  </si>
  <si>
    <t>Confirmed Source</t>
  </si>
  <si>
    <t>San Diego</t>
  </si>
  <si>
    <t>Imperial Beach</t>
  </si>
  <si>
    <t>Swimming</t>
  </si>
  <si>
    <t>major</t>
  </si>
  <si>
    <t>surface</t>
  </si>
  <si>
    <t>White</t>
  </si>
  <si>
    <t>Body Surfing, bit multiple times on leg, thigh and body</t>
  </si>
  <si>
    <t>Lea/Mccosker</t>
  </si>
  <si>
    <t>minor</t>
  </si>
  <si>
    <t>Foot &amp; swim fin bitten</t>
  </si>
  <si>
    <t>GSAF - with photos</t>
  </si>
  <si>
    <t>Monterey</t>
  </si>
  <si>
    <t>fatal</t>
  </si>
  <si>
    <t>Attacked from below then second time from front, fatal</t>
  </si>
  <si>
    <t>Pacific Grove</t>
  </si>
  <si>
    <t>Freediving</t>
  </si>
  <si>
    <t>Attacked from behind, lost swim fin</t>
  </si>
  <si>
    <t>San Luis Obispo</t>
  </si>
  <si>
    <t>Pismo Beach</t>
  </si>
  <si>
    <t>Large (9 ft) shark attacked side and hands in shallow water</t>
  </si>
  <si>
    <t>Morro Bay</t>
  </si>
  <si>
    <t>First hand accounts suggest a large white shark, bit swimmer's arm, victim never found</t>
  </si>
  <si>
    <t>Coronado Strand</t>
  </si>
  <si>
    <t>Shark bit swimmer multiple times on leg and torso</t>
  </si>
  <si>
    <t>San Francisco</t>
  </si>
  <si>
    <t>Baker Beach</t>
  </si>
  <si>
    <t xml:space="preserve">Shark bit swimmer multiple times </t>
  </si>
  <si>
    <t>La Jolla</t>
  </si>
  <si>
    <t>Free diver bit, dragged to bottom and not recovered, eyewitness reports</t>
  </si>
  <si>
    <t>Hammerhead</t>
  </si>
  <si>
    <t>Hammerhead bit thigh. Diver saw shark during and after attack</t>
  </si>
  <si>
    <t>Sonoma</t>
  </si>
  <si>
    <t>Bodega Rock</t>
  </si>
  <si>
    <t>none</t>
  </si>
  <si>
    <t>Large shark grabbed fin, no injury</t>
  </si>
  <si>
    <t>Los Angeles</t>
  </si>
  <si>
    <t>Malibu, Paradise Cove</t>
  </si>
  <si>
    <t>Blue</t>
  </si>
  <si>
    <t>Blue shark bit arm and released, minor injuries</t>
  </si>
  <si>
    <t>Marin</t>
  </si>
  <si>
    <t>Shark bit fin and diver's heel</t>
  </si>
  <si>
    <t>Santa Cruz</t>
  </si>
  <si>
    <t>Santa Cruz, Hidden Beach, Aptos</t>
  </si>
  <si>
    <t>Shark bit swimmer's leg, which was later amputated below the knee</t>
  </si>
  <si>
    <t>Shark bit abalone diver's weight belt, no injuries</t>
  </si>
  <si>
    <t>Salmon Creek Beach</t>
  </si>
  <si>
    <t>Shark bit swimmer's groin and leg with major injuries to the foot and other lacerations</t>
  </si>
  <si>
    <t>Island - Farallones</t>
  </si>
  <si>
    <t>Farallon Islands</t>
  </si>
  <si>
    <t>Scuba Diving</t>
  </si>
  <si>
    <t>Spearfishing free diver bitten severely in Leg</t>
  </si>
  <si>
    <t>SCUBA diver attacked at surface and bitten in multiple locations</t>
  </si>
  <si>
    <t>Shark bit SCUBA diver on surface then circled and approached several times. Major injuries to legs</t>
  </si>
  <si>
    <t>Shark bit free diver at surface injuring thigh and arm</t>
  </si>
  <si>
    <t>Shark bit free dive near bottom with major injuries to chest and back</t>
  </si>
  <si>
    <t>San Mateo</t>
  </si>
  <si>
    <t>Pigeon Pt</t>
  </si>
  <si>
    <t>Free diver near surface, major injuries to legs</t>
  </si>
  <si>
    <t>Santa Barbara</t>
  </si>
  <si>
    <t>Purisma Point</t>
  </si>
  <si>
    <t>Hookah Diving</t>
  </si>
  <si>
    <t>Shark attacked abalone Hookah Diving diver on bottom, major injuries to head, back and buttocks</t>
  </si>
  <si>
    <t>Sea Ranch</t>
  </si>
  <si>
    <t>SCUBA Diver near bottom, both legs with deep cuts</t>
  </si>
  <si>
    <t>Free Diver at surface, Major injuries to thighs</t>
  </si>
  <si>
    <t>Surfing / Boarding</t>
  </si>
  <si>
    <t>Free diver at surface, injuries to legs</t>
  </si>
  <si>
    <t>Mendocino</t>
  </si>
  <si>
    <t>Albion</t>
  </si>
  <si>
    <t>Shark grabbed free diver's foot on descent, minor injuries</t>
  </si>
  <si>
    <t>San Gregorio State Beach</t>
  </si>
  <si>
    <t>Shark bit surfer's board with minor laceration to hand</t>
  </si>
  <si>
    <t>2 SCUBA divers at surface, shark bit first diver on foot and second on hand, minor injuries</t>
  </si>
  <si>
    <t>Hookah diver on bottom, major injuries to arms and thigh</t>
  </si>
  <si>
    <t>Point Sur</t>
  </si>
  <si>
    <t>Surfer bitten on legs with major injuries</t>
  </si>
  <si>
    <t>Point Conception, Perch Rock</t>
  </si>
  <si>
    <t>Abalone Hookah diver, bitten on fin with minor injury</t>
  </si>
  <si>
    <t>Point Conception</t>
  </si>
  <si>
    <t>Shark attacked SCUBA diver at surface with major injuries to legs</t>
  </si>
  <si>
    <t>Usal Creek</t>
  </si>
  <si>
    <t>Abalone free diver at surface, major injuries to hand and arm</t>
  </si>
  <si>
    <t>Shark attacked SCUBA diver underwater with injuries to leg</t>
  </si>
  <si>
    <t>Island - San Miguel</t>
  </si>
  <si>
    <t>San Miguel Island</t>
  </si>
  <si>
    <t>Hookah diver bitten underwater with major injuries to thighs and buttocks</t>
  </si>
  <si>
    <t>Humboldt</t>
  </si>
  <si>
    <t>Moonstone Beach</t>
  </si>
  <si>
    <t>Surfer bitten on legs with minor injuries</t>
  </si>
  <si>
    <t>Abalone Free diver near surface, with major injuries to legs</t>
  </si>
  <si>
    <t>Pajaro Dunes</t>
  </si>
  <si>
    <t>Unknown</t>
  </si>
  <si>
    <t>Body Surfing / Boarding, about to stand and bit on leg, minor injuries. Bite size indicates a smaller shark, possibly not white</t>
  </si>
  <si>
    <t>Ano Nuevo Island</t>
  </si>
  <si>
    <t>Shark grabbed SCUBA divers fin underwater, without injury</t>
  </si>
  <si>
    <t>Surfer's board grabbed without injury</t>
  </si>
  <si>
    <t>Spanish Bay</t>
  </si>
  <si>
    <t>Surfer found dead with major wound and surfboard indicating large white shark</t>
  </si>
  <si>
    <t>Stillwater Cove</t>
  </si>
  <si>
    <t>SCUBA diver grabbed by leg on descent with major injuries to thigh and leg</t>
  </si>
  <si>
    <t>Point Buchon</t>
  </si>
  <si>
    <t>Paddleboarding</t>
  </si>
  <si>
    <t>Shark grabbed large paddle board with no injury</t>
  </si>
  <si>
    <t>Bear Harbor</t>
  </si>
  <si>
    <t>Free diver bitten on descent with major lacerations to buttocks</t>
  </si>
  <si>
    <t>Carmel Bay, Monastery Beach</t>
  </si>
  <si>
    <t>Shark bumped diver underwater Diver pushed away and received lacerations to hand</t>
  </si>
  <si>
    <t>Shark attacked diver on mat at surface, dragging him away then releasing, Multiple major lacerations leading to death.</t>
  </si>
  <si>
    <t>Mission Beach</t>
  </si>
  <si>
    <t>Shark bit wading swimmer. Minor injuries to arm. Bite size indicative of a smaller shark, possible blue</t>
  </si>
  <si>
    <t>Free diver underwater, numerous lacerations to back, buttock, thighs</t>
  </si>
  <si>
    <t>Diver observed shark underwater then was struck at surface with no injuries. Tank marked by shark's teeth</t>
  </si>
  <si>
    <t>Orange</t>
  </si>
  <si>
    <t>Seal Beach</t>
  </si>
  <si>
    <t>Surfer noted boil in water then fell off board and received a single gash to leg possible not shark</t>
  </si>
  <si>
    <t>Shark bumped diver, but swam off with no injuries</t>
  </si>
  <si>
    <t>Hookah diving, Minor injury to foot &amp; ankle Possibly six/seven gill shark</t>
  </si>
  <si>
    <t>GSAF</t>
  </si>
  <si>
    <t>Diver on bottom, major bites to chest, arms, upper body</t>
  </si>
  <si>
    <t>Half Moon Bay, Tunitas Creek</t>
  </si>
  <si>
    <t>Shark grabbed surfer's board, minor scrapes to fingers</t>
  </si>
  <si>
    <t>Davenport Light</t>
  </si>
  <si>
    <t>Shark grabbed surfer upper left leg and continued to heel, minor injuries, small shark</t>
  </si>
  <si>
    <t>Morro Rock</t>
  </si>
  <si>
    <t>Per McCosker and Lea in Klimley 2003, the surfer "was not injured"</t>
  </si>
  <si>
    <t>Del Norte</t>
  </si>
  <si>
    <t>Klamath River</t>
  </si>
  <si>
    <t>Shark bit board and surfer with injuries to thigh and buttocks</t>
  </si>
  <si>
    <t>Malibu</t>
  </si>
  <si>
    <t>Kayaking / Canoeing</t>
  </si>
  <si>
    <t>Two Kayakers, one found with injuries consistent with white shark attack</t>
  </si>
  <si>
    <t>Diver bitten in leg on descent</t>
  </si>
  <si>
    <t>Montara</t>
  </si>
  <si>
    <t>Shark rammed surfboard from below, no injuries</t>
  </si>
  <si>
    <t>Trinidad Head</t>
  </si>
  <si>
    <t>Shark knocked surfer off board and bit board and surfer's leg</t>
  </si>
  <si>
    <t>Trinidad State Beach</t>
  </si>
  <si>
    <t>Shark knocked kayaker into water, no injuries</t>
  </si>
  <si>
    <t>North of Jenner</t>
  </si>
  <si>
    <t>Shark bit diver and carried him through the water with injuries to head and face</t>
  </si>
  <si>
    <t>Shark bit diver on surface with injuries to leg / Eloise Tavares CDFW</t>
  </si>
  <si>
    <t>Davenport</t>
  </si>
  <si>
    <t>Surfer attacked with major injuries to leg and arms</t>
  </si>
  <si>
    <t>Davenport, Scott Creek, 1 mi north</t>
  </si>
  <si>
    <t>Shark attacked surfer with major injuries to arms and shoulders</t>
  </si>
  <si>
    <t>Point Reyes</t>
  </si>
  <si>
    <t>Shark approached diver and grabbed his scooter as the diver positioned it in front, then tangled in hose before returning for a pass</t>
  </si>
  <si>
    <t>Santa Rosa Press Democrat</t>
  </si>
  <si>
    <t>Shelter Cove</t>
  </si>
  <si>
    <t>Shark hit diver and grabbed hose, dragging through water without injuries</t>
  </si>
  <si>
    <t>Shark grabbed surfboard and tossed diver without injuries</t>
  </si>
  <si>
    <t>Shark grabbed diver's fin and foot underwater. Minor injuries to foot.</t>
  </si>
  <si>
    <t>Island - San Nicolas</t>
  </si>
  <si>
    <t>San Nicolas Island</t>
  </si>
  <si>
    <t>Shark grabbed diver's fin and foot underwater. Minor injuries to foot. Possibly thresher or soupfin, seen earlier</t>
  </si>
  <si>
    <t>Ano Nuevo State Reserve</t>
  </si>
  <si>
    <t>Shark grabbed kayak and shook it, without injuring occupant</t>
  </si>
  <si>
    <t>San Onofre State Beach</t>
  </si>
  <si>
    <t>Shark bit spearfisherman's leg with lacerations and punctures. Possible mako or white, survivor claims mako</t>
  </si>
  <si>
    <t>GSAF; Alert Diver magazine</t>
  </si>
  <si>
    <t>Shark grabbed diver's fin with no injury</t>
  </si>
  <si>
    <t>Shark grabbed diver's head and shoulders with major injuries to shoulder, neck and face</t>
  </si>
  <si>
    <t>Jenner, Goat Rock Beach</t>
  </si>
  <si>
    <t>Shark hit kayak, ejecting occupant without injury</t>
  </si>
  <si>
    <t>"Bunkers", Eureka</t>
  </si>
  <si>
    <t>Shark grabbed surfboard and surfer's legs with major injuries to thigh and legs, Lea/Mccosker, wrong date</t>
  </si>
  <si>
    <t>N/A</t>
  </si>
  <si>
    <t>Diver surfaced yelling for help. Wounds to leg were severe and died from blood loss enroute to hospital</t>
  </si>
  <si>
    <t>Kayaker was bitten in head, with shark tooth removed from face, little detail available</t>
  </si>
  <si>
    <t>Diver using underwater scooter observed shark underwater then was struck with injuries to arm, abdomen and leg</t>
  </si>
  <si>
    <t>Shark grabbed diver injuring lower leg with punctures to bone</t>
  </si>
  <si>
    <t>Davenport Landing</t>
  </si>
  <si>
    <t>Sharked knocked windsurfer into water with witnesses. lea/Mccosker have date as 9/29</t>
  </si>
  <si>
    <t>Diver saw shark which immediately turned and grabbed diver. Major lacerations to shoulder, arm</t>
  </si>
  <si>
    <t>Shark swam at surfer and repeatedly bumped board, following surfer towards shore.</t>
  </si>
  <si>
    <t>Dillon Beach</t>
  </si>
  <si>
    <t>Shark attacked surfer with major injuries to leg. Continued circling after attack</t>
  </si>
  <si>
    <t>Lea/Mccosker - LA Times</t>
  </si>
  <si>
    <t>Shark bit surfer's shin then grabbed board with minor injury to shin</t>
  </si>
  <si>
    <t>Shark bit surfer's leg, hand, and board with major injuries to thigh</t>
  </si>
  <si>
    <t>Stinson Beach</t>
  </si>
  <si>
    <t>Shark bit boogie boarder, dragging him underwater. Major injuries to thighs and legs.</t>
  </si>
  <si>
    <t>Waddell Reef</t>
  </si>
  <si>
    <t>Shark grabbed surfers board leaving impressions but no injury to surfer</t>
  </si>
  <si>
    <t>Half Moon Bay, Pillar Pt</t>
  </si>
  <si>
    <t>Shark grabbed surfboard from below, missing surfer but minor scratches and cut to wetsuit.</t>
  </si>
  <si>
    <t>Shark attacked surfer from below with major injuries to both thighs</t>
  </si>
  <si>
    <t>Sunset Cliffs</t>
  </si>
  <si>
    <t>Stinson Beach, off Bolinas Lagoon</t>
  </si>
  <si>
    <t>Shark grabbed surfer's board, no injuries</t>
  </si>
  <si>
    <t>GSAF; ukiah journal (couldn't download); surfer magazine guide to spots</t>
  </si>
  <si>
    <t>Shark grabbed surfer from below with major injuries to thigh</t>
  </si>
  <si>
    <t>Avila Beach</t>
  </si>
  <si>
    <t>Shark grabbed woman Swimming on surface in group of seals. Major injuries including femoral artery - fatal</t>
  </si>
  <si>
    <t>Lea/Mccosker; SF Chronicle</t>
  </si>
  <si>
    <t>Shark bumped surfer, then thrashed and circled several times, No injury</t>
  </si>
  <si>
    <t>GSAF; SF Chronicle</t>
  </si>
  <si>
    <t>Shark struck surfer's board twice, no injury</t>
  </si>
  <si>
    <t>GSAF; LA Times</t>
  </si>
  <si>
    <t>Kibesillah Rock</t>
  </si>
  <si>
    <t>Shark bit diver on descent with immediate fatal injuries. Body found next day.</t>
  </si>
  <si>
    <t>"204's", San Clemente</t>
  </si>
  <si>
    <t>foot bitten by juvenile white shark</t>
  </si>
  <si>
    <t>No injury, shark struck board &amp; spun it around</t>
  </si>
  <si>
    <t>No injury, knocked off surfboard, surfboard had bite marks</t>
  </si>
  <si>
    <t>GSAF; Santa Maria Times</t>
  </si>
  <si>
    <t>Limantour Beach</t>
  </si>
  <si>
    <t>Shark bit surfer's leg with minor injuries to calf</t>
  </si>
  <si>
    <t>GSAF; LA Times; NPS</t>
  </si>
  <si>
    <t>Shark bit surfer's board and side then returned and bit board and hand. Injuries to hip thumb and knees</t>
  </si>
  <si>
    <t>GSAF; 24 hour news.com</t>
  </si>
  <si>
    <t>Shark bit surfer's leg when he stepped off board in shallow water, shark observed looked like small white</t>
  </si>
  <si>
    <t>Shark bit surfer from below, pushing up out of water. Major injuries to hip and thighs</t>
  </si>
  <si>
    <t>GSAF; CBS</t>
  </si>
  <si>
    <t>Klamath River Mouth</t>
  </si>
  <si>
    <t>Shark hit surfer's board and pushed him off, small cut to thigh</t>
  </si>
  <si>
    <t>GSAF - No other sources found, lots of cross references back to this same source</t>
  </si>
  <si>
    <t>Half Moon Bay, Mavericks</t>
  </si>
  <si>
    <t>Shark hit board from beneath, pushing surfer off and leaving a tooth and dent in board</t>
  </si>
  <si>
    <t>GSAF; Half Moon Bay Review</t>
  </si>
  <si>
    <t>Ocean Beach</t>
  </si>
  <si>
    <t>No injury, Board bumped, surfer saw fin after hitting shark</t>
  </si>
  <si>
    <t>GSAF - No other sources found</t>
  </si>
  <si>
    <t>Surfer felt bite to leg, but "gentle", No injury, but 2 small nicks on wetsuit - presumed white</t>
  </si>
  <si>
    <t>submerged</t>
  </si>
  <si>
    <t>No injury, shark bit Scuba Diving tank boot, shark not seen - presumed white</t>
  </si>
  <si>
    <t>Shark bit board from below with minor nicks to the surfer's thigh</t>
  </si>
  <si>
    <t>Will Rogers State Beach</t>
  </si>
  <si>
    <t>Swimmers hand bitten while swimming. Minor abrasions to hand. Unknown species, possibly blue/mako/juvenile white</t>
  </si>
  <si>
    <t>GSAF; WestSideToday</t>
  </si>
  <si>
    <t>Ventura</t>
  </si>
  <si>
    <t>Faria Beach</t>
  </si>
  <si>
    <t>Swimmer's foot was bitten by unseen animal. Minor abrasions to foot</t>
  </si>
  <si>
    <t>GSAF; surfers village</t>
  </si>
  <si>
    <t>Bean Hollow/Pigeon Point</t>
  </si>
  <si>
    <t>Shark struck front of kayak, no injury</t>
  </si>
  <si>
    <t>GSAF; CanoeKayak.com</t>
  </si>
  <si>
    <t>Stand-up Paddle boarder was followed then repeatedly bumped by white shark, no injuries</t>
  </si>
  <si>
    <t>GSAF; Surfer.com: Malibu Times</t>
  </si>
  <si>
    <t>Shark jumped out of water landing on and biting board, no injury</t>
  </si>
  <si>
    <t>GSAF; Thrillist.com (unable to download)</t>
  </si>
  <si>
    <t>Marina State Beach</t>
  </si>
  <si>
    <t>Shark grabbed surfer and board, dragging underwater. Major injuries to torso and thighs</t>
  </si>
  <si>
    <t>Lea/Mccosker; GSAF; Mercury News</t>
  </si>
  <si>
    <t>Shark bit tail of surfboard, leaving impression, surfer uninjured</t>
  </si>
  <si>
    <t>GSAF; Times Standard</t>
  </si>
  <si>
    <t>Santa Monica</t>
  </si>
  <si>
    <t>Puncture wound to foot, surfer witnessed small sharks (possibly leopard) but wound likely stingray</t>
  </si>
  <si>
    <t>Venice Pier</t>
  </si>
  <si>
    <t>Leopard</t>
  </si>
  <si>
    <t>4 scratches on left hand; shark described as small and brown, possibly leopard</t>
  </si>
  <si>
    <t>GSAF; LA magazine</t>
  </si>
  <si>
    <t>Huntington Beach</t>
  </si>
  <si>
    <t>No injury to surfer, surfboard bitten by the shark</t>
  </si>
  <si>
    <t>GSAF; OC Register</t>
  </si>
  <si>
    <t>Solana Beach</t>
  </si>
  <si>
    <t>Swimmer bitten by large shark with major injuries to both thighs, Fatal</t>
  </si>
  <si>
    <t>Lea/Mccosker; OC Register</t>
  </si>
  <si>
    <t>Island - Catalina</t>
  </si>
  <si>
    <t>Catalina Island, West Cove</t>
  </si>
  <si>
    <t>No injury. Shark bumped kayak, flinging her into the  water</t>
  </si>
  <si>
    <t>Surf Beach, Lompoc</t>
  </si>
  <si>
    <t>No injury to surfer, board bitten</t>
  </si>
  <si>
    <t>GSAF; Santa Maria Sun</t>
  </si>
  <si>
    <t>Shark struck him but the diver was not injured</t>
  </si>
  <si>
    <t>GSAF; SD News</t>
  </si>
  <si>
    <t>Puncture wounds to left foot &amp; calf</t>
  </si>
  <si>
    <t>GSAF; Surfline</t>
  </si>
  <si>
    <t>Shark bumped board then was witnessed in wave afterward, No Injury</t>
  </si>
  <si>
    <t>3 puncture wounds to big toe of left foot, and laceration on arch of foot</t>
  </si>
  <si>
    <t>No injury, board broken in half</t>
  </si>
  <si>
    <t>GSAF; Surfer Magazine</t>
  </si>
  <si>
    <t>Shark bumped and turned board without injury</t>
  </si>
  <si>
    <t>Shark bit surfer and was picked up in surfer's hand. Laceration to left foot; Definite Leopard Shark</t>
  </si>
  <si>
    <t>GSAF; News Times SLO</t>
  </si>
  <si>
    <t>Near Oil Rig Hondo, Gaviota</t>
  </si>
  <si>
    <t>No injury, kayak bitten</t>
  </si>
  <si>
    <t>GSAF; SB Independent</t>
  </si>
  <si>
    <t>GSAF; NBC News</t>
  </si>
  <si>
    <t>Lea/Mccosker; LA Times</t>
  </si>
  <si>
    <t xml:space="preserve"> La Jolla, Children's Pool</t>
  </si>
  <si>
    <t>Sevengill</t>
  </si>
  <si>
    <t>Sevengill shark bit spear fisherman's leg, marking wetsuit but no injury</t>
  </si>
  <si>
    <t>GSAF; SD Union</t>
  </si>
  <si>
    <t xml:space="preserve">Shark leapt onto surfboard; surfer uninjured </t>
  </si>
  <si>
    <t>Samoa Beach</t>
  </si>
  <si>
    <t>No injury, board bitten</t>
  </si>
  <si>
    <t>GSAF; lost coast outpost</t>
  </si>
  <si>
    <t>Shark bit surfers board with major injuries to neck and arm</t>
  </si>
  <si>
    <t>Catalina Island</t>
  </si>
  <si>
    <t>Paddle boarding, No injury, shark bit paddleboard</t>
  </si>
  <si>
    <t>GSAF; KCET</t>
  </si>
  <si>
    <t>Lea/Mccosker; Cambria Tribune</t>
  </si>
  <si>
    <t>Santa Cruz, Pleasure Point</t>
  </si>
  <si>
    <t>Shark hit kayak, ejecting occupant without injury; tooth fragment in kayak</t>
  </si>
  <si>
    <t>Lea/Mccosker; GSAF; KSBW 8</t>
  </si>
  <si>
    <t>Topanga Beach</t>
  </si>
  <si>
    <t>Surfer knocked off board when something struck surfboard, minor abrasion to hand</t>
  </si>
  <si>
    <t>No injury to boardrider, shark struck board breaking the mast</t>
  </si>
  <si>
    <t>Shark bit surfers legs to torso with fatal injuries and mark on board</t>
  </si>
  <si>
    <t>Lea/Mccosker; GSAF; LA Times</t>
  </si>
  <si>
    <t>"Bunkers", Humboldt Bay, north jetty</t>
  </si>
  <si>
    <t>Shark bit surfer's torso and board with major injuries</t>
  </si>
  <si>
    <t>Pedro Point, Pacifica</t>
  </si>
  <si>
    <t>Shark bit kayak, no injury but marks on kayak</t>
  </si>
  <si>
    <t>Shark bumped board, throwing surfer and was seen shortly afterwards</t>
  </si>
  <si>
    <t>GSAF; KSBW8</t>
  </si>
  <si>
    <t>Salmon</t>
  </si>
  <si>
    <t>Swimmer was bitten on foot, later a salmon shark washed ashore with matching dentition</t>
  </si>
  <si>
    <t>GSAF; Antioch University</t>
  </si>
  <si>
    <t>Surfer bitten in thigh</t>
  </si>
  <si>
    <t>GSAF; OutsideOnline</t>
  </si>
  <si>
    <t>Shark bit surfboard but surfer was uninjured</t>
  </si>
  <si>
    <t>GSAF; Tribune</t>
  </si>
  <si>
    <t>Shark bit surfboard knocking surfer into water with no injuries</t>
  </si>
  <si>
    <t>GSAF; KSBY 8 News, with photos</t>
  </si>
  <si>
    <t>Surfer bitten in knee with minor puncture wound</t>
  </si>
  <si>
    <t>GSAF; KEYT News</t>
  </si>
  <si>
    <t>Shark bit kayak ejecting kayaker into water, second attack in same location on same day</t>
  </si>
  <si>
    <t>GSAF; Grind TV; KSBW 8</t>
  </si>
  <si>
    <t>Shark bit kayak peddle drive, ejecting kayaker into water with no injuries</t>
  </si>
  <si>
    <t>Shark bit outrigger canoe with teeth marks and punctures, no injuries</t>
  </si>
  <si>
    <t>Shark bit board and surfer with injuries to hip requiring hospitalization</t>
  </si>
  <si>
    <t>Shark bumped board, leaving marks</t>
  </si>
  <si>
    <t>GSAF; KTLA</t>
  </si>
  <si>
    <t>Shark bit kayak, leaving marks</t>
  </si>
  <si>
    <t>GSAF; KSBY</t>
  </si>
  <si>
    <t>Deer Creek, Malibu/Ventura</t>
  </si>
  <si>
    <t>Shark bit kayakers foot dangling in water with minor injuries - shark seen and identified as hammerhead</t>
  </si>
  <si>
    <t>Shark hit board, knocking paddler into water - Lot's of follow-up on other websites, but no additional confirmation</t>
  </si>
  <si>
    <t>Shark bit kayak, kayaker received minor scrape and dislocated thumb. Kayak marked</t>
  </si>
  <si>
    <t>Attacked while Swimming on surface, Broken ribs, torso injuries, broken pelvis</t>
  </si>
  <si>
    <t>GSAF; ABC News</t>
  </si>
  <si>
    <t>Shark bit then repeatedly bumped free diver; broken toes and lacerations</t>
  </si>
  <si>
    <t>GSAF; KSBY; video online at: http://unofficialnetworks.com/2016/09/12/watch-great-white-shark-attack-caught-on-gopro-santa-barbara-california/</t>
  </si>
  <si>
    <t>Surfer's wetsuit and board were marked, but no injury</t>
  </si>
  <si>
    <t>None</t>
  </si>
  <si>
    <t>Shark attacked kayak - knocking rider into water without injury. Continued to bite kayak for several minutes</t>
  </si>
  <si>
    <t>Shark bit swimmers thigh while wading with major injuries</t>
  </si>
  <si>
    <t>Santa Cruz, "Steamer Lane"</t>
  </si>
  <si>
    <t>Shark bumped then bit kayak, throwing kayaker into water</t>
  </si>
  <si>
    <t>KSBY 8 News, with photos</t>
  </si>
  <si>
    <t>Shark bit paddleboard, removing nose of board but not injuring boarder. Approximately 8'</t>
  </si>
  <si>
    <t>SB Independent</t>
  </si>
  <si>
    <t>Shark bit kayak, kayaker jumped off and swam to nearby boat. No injury</t>
  </si>
  <si>
    <t>LOCATIONS ARE NOT ACCURATE - USED FOR DISPLAY MAP ONLY</t>
  </si>
  <si>
    <t>Fatal</t>
  </si>
  <si>
    <t>Major</t>
  </si>
  <si>
    <t>Minor</t>
  </si>
  <si>
    <t>Not white shark or unknown species</t>
  </si>
  <si>
    <t>Total</t>
  </si>
  <si>
    <t>50's</t>
  </si>
  <si>
    <t>60's</t>
  </si>
  <si>
    <t>70's</t>
  </si>
  <si>
    <t>80's</t>
  </si>
  <si>
    <t>90's</t>
  </si>
  <si>
    <t>2000's</t>
  </si>
  <si>
    <t>2010's</t>
  </si>
  <si>
    <t>Incidents</t>
  </si>
  <si>
    <t>Injuries</t>
  </si>
  <si>
    <t>Year</t>
  </si>
  <si>
    <t>All</t>
  </si>
  <si>
    <t>Decade</t>
  </si>
  <si>
    <t>No Injury</t>
  </si>
  <si>
    <t>Non-fatal Injuries</t>
  </si>
  <si>
    <t>Fatalities</t>
  </si>
  <si>
    <t>1950s</t>
  </si>
  <si>
    <t>1960s</t>
  </si>
  <si>
    <t>1970s</t>
  </si>
  <si>
    <t>1980s</t>
  </si>
  <si>
    <t>1990s</t>
  </si>
  <si>
    <t>2000s</t>
  </si>
  <si>
    <t>2010s</t>
  </si>
  <si>
    <t>totals</t>
  </si>
  <si>
    <t>Totals</t>
  </si>
  <si>
    <t>Number</t>
  </si>
  <si>
    <t>White*</t>
  </si>
  <si>
    <t>Other/Unknown</t>
  </si>
  <si>
    <t>*Includes unconfirmed but likely white sharks</t>
  </si>
  <si>
    <t>Activity</t>
  </si>
  <si>
    <t>Kayaking</t>
  </si>
  <si>
    <t>MonthDay</t>
  </si>
  <si>
    <t>January</t>
  </si>
  <si>
    <t>February</t>
  </si>
  <si>
    <t>March</t>
  </si>
  <si>
    <t>April</t>
  </si>
  <si>
    <t>May</t>
  </si>
  <si>
    <t>June</t>
  </si>
  <si>
    <t>July</t>
  </si>
  <si>
    <t>August</t>
  </si>
  <si>
    <t>September</t>
  </si>
  <si>
    <t>October</t>
  </si>
  <si>
    <t>November</t>
  </si>
  <si>
    <t>December</t>
  </si>
  <si>
    <t>Huntington Beach, Tower 16</t>
  </si>
  <si>
    <t>Butterfly Beach, Santa Barbara</t>
  </si>
  <si>
    <t>GSAF, detailed reportn't confirm elsewhere</t>
  </si>
  <si>
    <t>San Miguel Islandstle Rock</t>
  </si>
  <si>
    <t>Terramar Beachrlsbad</t>
  </si>
  <si>
    <t>Leffingwell Landingmbria</t>
  </si>
  <si>
    <t>"Bunkers", North Jetty, Humboldt Bay</t>
  </si>
  <si>
    <t>Oceano Dunes State Beach, Oceano</t>
  </si>
  <si>
    <t>Montana de Oro State Park</t>
  </si>
  <si>
    <t>Huntington Beach-Lifeguard Tower 17</t>
  </si>
  <si>
    <t>Gaviota State Beach</t>
  </si>
  <si>
    <t>Morro Rock, Morro Bay</t>
  </si>
  <si>
    <t>El Pescador State Beach, Malibu</t>
  </si>
  <si>
    <t>Horseshoe Rock, Santa Barbara</t>
  </si>
  <si>
    <t>Corona del Mar State Beach</t>
  </si>
  <si>
    <t>Refugio State Beach</t>
  </si>
  <si>
    <t>"Bunkers", South Jetty, Humboldt Bay</t>
  </si>
  <si>
    <t>San Carlos Beach, Monterey</t>
  </si>
  <si>
    <t>"Church", San Onofre State Beach</t>
  </si>
  <si>
    <t>Goleta Beach, Santa Barbara</t>
  </si>
  <si>
    <t>Stearns Warf, Santa Barbara</t>
  </si>
  <si>
    <t>Vandenberg AFB</t>
  </si>
  <si>
    <t>Leadbetter Point</t>
  </si>
  <si>
    <t>Pacific Grove, Lover’s Point</t>
  </si>
  <si>
    <t>Tomales Point</t>
  </si>
  <si>
    <t>Cypress Point</t>
  </si>
  <si>
    <t>Pigeon Point</t>
  </si>
  <si>
    <t>Franklin Point</t>
  </si>
  <si>
    <t>Tomales Point, Elephant Rock</t>
  </si>
  <si>
    <t>San Pedro Point</t>
  </si>
  <si>
    <t>San Miguel Island, Harris Point</t>
  </si>
  <si>
    <t>Tomales Point, Bird Rock</t>
  </si>
  <si>
    <t>Half Moon Bay, Pillar Point</t>
  </si>
  <si>
    <t>Fort Bragg - Abalone Point</t>
  </si>
  <si>
    <t>Point Lobos, outer Bluefish Cove</t>
  </si>
  <si>
    <t>IncidentNum</t>
  </si>
  <si>
    <t>InjuryT</t>
  </si>
  <si>
    <t>Fatality</t>
  </si>
  <si>
    <t>Non-fatal Injury</t>
  </si>
  <si>
    <t>Average</t>
  </si>
  <si>
    <t>Shark hit kayak, knocking kayaker into the water without injury</t>
  </si>
  <si>
    <t>Average Injuries</t>
  </si>
  <si>
    <t>Average Fatalities</t>
  </si>
  <si>
    <t>1990's</t>
  </si>
  <si>
    <t>1980's</t>
  </si>
  <si>
    <t>1970's</t>
  </si>
  <si>
    <t>1960's</t>
  </si>
  <si>
    <t>1950's</t>
  </si>
  <si>
    <t>Pebble Beach</t>
  </si>
  <si>
    <t>Shark buzzed diver at 30-40 feet deep, then bit leg when on surface, major injury but leg saved</t>
  </si>
  <si>
    <t>CDFW Wardens; Santa Cruz Sentinel</t>
  </si>
  <si>
    <t>Drake's Estero</t>
  </si>
  <si>
    <t>Shark bit surfers foot - no other data available</t>
  </si>
  <si>
    <t>National Park Service Tweet, Various Newspapers</t>
  </si>
  <si>
    <t>Shark bit surfers foot with minor damage to toes. Surfer hit shark, estimated 12'. Refused treatment</t>
  </si>
  <si>
    <t>National Park Service Tweet, Santa Rosa Press Democrat; Point Reyes Light</t>
  </si>
  <si>
    <t>* To Date, January 2018. This includes all documented and confirmed interactions with sharks of any species. Previously included data may have been removed due to lack of substantiating records.</t>
  </si>
  <si>
    <t>Oceanside</t>
  </si>
  <si>
    <t>NBC and Fox news</t>
  </si>
  <si>
    <t>Likely White</t>
  </si>
  <si>
    <t>NOT COUNTED</t>
  </si>
  <si>
    <t>Walking in shallow</t>
  </si>
  <si>
    <t>Woman wading while trying to take photo of dying salmon shark was either bitten or scraped on foot</t>
  </si>
  <si>
    <t>Not Used</t>
  </si>
  <si>
    <t>News Reports - Witness accounts</t>
  </si>
  <si>
    <t>Boy wading in ocean saw shark approach and bump him, no injuries</t>
  </si>
  <si>
    <t>Sacramento Bee and other news accounts</t>
  </si>
  <si>
    <t>minor*</t>
  </si>
  <si>
    <t>surface*</t>
  </si>
  <si>
    <t>Beacon's Beach - Encinitas</t>
  </si>
  <si>
    <t>LA Times and other sources</t>
  </si>
  <si>
    <t>Freediving for lobster - shark bit upper torso with major injuries to shoulder. Rescued by nearby divers/kayakers - presumed white</t>
  </si>
  <si>
    <t>Unkown</t>
  </si>
  <si>
    <t>17 foot wite shark bit diver in hand/arm diver helicoptered to shore</t>
  </si>
  <si>
    <t>CBS News and other news sources</t>
  </si>
  <si>
    <t>17 foot white shark bit diver in hand/arm diver helicoptered to shore</t>
  </si>
  <si>
    <t>15 foot white shark bit surfer in legs. Surfer able to swim to beach and drive to hospital, 50 stiches in legs</t>
  </si>
  <si>
    <t>State parks, San Luis Tribune</t>
  </si>
  <si>
    <t>Month of Event</t>
  </si>
  <si>
    <t>10 yr avg</t>
  </si>
  <si>
    <t>White shark bit surfers leash, shook board, no injury</t>
  </si>
  <si>
    <t>Mary Callahan, Staff Writer,The Press Democrat</t>
  </si>
  <si>
    <t>Shark grabbed surfer Todd Endris and board, dragging underwater. Major injuries to torso and thighs</t>
  </si>
  <si>
    <t>Thresher</t>
  </si>
  <si>
    <t>Surfer saw 8' shark with very long tail. As he tried to paddle away, shark bumped board then hit his leg with tail several times before swimming away</t>
  </si>
  <si>
    <t>Personal Email to Dept. Director</t>
  </si>
  <si>
    <t>Catalina Island, Ship Rock</t>
  </si>
  <si>
    <t>Approximately 10 foot Shark bit kayak and pushed it leaving marks and teeth, no injury</t>
  </si>
  <si>
    <t>LA County Life Guards and photographs and local news</t>
  </si>
  <si>
    <t>Island - Santa Rosa</t>
  </si>
  <si>
    <t>Santa Rosa Island - Talcott Shoals</t>
  </si>
  <si>
    <t>Approximately 15 foot shark bit surfer on upper thigh, rescued by buddy on boat and airlifted by USCG</t>
  </si>
  <si>
    <t>National Marine Sanctuary, KTLA News, other news sources with video</t>
  </si>
  <si>
    <t>2020's</t>
  </si>
  <si>
    <t>20 yr avg</t>
  </si>
  <si>
    <t>Pigeon Point/Bean Hollow</t>
  </si>
  <si>
    <t>San Pedro Point, Pacifica</t>
  </si>
  <si>
    <t>Angler claims white shark hit kayak - no other data found</t>
  </si>
  <si>
    <t>GSAF ONLY - NO MEDIA and Facebook Post not found</t>
  </si>
  <si>
    <t>Surfside</t>
  </si>
  <si>
    <t>Unclear that shark hit board or board hit shark. In surf and kite boarder knocked off board while moving</t>
  </si>
  <si>
    <t>GSAF ONLY - NO MEDIA</t>
  </si>
  <si>
    <t>none*</t>
  </si>
  <si>
    <t>Shark bit a lay-down paddle board, knocking boarder into water, no injury</t>
  </si>
  <si>
    <t>KSBW News, Patch.com</t>
  </si>
  <si>
    <t>2020s</t>
  </si>
  <si>
    <t>Encinitas, Moonlight Beach</t>
  </si>
  <si>
    <t>Surfer claims to have been circled by shark, then possibly kicked it, injury determined to be stingray and other bystanders said no shark</t>
  </si>
  <si>
    <t>Padaro Lane, Carpenteria</t>
  </si>
  <si>
    <t>Swimmer bumped by approximately 5' long shark, with dark dorsal, in areas where several young white sharks seen earlier, minor laceration to foot</t>
  </si>
  <si>
    <t>KEYT News, other local sources</t>
  </si>
  <si>
    <t>Manresa State Beach - Sand Dollar Beach</t>
  </si>
  <si>
    <t>CNN, CBS multiple others</t>
  </si>
  <si>
    <t>Surfer bitten in leg pronounced dead on scene, no witnesses of the shark but white sharks known to be in area - Presumed white</t>
  </si>
  <si>
    <t>Santa Cruz - Manresa Beach</t>
  </si>
  <si>
    <t>Not counted due to lack of information or unlikely to be shark</t>
  </si>
  <si>
    <t>percent</t>
  </si>
  <si>
    <t>Time</t>
  </si>
  <si>
    <t>??</t>
  </si>
  <si>
    <t>afternoon</t>
  </si>
  <si>
    <t>early am</t>
  </si>
  <si>
    <t>Surfer attacked with major injuries to legs - This is widely reported as a killer whale incident. Only Shark attack file says white shark</t>
  </si>
  <si>
    <t>Hour</t>
  </si>
  <si>
    <t>Count</t>
  </si>
  <si>
    <t>Free diver attacked at surface, dragged under with minor cuts to foot - News reports state this is a killer whale, with confirmation from Steinhardt</t>
  </si>
  <si>
    <t xml:space="preserve">Santa Cruz Sentinel and San Bernadino Sun </t>
  </si>
  <si>
    <t>Killer Whale</t>
  </si>
  <si>
    <t>Santa Cruz Sentinel and Desert Sun</t>
  </si>
  <si>
    <t>major*</t>
  </si>
  <si>
    <t>Miller/Collier, Coronado Paper</t>
  </si>
  <si>
    <t>Miller/Collier, Santa Cruz Sentinel</t>
  </si>
  <si>
    <t>Miller/Collier, Madiera Tribune, San Beradino Sun</t>
  </si>
  <si>
    <t>Miller/Collier, Coronado Paper, San Diego Union</t>
  </si>
  <si>
    <t>Miller/Collier, Desert Sun</t>
  </si>
  <si>
    <t>Miller/Collier, Santa Cruz Sentinel, San Bernadino Sun</t>
  </si>
  <si>
    <t>Miller/Collier, San Bernadino Sun</t>
  </si>
  <si>
    <t>Miller/Collier</t>
  </si>
  <si>
    <t>Miller/Collier, AP article (unknown source)</t>
  </si>
  <si>
    <t>Miller/Collier, LA Times, San Bernadino Sun</t>
  </si>
  <si>
    <t>Miller/Collier, LA Times</t>
  </si>
  <si>
    <t>Miller/Collier, CA Aggie, San Bernadino Sun</t>
  </si>
  <si>
    <t>Lea/Miller, AP Article (Unknown Source)</t>
  </si>
  <si>
    <t>Lea/Miller, CA Aggie</t>
  </si>
  <si>
    <t>Lea/Miller, AP Photo with caption</t>
  </si>
  <si>
    <t>Lea/Miller</t>
  </si>
  <si>
    <t>GSAF, report not confirm elsewhere</t>
  </si>
  <si>
    <t>Lea/Miller, UPI, SF Chronicle</t>
  </si>
  <si>
    <t>Lea/Miller, NY Times</t>
  </si>
  <si>
    <t>Lea/Mccosker, LA Times, Other articles</t>
  </si>
  <si>
    <t>Lea/Mccosker, LA Times</t>
  </si>
  <si>
    <t>Lea/Mccosker, Santa Cruz Sentinel</t>
  </si>
  <si>
    <t>Lea/Mccosker, AP Article</t>
  </si>
  <si>
    <t>GSAF, Times Standard</t>
  </si>
  <si>
    <t>Lea/Mccosker, Harvest of the Sea Book</t>
  </si>
  <si>
    <t>GSAF, LA Times, Alert Diver magazine</t>
  </si>
  <si>
    <t>Lea/Mccosker, Riptide article</t>
  </si>
  <si>
    <t>Lea/Mccosker, Bay Area Sea Kayakers</t>
  </si>
  <si>
    <t>Lea/Mccosker, SD Union (included in 65 years article)</t>
  </si>
  <si>
    <t>GSAF, Press Democrat</t>
  </si>
  <si>
    <t>Lea/Mccosker, Press Democrat</t>
  </si>
  <si>
    <t>Lea/Mccosker, SF Chronicle</t>
  </si>
  <si>
    <t>GSAF with photo</t>
  </si>
  <si>
    <t>Lea/Mccosker, Half Moon Bay Review</t>
  </si>
  <si>
    <t>GSAF, Lea/McCosker - Discounted by Lea/McCosker due to conflicting news reports and no injuries.</t>
  </si>
  <si>
    <t>Blue*</t>
  </si>
  <si>
    <t>Shark grabbed surfboard leash with no injury to surfer. Possible blue shark fin described as "black" - conflicting reports without support/documentation</t>
  </si>
  <si>
    <t>Lea/Mccosker, SF Chronicle, Santa Cruz Sentinel</t>
  </si>
  <si>
    <t>Lea/Mccosker; SF Chronicle, LA Times</t>
  </si>
  <si>
    <t>GSAF, OC Register</t>
  </si>
  <si>
    <t>NOTE - Due to removal of previously counted incidents, the incident number does not match the count of incidents. Incident numbers 22, 27, and 96 were removed</t>
  </si>
  <si>
    <t>white</t>
  </si>
  <si>
    <t>Kayak bitten and punctured. Kayaker hit shark. Kayak took on water, and kayaker rescued by boater</t>
  </si>
  <si>
    <t>North Coast Journal, Lost Coast Journal</t>
  </si>
  <si>
    <t>Island - Santa Cruz</t>
  </si>
  <si>
    <t>Pedro Point</t>
  </si>
  <si>
    <t>35'</t>
  </si>
  <si>
    <t xml:space="preserve">David Kushner, CINP, bumped from behind while spearfishing for halibut then shark swam in front of him and away. </t>
  </si>
  <si>
    <t>Personal account from David Kushner</t>
  </si>
  <si>
    <t xml:space="preserve">David Kushner, bumped on upper right side of body from behind while spearfishing for halibut then shark swam in front of him and away. </t>
  </si>
  <si>
    <t>Yellow Banks</t>
  </si>
  <si>
    <t>Shark hit spearfisherman with fish on belt on diver's right side, repeatedly attempted to bite again, diver shoved fish in shark's mouth and swam to boat, minor lacerations to right leg</t>
  </si>
  <si>
    <t>Personal account from Matt Lum; Santa Barbara Independent, Undercurrents</t>
  </si>
  <si>
    <t>Bluff Cove, Palos Verdes</t>
  </si>
  <si>
    <t>Free diving spear fisherman had fish on a stringer and a 7-8' white shark grabbed fish, retreated when hit, then approached again. Stringer caused minor cut to fisherman's leg.</t>
  </si>
  <si>
    <t>Peraonal aacount emailed to Department with photo</t>
  </si>
  <si>
    <t>Personal aacount emailed to Department with photo</t>
  </si>
  <si>
    <t>Kayak bitten and punctured. Kayaker thrown into water but able to get back on without injury</t>
  </si>
  <si>
    <t>FortheWin</t>
  </si>
  <si>
    <t>Coronado</t>
  </si>
  <si>
    <t>Swimmer's fin bitten by juvenile white shark while swimming on surface. Not injury</t>
  </si>
  <si>
    <t>NBC San Diego and multiple SD News outlets</t>
  </si>
  <si>
    <t>Coronado - G Street</t>
  </si>
  <si>
    <t>WFL Case #</t>
  </si>
  <si>
    <t>C2947</t>
  </si>
  <si>
    <t>C2973</t>
  </si>
  <si>
    <t>C2976 (ISAF)</t>
  </si>
  <si>
    <t>C3007 (ISAF)</t>
  </si>
  <si>
    <t>Malibu - Broad Beach</t>
  </si>
  <si>
    <t>Mako</t>
  </si>
  <si>
    <t>Something slammed into board/person causing back/neck injury and lacerations. After the fact person "remembered" seeing a mako shark, no other witnesses confirmed</t>
  </si>
  <si>
    <t>GSAF, LA Magazine (no additional info)</t>
  </si>
  <si>
    <t>Gray Whale State Beach (Devil's Slide)</t>
  </si>
  <si>
    <t>Surfer was bitten on upper thigh, swam in to beach where fisherman assisted until emergency crews arrived.</t>
  </si>
  <si>
    <t>NBC, SFGate and other news</t>
  </si>
  <si>
    <t>Snorkeler was bitten on upper thigh, swam in to beach where fisherman assisted until emergency crews arrived. Originally reported as swimmer, then surfer.</t>
  </si>
  <si>
    <t>NBC and ABC news</t>
  </si>
  <si>
    <t>Catalina Island, Parson's Landing</t>
  </si>
  <si>
    <t>Canoer from boy scout camp was bitten on hand after feeling something bump boat, airlifted due to remote location but not for major injury. Location from LA life guards Parson's Landing</t>
  </si>
  <si>
    <t>Cambria, Leffingwell Landing</t>
  </si>
  <si>
    <t>Kayaker was struck from below, knocked into water, and bumped by shark. Shark then came back, grabbed kayak and pushed it 30 feet. No injury</t>
  </si>
  <si>
    <t>Personal account emailed to Director</t>
  </si>
  <si>
    <t>Personal account emailed to Director, followed up with photos and DNA</t>
  </si>
  <si>
    <t>C3096</t>
  </si>
  <si>
    <t>Moss Landing Jetty</t>
  </si>
  <si>
    <t>C3106</t>
  </si>
  <si>
    <t>Surfer was paddling and felt something hit his board, when he got to shore there were tooth marks, CDFW forensics lab could not detect WS DNA</t>
  </si>
  <si>
    <t>Personal account by phone to CDFW staff, followed up with photos</t>
  </si>
  <si>
    <t>Surfer was paddling and felt something hit his board, when he got to shore there were tooth marks,CDFW forensics lab could not detect WS DNA</t>
  </si>
  <si>
    <t>White shark bit surfer on leg/thigh with major injuries. Surfer medivaced to hospital. CDFW confirmed species from DNA</t>
  </si>
  <si>
    <t>CDFW Wardens, media reports</t>
  </si>
  <si>
    <t>C3133</t>
  </si>
  <si>
    <t>(blank)</t>
  </si>
  <si>
    <t>Grand Total</t>
  </si>
  <si>
    <t>Row Labels</t>
  </si>
  <si>
    <t>Count of MonthDay</t>
  </si>
  <si>
    <t>Surfer saw 10'-12' shark which then "charged" him, circled, and charged again before surfer reached shore</t>
  </si>
  <si>
    <t>State parks incident form with first person account</t>
  </si>
  <si>
    <t>Morro Strand State Beach</t>
  </si>
  <si>
    <t>Surfer found victim face down in water. Signficant injuries to chest and pronounced dead at scene.</t>
  </si>
  <si>
    <t>Surfer found victim face down in water. Signficant injuries to chest and pronounced dead at scene. Species confirmed through DNA by CDFW.</t>
  </si>
  <si>
    <t>C3156</t>
  </si>
  <si>
    <t>Moon Phase</t>
  </si>
  <si>
    <t>WANING CRESCENT</t>
  </si>
  <si>
    <t>Percent Full</t>
  </si>
  <si>
    <t>WAXING CRESCENT</t>
  </si>
  <si>
    <t>WANING GIBBOUS</t>
  </si>
  <si>
    <t>FULL</t>
  </si>
  <si>
    <t>WAXING GIBBOUS</t>
  </si>
  <si>
    <t>NEW</t>
  </si>
  <si>
    <t>Full</t>
  </si>
  <si>
    <t>New</t>
  </si>
  <si>
    <t>Moon Phases Calculated from www.moonpage.com using a time of 12:00:00 Eastern Time</t>
  </si>
  <si>
    <t>WANING GIBBOUS </t>
  </si>
  <si>
    <t>Half</t>
  </si>
  <si>
    <t>Other</t>
  </si>
  <si>
    <t>WANING CRESCENT </t>
  </si>
  <si>
    <t>Injury Incidents</t>
  </si>
  <si>
    <t>&gt;50% Illumination</t>
  </si>
  <si>
    <t>&lt;50% Illumination</t>
  </si>
  <si>
    <t>Miller/Collier, Coronado Paper, Oceanside Paper</t>
  </si>
  <si>
    <t>Terramar Beach</t>
  </si>
  <si>
    <t>Lovers Point</t>
  </si>
  <si>
    <t>Monastery Beach</t>
  </si>
  <si>
    <t>Castle Rock</t>
  </si>
  <si>
    <t>Harris Point</t>
  </si>
  <si>
    <t>West Cove</t>
  </si>
  <si>
    <t>Goleta Beach</t>
  </si>
  <si>
    <t>Ship Rock</t>
  </si>
  <si>
    <t>Talcott Shoals</t>
  </si>
  <si>
    <t>Parson's Landing</t>
  </si>
  <si>
    <t>Miller/Coliier, GSAF</t>
  </si>
  <si>
    <t>Miller/Collier, LA Times confirmed in report on SECOND attack in 1990</t>
  </si>
  <si>
    <t>Shark attacked abalone Hookah Diving diver on bottom, major injuries to head, back and buttocks. Incorrectly reported in Miller/Collier as 1972</t>
  </si>
  <si>
    <t>Miller/Collier, Santa Cruz Sentinel, LA Times</t>
  </si>
  <si>
    <t>Miller/Collier; GSAF</t>
  </si>
  <si>
    <t>Non-Injury</t>
  </si>
  <si>
    <t>Injury Type</t>
  </si>
  <si>
    <t>Island - Santa Barbara</t>
  </si>
  <si>
    <t>Santa Barbara Island</t>
  </si>
  <si>
    <t>underwater</t>
  </si>
  <si>
    <t>blue</t>
  </si>
  <si>
    <t>Filmaker was intentionally filming blue sharks when one bit his left forearm and hand, bait was used - therefore not counted</t>
  </si>
  <si>
    <t>LA Times</t>
  </si>
  <si>
    <t>Miller/Collier, News Ledger</t>
  </si>
  <si>
    <t>GSAF; Surfline; NBC 7</t>
  </si>
  <si>
    <t>Lea/Mccosker, GSAF</t>
  </si>
  <si>
    <t>Lea/Mccosker; GSAF with photos</t>
  </si>
  <si>
    <t>Lea/Mccosker; GSAF</t>
  </si>
  <si>
    <t>GSAF, Santa Cruz Sentinel</t>
  </si>
  <si>
    <t>Lea/Miller, GSAF</t>
  </si>
  <si>
    <t>San Miguel Island - Northeast side</t>
  </si>
  <si>
    <t>LA Times, USCG Incident Report</t>
  </si>
  <si>
    <t>Diver bitten on right foot by 12-14' white shark while on surface. Bleeding controlled on site, medevaced by USCG to Santa Barbara</t>
  </si>
  <si>
    <t>Average Non-injury</t>
  </si>
  <si>
    <t>Non-Injury Incidents</t>
  </si>
  <si>
    <t>Min</t>
  </si>
  <si>
    <t>Max</t>
  </si>
  <si>
    <t>Result</t>
  </si>
  <si>
    <t>Gibbous</t>
  </si>
  <si>
    <t>Crescent</t>
  </si>
  <si>
    <t>Shark buzzed diver at 30-40 feet deep, then bit leg when on surface, major injury but leg saved; confirmed white through DNA sample</t>
  </si>
  <si>
    <t>C2775</t>
  </si>
  <si>
    <t>Non-Fatal Injury</t>
  </si>
  <si>
    <t>Percent</t>
  </si>
  <si>
    <t xml:space="preserve"> Non-Fatal Injury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</si>
</sst>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mm/dd/yy;@"/>
    <numFmt numFmtId="166" formatCode="h:mm;@"/>
    <numFmt numFmtId="167" formatCode="0.000"/>
  </numFmts>
  <fonts count="13" x14ac:knownFonts="1">
    <font>
      <sz val="11"/>
      <color theme="1"/>
      <name val="Calibri"/>
      <family val="2"/>
      <scheme val="minor"/>
    </font>
    <font>
      <b/>
      <sz val="11"/>
      <color theme="1"/>
      <name val="Calibri"/>
      <family val="2"/>
      <scheme val="minor"/>
    </font>
    <font>
      <b/>
      <sz val="12"/>
      <color theme="1"/>
      <name val="Arial"/>
      <family val="2"/>
    </font>
    <font>
      <sz val="12"/>
      <color theme="1"/>
      <name val="Arial"/>
      <family val="2"/>
    </font>
    <font>
      <sz val="12"/>
      <name val="Arial"/>
      <family val="2"/>
    </font>
    <font>
      <b/>
      <sz val="12"/>
      <color rgb="FF000000"/>
      <name val="Arial"/>
      <family val="2"/>
    </font>
    <font>
      <sz val="12"/>
      <color rgb="FF000000"/>
      <name val="Arial"/>
      <family val="2"/>
    </font>
    <font>
      <i/>
      <sz val="12"/>
      <color rgb="FF000000"/>
      <name val="Arial"/>
      <family val="2"/>
    </font>
    <font>
      <sz val="11"/>
      <color rgb="FF000000"/>
      <name val="Calibri"/>
      <family val="2"/>
    </font>
    <font>
      <i/>
      <sz val="11"/>
      <color rgb="FF000000"/>
      <name val="Calibri"/>
      <family val="2"/>
    </font>
    <font>
      <sz val="14"/>
      <color rgb="FF222222"/>
      <name val="Arial"/>
      <family val="2"/>
    </font>
    <font>
      <sz val="11"/>
      <color theme="1"/>
      <name val="Arial"/>
      <family val="2"/>
    </font>
    <font>
      <sz val="11"/>
      <color rgb="FF00000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9BBB59"/>
        <bgColor rgb="FF000000"/>
      </patternFill>
    </fill>
    <fill>
      <patternFill patternType="solid">
        <fgColor rgb="FFFFFFFF"/>
        <bgColor rgb="FF000000"/>
      </patternFill>
    </fill>
    <fill>
      <patternFill patternType="solid">
        <fgColor theme="3" tint="0.79998168889431442"/>
        <bgColor rgb="FF000000"/>
      </patternFill>
    </fill>
    <fill>
      <patternFill patternType="solid">
        <fgColor theme="5" tint="0.79998168889431442"/>
        <bgColor indexed="64"/>
      </patternFill>
    </fill>
    <fill>
      <patternFill patternType="solid">
        <fgColor rgb="FF9BBB59"/>
        <bgColor indexed="64"/>
      </patternFill>
    </fill>
    <fill>
      <patternFill patternType="solid">
        <fgColor theme="0"/>
        <bgColor rgb="FF000000"/>
      </patternFill>
    </fill>
    <fill>
      <patternFill patternType="solid">
        <fgColor theme="5" tint="0.79998168889431442"/>
        <bgColor rgb="FF000000"/>
      </patternFill>
    </fill>
    <fill>
      <patternFill patternType="solid">
        <fgColor rgb="FFFFFF00"/>
        <bgColor indexed="64"/>
      </patternFill>
    </fill>
    <fill>
      <patternFill patternType="solid">
        <fgColor theme="9"/>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94">
    <xf numFmtId="0" fontId="0" fillId="0" borderId="0" xfId="0"/>
    <xf numFmtId="0" fontId="2" fillId="0" borderId="0" xfId="0" applyFont="1"/>
    <xf numFmtId="164" fontId="2" fillId="0" borderId="1" xfId="0" applyNumberFormat="1" applyFont="1" applyBorder="1"/>
    <xf numFmtId="0" fontId="4" fillId="0" borderId="1" xfId="0" applyNumberFormat="1" applyFont="1" applyFill="1" applyBorder="1" applyAlignment="1" applyProtection="1">
      <alignment horizontal="left"/>
    </xf>
    <xf numFmtId="1" fontId="4" fillId="0" borderId="1" xfId="0" applyNumberFormat="1" applyFont="1" applyFill="1" applyBorder="1" applyAlignment="1" applyProtection="1">
      <alignment horizontal="left"/>
    </xf>
    <xf numFmtId="0" fontId="4" fillId="0" borderId="1" xfId="0" applyNumberFormat="1" applyFont="1" applyFill="1" applyBorder="1" applyAlignment="1" applyProtection="1">
      <alignment horizontal="left" vertical="top"/>
    </xf>
    <xf numFmtId="0" fontId="4" fillId="0" borderId="2" xfId="0" applyNumberFormat="1" applyFont="1" applyFill="1" applyBorder="1" applyAlignment="1" applyProtection="1">
      <alignment horizontal="left"/>
    </xf>
    <xf numFmtId="0" fontId="4" fillId="3" borderId="1" xfId="0" applyNumberFormat="1" applyFont="1" applyFill="1" applyBorder="1" applyAlignment="1" applyProtection="1">
      <alignment horizontal="left"/>
    </xf>
    <xf numFmtId="0" fontId="4" fillId="0" borderId="1" xfId="0" applyNumberFormat="1" applyFont="1" applyFill="1" applyBorder="1" applyAlignment="1" applyProtection="1">
      <alignment horizontal="left" wrapText="1"/>
    </xf>
    <xf numFmtId="0" fontId="4" fillId="0" borderId="2" xfId="0" applyNumberFormat="1" applyFont="1" applyFill="1" applyBorder="1" applyAlignment="1" applyProtection="1">
      <alignment horizontal="left" vertical="top"/>
    </xf>
    <xf numFmtId="0" fontId="4" fillId="3" borderId="1" xfId="0" applyNumberFormat="1" applyFont="1" applyFill="1" applyBorder="1" applyAlignment="1" applyProtection="1">
      <alignment horizontal="left" vertical="top"/>
    </xf>
    <xf numFmtId="0" fontId="3" fillId="0" borderId="0" xfId="0" applyFont="1"/>
    <xf numFmtId="0" fontId="3" fillId="0" borderId="0" xfId="0" applyFont="1" applyFill="1" applyBorder="1" applyAlignment="1">
      <alignment vertical="center" wrapText="1"/>
    </xf>
    <xf numFmtId="0" fontId="4" fillId="0" borderId="0" xfId="0" applyNumberFormat="1" applyFont="1" applyFill="1" applyBorder="1" applyAlignment="1" applyProtection="1">
      <alignment horizontal="left"/>
    </xf>
    <xf numFmtId="0" fontId="5" fillId="0" borderId="0" xfId="0" applyFont="1" applyFill="1" applyBorder="1"/>
    <xf numFmtId="164" fontId="5" fillId="0" borderId="1" xfId="0" applyNumberFormat="1" applyFont="1" applyFill="1" applyBorder="1"/>
    <xf numFmtId="0" fontId="5" fillId="0" borderId="1" xfId="0" applyFont="1" applyFill="1" applyBorder="1"/>
    <xf numFmtId="0" fontId="5" fillId="0" borderId="2" xfId="0" applyFont="1" applyFill="1" applyBorder="1"/>
    <xf numFmtId="0" fontId="6" fillId="0" borderId="1" xfId="0" applyFont="1" applyFill="1" applyBorder="1"/>
    <xf numFmtId="164" fontId="6" fillId="0" borderId="1" xfId="0" applyNumberFormat="1" applyFont="1" applyFill="1" applyBorder="1"/>
    <xf numFmtId="0" fontId="6" fillId="0" borderId="2" xfId="0" applyFont="1" applyFill="1" applyBorder="1"/>
    <xf numFmtId="0" fontId="6" fillId="6" borderId="1" xfId="0" applyFont="1" applyFill="1" applyBorder="1"/>
    <xf numFmtId="0" fontId="6" fillId="0" borderId="2" xfId="0" applyFont="1" applyFill="1" applyBorder="1" applyAlignment="1">
      <alignment horizontal="left"/>
    </xf>
    <xf numFmtId="0" fontId="6" fillId="0" borderId="1" xfId="0" applyFont="1" applyFill="1" applyBorder="1" applyAlignment="1">
      <alignment horizontal="left"/>
    </xf>
    <xf numFmtId="0" fontId="6" fillId="0" borderId="0" xfId="0" applyFont="1" applyFill="1" applyBorder="1"/>
    <xf numFmtId="164" fontId="6" fillId="7" borderId="1" xfId="0" applyNumberFormat="1" applyFont="1" applyFill="1" applyBorder="1"/>
    <xf numFmtId="0" fontId="4" fillId="7" borderId="1" xfId="0" applyNumberFormat="1" applyFont="1" applyFill="1" applyBorder="1" applyAlignment="1" applyProtection="1">
      <alignment horizontal="left"/>
    </xf>
    <xf numFmtId="0" fontId="6" fillId="7" borderId="2" xfId="0" applyFont="1" applyFill="1" applyBorder="1" applyAlignment="1">
      <alignment horizontal="left"/>
    </xf>
    <xf numFmtId="0" fontId="6" fillId="7" borderId="1" xfId="0" applyFont="1" applyFill="1" applyBorder="1"/>
    <xf numFmtId="164" fontId="6" fillId="0" borderId="1" xfId="0" applyNumberFormat="1" applyFont="1" applyFill="1" applyBorder="1" applyAlignment="1">
      <alignment horizontal="right" vertical="center" wrapText="1"/>
    </xf>
    <xf numFmtId="0" fontId="6" fillId="0" borderId="1" xfId="0" applyFont="1" applyFill="1" applyBorder="1" applyAlignment="1">
      <alignment vertical="center" wrapText="1"/>
    </xf>
    <xf numFmtId="0" fontId="7" fillId="0" borderId="1" xfId="0" applyFont="1" applyFill="1" applyBorder="1" applyAlignment="1">
      <alignment vertical="center" wrapText="1"/>
    </xf>
    <xf numFmtId="0" fontId="6" fillId="0" borderId="3" xfId="0" applyFont="1" applyFill="1" applyBorder="1"/>
    <xf numFmtId="0" fontId="6" fillId="0" borderId="0" xfId="0" applyFont="1" applyFill="1" applyBorder="1" applyAlignment="1">
      <alignment vertical="center" wrapText="1"/>
    </xf>
    <xf numFmtId="164" fontId="6" fillId="6" borderId="0" xfId="0" applyNumberFormat="1" applyFont="1" applyFill="1" applyBorder="1"/>
    <xf numFmtId="164" fontId="6" fillId="0" borderId="0" xfId="0" applyNumberFormat="1" applyFont="1" applyFill="1" applyBorder="1"/>
    <xf numFmtId="14" fontId="2" fillId="0" borderId="1" xfId="0" applyNumberFormat="1" applyFont="1" applyBorder="1"/>
    <xf numFmtId="0" fontId="2" fillId="0" borderId="0" xfId="0" applyFont="1" applyFill="1" applyBorder="1"/>
    <xf numFmtId="0" fontId="2" fillId="0" borderId="0" xfId="0" applyFont="1" applyAlignment="1">
      <alignment horizontal="right"/>
    </xf>
    <xf numFmtId="0" fontId="2" fillId="0" borderId="0" xfId="0" applyFont="1" applyFill="1" applyBorder="1" applyAlignment="1">
      <alignment horizontal="right"/>
    </xf>
    <xf numFmtId="0" fontId="0" fillId="0" borderId="0" xfId="0" applyBorder="1" applyAlignment="1">
      <alignment horizontal="left"/>
    </xf>
    <xf numFmtId="0" fontId="3" fillId="0" borderId="0" xfId="0" applyFont="1" applyBorder="1" applyAlignment="1">
      <alignment horizontal="left"/>
    </xf>
    <xf numFmtId="0" fontId="3" fillId="0" borderId="0" xfId="0" applyFont="1" applyBorder="1" applyAlignment="1">
      <alignment horizontal="right"/>
    </xf>
    <xf numFmtId="0" fontId="3" fillId="0" borderId="0" xfId="0" applyFont="1" applyAlignment="1">
      <alignment horizontal="right"/>
    </xf>
    <xf numFmtId="0" fontId="3" fillId="0" borderId="0" xfId="0" applyFont="1" applyFill="1" applyBorder="1" applyAlignment="1">
      <alignment horizontal="right"/>
    </xf>
    <xf numFmtId="0" fontId="0" fillId="0" borderId="0" xfId="0" applyFill="1"/>
    <xf numFmtId="0" fontId="3" fillId="0" borderId="0" xfId="0" applyFont="1" applyFill="1"/>
    <xf numFmtId="0" fontId="3" fillId="0" borderId="0" xfId="0" applyFont="1" applyFill="1" applyAlignment="1">
      <alignment horizontal="right"/>
    </xf>
    <xf numFmtId="0" fontId="3" fillId="0" borderId="0" xfId="0" applyFont="1" applyFill="1" applyBorder="1" applyAlignment="1">
      <alignment horizontal="left"/>
    </xf>
    <xf numFmtId="0" fontId="6" fillId="0" borderId="0" xfId="0" applyFont="1" applyBorder="1" applyAlignment="1">
      <alignment horizontal="right" vertical="center" wrapText="1"/>
    </xf>
    <xf numFmtId="0" fontId="6" fillId="0" borderId="0" xfId="0" applyFont="1" applyFill="1" applyBorder="1" applyAlignment="1">
      <alignment horizontal="right" vertical="center" wrapText="1"/>
    </xf>
    <xf numFmtId="0" fontId="7" fillId="0" borderId="0" xfId="0" applyFont="1" applyBorder="1" applyAlignment="1">
      <alignment horizontal="right" vertical="center" wrapText="1"/>
    </xf>
    <xf numFmtId="15" fontId="6" fillId="0" borderId="0" xfId="0" applyNumberFormat="1" applyFont="1" applyBorder="1" applyAlignment="1">
      <alignment horizontal="right" vertical="center" wrapText="1"/>
    </xf>
    <xf numFmtId="15" fontId="6" fillId="0" borderId="0" xfId="0" applyNumberFormat="1" applyFont="1" applyFill="1" applyBorder="1" applyAlignment="1">
      <alignment horizontal="right" vertical="center" wrapText="1"/>
    </xf>
    <xf numFmtId="0" fontId="0" fillId="0" borderId="0" xfId="0" applyFill="1" applyBorder="1" applyAlignment="1">
      <alignment horizontal="left"/>
    </xf>
    <xf numFmtId="0" fontId="8"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8" fillId="0" borderId="0" xfId="0" applyFont="1" applyBorder="1" applyAlignment="1">
      <alignment horizontal="left" vertical="center" wrapText="1"/>
    </xf>
    <xf numFmtId="0" fontId="6" fillId="0" borderId="0" xfId="0" applyFont="1" applyBorder="1" applyAlignment="1">
      <alignment horizontal="left" vertical="center" wrapText="1"/>
    </xf>
    <xf numFmtId="165" fontId="2" fillId="0" borderId="1" xfId="0" applyNumberFormat="1" applyFont="1" applyBorder="1"/>
    <xf numFmtId="0" fontId="1" fillId="0" borderId="0" xfId="0" applyFont="1"/>
    <xf numFmtId="0" fontId="0" fillId="0" borderId="0" xfId="0" applyAlignment="1">
      <alignment horizontal="right"/>
    </xf>
    <xf numFmtId="0" fontId="0" fillId="0" borderId="0" xfId="0" applyFill="1" applyAlignment="1">
      <alignment horizontal="right"/>
    </xf>
    <xf numFmtId="0" fontId="0" fillId="0" borderId="0" xfId="0" applyBorder="1" applyAlignment="1">
      <alignment horizontal="right"/>
    </xf>
    <xf numFmtId="0" fontId="4" fillId="0" borderId="0" xfId="0" applyNumberFormat="1" applyFont="1" applyFill="1" applyBorder="1" applyAlignment="1" applyProtection="1">
      <alignment horizontal="left" vertical="top"/>
    </xf>
    <xf numFmtId="0" fontId="9" fillId="0" borderId="0" xfId="0" applyFont="1" applyFill="1" applyBorder="1" applyAlignment="1">
      <alignment horizontal="left" vertical="center" wrapText="1"/>
    </xf>
    <xf numFmtId="0" fontId="3" fillId="3" borderId="1" xfId="0" applyNumberFormat="1" applyFont="1" applyFill="1" applyBorder="1"/>
    <xf numFmtId="0" fontId="3" fillId="0" borderId="0" xfId="0" applyNumberFormat="1" applyFont="1" applyFill="1" applyBorder="1"/>
    <xf numFmtId="0" fontId="10" fillId="0" borderId="0" xfId="0" applyFont="1"/>
    <xf numFmtId="0" fontId="3" fillId="0" borderId="1" xfId="0" applyNumberFormat="1" applyFont="1" applyBorder="1"/>
    <xf numFmtId="0" fontId="3" fillId="0" borderId="1" xfId="0" applyNumberFormat="1" applyFont="1" applyFill="1" applyBorder="1"/>
    <xf numFmtId="0" fontId="3" fillId="0" borderId="0" xfId="0" applyNumberFormat="1" applyFont="1" applyFill="1" applyBorder="1" applyAlignment="1">
      <alignment horizontal="righ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xf numFmtId="0" fontId="3" fillId="4" borderId="1" xfId="0" applyNumberFormat="1" applyFont="1" applyFill="1" applyBorder="1"/>
    <xf numFmtId="0" fontId="4" fillId="2" borderId="1" xfId="0" applyNumberFormat="1" applyFont="1" applyFill="1" applyBorder="1"/>
    <xf numFmtId="0" fontId="0" fillId="0" borderId="0" xfId="0" applyFill="1" applyBorder="1"/>
    <xf numFmtId="0" fontId="3" fillId="3" borderId="1" xfId="0" applyNumberFormat="1" applyFont="1" applyFill="1" applyBorder="1" applyAlignment="1">
      <alignment horizontal="right" vertical="center" wrapText="1"/>
    </xf>
    <xf numFmtId="0" fontId="3" fillId="5" borderId="1" xfId="0" applyNumberFormat="1" applyFont="1" applyFill="1" applyBorder="1" applyAlignment="1">
      <alignment horizontal="right" vertical="center" wrapText="1"/>
    </xf>
    <xf numFmtId="164" fontId="6" fillId="8" borderId="1" xfId="0" applyNumberFormat="1" applyFont="1" applyFill="1" applyBorder="1"/>
    <xf numFmtId="0" fontId="4" fillId="8" borderId="1" xfId="0" applyNumberFormat="1" applyFont="1" applyFill="1" applyBorder="1" applyAlignment="1" applyProtection="1">
      <alignment horizontal="left"/>
    </xf>
    <xf numFmtId="164" fontId="4" fillId="8" borderId="1" xfId="0" applyNumberFormat="1" applyFont="1" applyFill="1" applyBorder="1"/>
    <xf numFmtId="164" fontId="6" fillId="8" borderId="1" xfId="0" applyNumberFormat="1" applyFont="1" applyFill="1" applyBorder="1" applyAlignment="1">
      <alignment horizontal="right" vertical="center" wrapText="1"/>
    </xf>
    <xf numFmtId="0" fontId="4" fillId="8" borderId="1" xfId="0" applyNumberFormat="1" applyFont="1" applyFill="1" applyBorder="1" applyAlignment="1" applyProtection="1">
      <alignment horizontal="left" vertical="top"/>
    </xf>
    <xf numFmtId="1" fontId="4" fillId="8" borderId="1" xfId="0" applyNumberFormat="1" applyFont="1" applyFill="1" applyBorder="1" applyAlignment="1" applyProtection="1">
      <alignment horizontal="left"/>
    </xf>
    <xf numFmtId="164" fontId="6" fillId="3" borderId="1" xfId="0" applyNumberFormat="1" applyFont="1" applyFill="1" applyBorder="1"/>
    <xf numFmtId="0" fontId="6" fillId="8" borderId="1" xfId="0" applyFont="1" applyFill="1" applyBorder="1"/>
    <xf numFmtId="0" fontId="6" fillId="8" borderId="1" xfId="0" applyFont="1" applyFill="1" applyBorder="1" applyAlignment="1">
      <alignment vertical="center" wrapText="1"/>
    </xf>
    <xf numFmtId="0" fontId="6" fillId="3" borderId="1" xfId="0" applyFont="1" applyFill="1" applyBorder="1"/>
    <xf numFmtId="0" fontId="6" fillId="3" borderId="0" xfId="0" applyFont="1" applyFill="1" applyBorder="1"/>
    <xf numFmtId="164" fontId="0" fillId="0" borderId="0" xfId="0" applyNumberFormat="1"/>
    <xf numFmtId="1" fontId="0" fillId="0" borderId="0" xfId="0" applyNumberFormat="1"/>
    <xf numFmtId="165" fontId="3" fillId="0" borderId="0" xfId="0" applyNumberFormat="1" applyFont="1"/>
    <xf numFmtId="14" fontId="0" fillId="0" borderId="0" xfId="0" applyNumberFormat="1"/>
    <xf numFmtId="14" fontId="3" fillId="0" borderId="1" xfId="0" applyNumberFormat="1" applyFont="1" applyBorder="1"/>
    <xf numFmtId="0" fontId="3" fillId="9" borderId="1" xfId="0" applyFont="1" applyFill="1" applyBorder="1"/>
    <xf numFmtId="14" fontId="3" fillId="9" borderId="1" xfId="0" applyNumberFormat="1" applyFont="1" applyFill="1" applyBorder="1"/>
    <xf numFmtId="0" fontId="3" fillId="0" borderId="1" xfId="0" applyFont="1" applyBorder="1"/>
    <xf numFmtId="0" fontId="3" fillId="0" borderId="1" xfId="0" applyFont="1" applyFill="1" applyBorder="1"/>
    <xf numFmtId="14" fontId="3" fillId="0" borderId="1" xfId="0" applyNumberFormat="1" applyFont="1" applyFill="1" applyBorder="1"/>
    <xf numFmtId="0" fontId="3" fillId="0" borderId="0" xfId="0" applyFont="1" applyFill="1" applyBorder="1"/>
    <xf numFmtId="0" fontId="3" fillId="10" borderId="1" xfId="0" applyFont="1" applyFill="1" applyBorder="1"/>
    <xf numFmtId="0" fontId="11" fillId="0" borderId="0" xfId="0" applyFont="1"/>
    <xf numFmtId="0" fontId="3" fillId="0" borderId="2" xfId="0" applyFont="1" applyBorder="1"/>
    <xf numFmtId="0" fontId="0" fillId="0" borderId="0" xfId="0" applyFont="1" applyFill="1" applyBorder="1"/>
    <xf numFmtId="0" fontId="0" fillId="0" borderId="0" xfId="0" applyFont="1" applyBorder="1"/>
    <xf numFmtId="14" fontId="0" fillId="0" borderId="0" xfId="0" applyNumberFormat="1" applyFont="1" applyBorder="1"/>
    <xf numFmtId="0" fontId="12" fillId="0" borderId="0" xfId="0" applyFont="1" applyFill="1" applyBorder="1"/>
    <xf numFmtId="0" fontId="3" fillId="0" borderId="0" xfId="0" applyFont="1" applyBorder="1"/>
    <xf numFmtId="14" fontId="3" fillId="0" borderId="0" xfId="0" applyNumberFormat="1" applyFont="1" applyBorder="1"/>
    <xf numFmtId="0" fontId="3" fillId="3" borderId="1" xfId="0" applyFont="1" applyFill="1" applyBorder="1"/>
    <xf numFmtId="14" fontId="3" fillId="3" borderId="1" xfId="0" applyNumberFormat="1" applyFont="1" applyFill="1" applyBorder="1"/>
    <xf numFmtId="0" fontId="6" fillId="11" borderId="0" xfId="0" applyFont="1" applyFill="1" applyBorder="1"/>
    <xf numFmtId="0" fontId="6" fillId="9" borderId="1" xfId="0" applyFont="1" applyFill="1" applyBorder="1"/>
    <xf numFmtId="164" fontId="6" fillId="9" borderId="1" xfId="0" applyNumberFormat="1" applyFont="1" applyFill="1" applyBorder="1" applyAlignment="1">
      <alignment horizontal="right" vertical="center" wrapText="1"/>
    </xf>
    <xf numFmtId="0" fontId="6" fillId="9" borderId="1" xfId="0" applyFont="1" applyFill="1" applyBorder="1" applyAlignment="1">
      <alignment vertical="center" wrapText="1"/>
    </xf>
    <xf numFmtId="0" fontId="4" fillId="9" borderId="1" xfId="0" applyNumberFormat="1" applyFont="1" applyFill="1" applyBorder="1" applyAlignment="1" applyProtection="1">
      <alignment horizontal="left"/>
    </xf>
    <xf numFmtId="0" fontId="3" fillId="9" borderId="8" xfId="0" applyFont="1" applyFill="1" applyBorder="1"/>
    <xf numFmtId="14" fontId="3" fillId="9" borderId="8" xfId="0" applyNumberFormat="1" applyFont="1" applyFill="1" applyBorder="1"/>
    <xf numFmtId="165" fontId="3" fillId="0" borderId="1" xfId="0" applyNumberFormat="1" applyFont="1" applyBorder="1"/>
    <xf numFmtId="0" fontId="3" fillId="9" borderId="0" xfId="0" applyFont="1" applyFill="1"/>
    <xf numFmtId="10" fontId="0" fillId="0" borderId="0" xfId="0" applyNumberFormat="1"/>
    <xf numFmtId="20" fontId="3" fillId="0" borderId="1" xfId="0" applyNumberFormat="1" applyFont="1" applyBorder="1"/>
    <xf numFmtId="20" fontId="3" fillId="3" borderId="1" xfId="0" applyNumberFormat="1" applyFont="1" applyFill="1" applyBorder="1"/>
    <xf numFmtId="20" fontId="3" fillId="0" borderId="1" xfId="0" applyNumberFormat="1" applyFont="1" applyFill="1" applyBorder="1"/>
    <xf numFmtId="166" fontId="6" fillId="0" borderId="1" xfId="0" applyNumberFormat="1" applyFont="1" applyFill="1" applyBorder="1" applyAlignment="1">
      <alignment horizontal="right" vertical="center" wrapText="1"/>
    </xf>
    <xf numFmtId="166" fontId="6" fillId="0" borderId="1" xfId="0" applyNumberFormat="1" applyFont="1" applyFill="1" applyBorder="1"/>
    <xf numFmtId="166" fontId="4" fillId="8" borderId="1" xfId="0" applyNumberFormat="1" applyFont="1" applyFill="1" applyBorder="1"/>
    <xf numFmtId="166" fontId="6" fillId="8" borderId="1" xfId="0" applyNumberFormat="1" applyFont="1" applyFill="1" applyBorder="1"/>
    <xf numFmtId="166" fontId="6" fillId="7" borderId="1" xfId="0" applyNumberFormat="1" applyFont="1" applyFill="1" applyBorder="1"/>
    <xf numFmtId="166" fontId="6" fillId="3" borderId="1" xfId="0" applyNumberFormat="1" applyFont="1" applyFill="1" applyBorder="1"/>
    <xf numFmtId="166" fontId="6" fillId="8" borderId="1" xfId="0" applyNumberFormat="1" applyFont="1" applyFill="1" applyBorder="1" applyAlignment="1">
      <alignment horizontal="right" vertical="center" wrapText="1"/>
    </xf>
    <xf numFmtId="166" fontId="6" fillId="9" borderId="1" xfId="0" applyNumberFormat="1" applyFont="1" applyFill="1" applyBorder="1" applyAlignment="1">
      <alignment horizontal="right" vertical="center" wrapText="1"/>
    </xf>
    <xf numFmtId="20" fontId="0" fillId="0" borderId="0" xfId="0" applyNumberFormat="1"/>
    <xf numFmtId="164" fontId="6" fillId="9" borderId="1" xfId="0" applyNumberFormat="1" applyFont="1" applyFill="1" applyBorder="1"/>
    <xf numFmtId="166" fontId="6" fillId="9" borderId="1" xfId="0" applyNumberFormat="1" applyFont="1" applyFill="1" applyBorder="1"/>
    <xf numFmtId="0" fontId="6" fillId="12" borderId="1" xfId="0" applyFont="1" applyFill="1" applyBorder="1"/>
    <xf numFmtId="0" fontId="3" fillId="13" borderId="0" xfId="0" applyFont="1" applyFill="1" applyBorder="1"/>
    <xf numFmtId="14" fontId="3" fillId="13" borderId="0" xfId="0" applyNumberFormat="1" applyFont="1" applyFill="1" applyBorder="1"/>
    <xf numFmtId="164" fontId="6" fillId="12" borderId="1" xfId="0" applyNumberFormat="1" applyFont="1" applyFill="1" applyBorder="1"/>
    <xf numFmtId="166" fontId="6" fillId="12" borderId="1" xfId="0" applyNumberFormat="1" applyFont="1" applyFill="1" applyBorder="1"/>
    <xf numFmtId="0" fontId="4" fillId="12" borderId="1" xfId="0" applyNumberFormat="1" applyFont="1" applyFill="1" applyBorder="1" applyAlignment="1" applyProtection="1">
      <alignment horizontal="left"/>
    </xf>
    <xf numFmtId="164" fontId="6" fillId="3" borderId="1" xfId="0" applyNumberFormat="1" applyFont="1" applyFill="1" applyBorder="1" applyAlignment="1">
      <alignment horizontal="right" vertical="center" wrapText="1"/>
    </xf>
    <xf numFmtId="166" fontId="6" fillId="3" borderId="1" xfId="0" applyNumberFormat="1" applyFont="1" applyFill="1" applyBorder="1" applyAlignment="1">
      <alignment horizontal="right" vertical="center" wrapText="1"/>
    </xf>
    <xf numFmtId="0" fontId="6" fillId="3" borderId="1" xfId="0" applyFont="1" applyFill="1" applyBorder="1" applyAlignment="1">
      <alignment vertical="center" wrapText="1"/>
    </xf>
    <xf numFmtId="20" fontId="3" fillId="0" borderId="0" xfId="0" applyNumberFormat="1" applyFont="1" applyBorder="1"/>
    <xf numFmtId="14" fontId="3" fillId="14" borderId="0" xfId="0" applyNumberFormat="1" applyFont="1" applyFill="1" applyBorder="1"/>
    <xf numFmtId="0" fontId="3" fillId="14" borderId="0" xfId="0" applyFont="1" applyFill="1" applyBorder="1"/>
    <xf numFmtId="14" fontId="3" fillId="9" borderId="0" xfId="0" applyNumberFormat="1" applyFont="1" applyFill="1" applyBorder="1"/>
    <xf numFmtId="0" fontId="3" fillId="9" borderId="0" xfId="0" applyFont="1" applyFill="1" applyBorder="1"/>
    <xf numFmtId="14" fontId="3" fillId="3" borderId="0" xfId="0" applyNumberFormat="1" applyFont="1" applyFill="1" applyBorder="1"/>
    <xf numFmtId="0" fontId="2" fillId="0" borderId="6" xfId="0" applyNumberFormat="1" applyFont="1" applyFill="1" applyBorder="1"/>
    <xf numFmtId="0" fontId="2" fillId="0" borderId="7" xfId="0" applyNumberFormat="1" applyFont="1" applyFill="1" applyBorder="1"/>
    <xf numFmtId="0" fontId="10" fillId="0" borderId="0" xfId="0" applyNumberFormat="1" applyFont="1"/>
    <xf numFmtId="0" fontId="0" fillId="0" borderId="0" xfId="0" applyNumberFormat="1" applyFill="1" applyBorder="1"/>
    <xf numFmtId="0" fontId="0" fillId="0" borderId="0" xfId="0" applyNumberFormat="1"/>
    <xf numFmtId="0" fontId="2" fillId="0" borderId="0" xfId="0" applyNumberFormat="1" applyFont="1"/>
    <xf numFmtId="0" fontId="6" fillId="0" borderId="0" xfId="0" applyNumberFormat="1" applyFont="1" applyFill="1" applyBorder="1"/>
    <xf numFmtId="164" fontId="5" fillId="0" borderId="8" xfId="0" applyNumberFormat="1" applyFont="1" applyFill="1" applyBorder="1"/>
    <xf numFmtId="0" fontId="5" fillId="0" borderId="8" xfId="0" applyFont="1" applyFill="1" applyBorder="1"/>
    <xf numFmtId="0" fontId="5" fillId="0" borderId="9" xfId="0" applyFont="1" applyFill="1" applyBorder="1"/>
    <xf numFmtId="0" fontId="5" fillId="6" borderId="10" xfId="0" applyFont="1" applyFill="1" applyBorder="1"/>
    <xf numFmtId="0" fontId="5" fillId="6" borderId="8" xfId="0" applyFont="1" applyFill="1" applyBorder="1"/>
    <xf numFmtId="0" fontId="4" fillId="8" borderId="1" xfId="0" applyFont="1" applyFill="1" applyBorder="1"/>
    <xf numFmtId="0" fontId="6" fillId="8" borderId="1" xfId="0" applyFont="1" applyFill="1" applyBorder="1" applyAlignment="1">
      <alignment horizontal="left"/>
    </xf>
    <xf numFmtId="0" fontId="6" fillId="7" borderId="1" xfId="0" applyFont="1" applyFill="1" applyBorder="1" applyAlignment="1">
      <alignment horizontal="left"/>
    </xf>
    <xf numFmtId="0" fontId="6" fillId="3" borderId="1" xfId="0" applyFont="1" applyFill="1" applyBorder="1" applyAlignment="1">
      <alignment horizontal="left"/>
    </xf>
    <xf numFmtId="0" fontId="6" fillId="9" borderId="1" xfId="0" applyFont="1" applyFill="1" applyBorder="1" applyAlignment="1">
      <alignment horizontal="left"/>
    </xf>
    <xf numFmtId="0" fontId="6" fillId="6" borderId="11" xfId="0" applyFont="1" applyFill="1" applyBorder="1"/>
    <xf numFmtId="0" fontId="0" fillId="0" borderId="0" xfId="0" pivotButton="1"/>
    <xf numFmtId="0" fontId="0" fillId="0" borderId="0" xfId="0" applyAlignment="1">
      <alignment horizontal="left"/>
    </xf>
    <xf numFmtId="0" fontId="2" fillId="0" borderId="1" xfId="0" applyFont="1" applyBorder="1"/>
    <xf numFmtId="10" fontId="3" fillId="0" borderId="0" xfId="0" applyNumberFormat="1" applyFont="1"/>
    <xf numFmtId="0" fontId="0" fillId="0" borderId="0" xfId="0" applyFont="1" applyFill="1"/>
    <xf numFmtId="0" fontId="0" fillId="0" borderId="0" xfId="0" applyFont="1"/>
    <xf numFmtId="0" fontId="6" fillId="0" borderId="4" xfId="0" applyFont="1" applyFill="1" applyBorder="1"/>
    <xf numFmtId="0" fontId="3" fillId="15" borderId="1" xfId="0" applyFont="1" applyFill="1" applyBorder="1"/>
    <xf numFmtId="14" fontId="3" fillId="15" borderId="1" xfId="0" applyNumberFormat="1" applyFont="1" applyFill="1" applyBorder="1"/>
    <xf numFmtId="20" fontId="3" fillId="15" borderId="1" xfId="0" applyNumberFormat="1" applyFont="1" applyFill="1" applyBorder="1"/>
    <xf numFmtId="167" fontId="0" fillId="0" borderId="0" xfId="0" applyNumberFormat="1"/>
    <xf numFmtId="0" fontId="2" fillId="0" borderId="0" xfId="0" applyFont="1" applyBorder="1"/>
    <xf numFmtId="0" fontId="6" fillId="0" borderId="1" xfId="0" applyFont="1" applyBorder="1"/>
    <xf numFmtId="164" fontId="6" fillId="0" borderId="1" xfId="0" applyNumberFormat="1" applyFont="1" applyBorder="1"/>
    <xf numFmtId="0" fontId="4" fillId="0" borderId="1" xfId="0" applyFont="1" applyBorder="1" applyAlignment="1">
      <alignment horizontal="left"/>
    </xf>
    <xf numFmtId="0" fontId="4" fillId="0" borderId="1" xfId="0" applyFont="1" applyBorder="1" applyAlignment="1">
      <alignment horizontal="left" vertical="top"/>
    </xf>
    <xf numFmtId="0" fontId="4" fillId="7" borderId="1" xfId="0" applyFont="1" applyFill="1" applyBorder="1" applyAlignment="1">
      <alignment horizontal="left"/>
    </xf>
    <xf numFmtId="0" fontId="4" fillId="3" borderId="1" xfId="0" applyFont="1" applyFill="1" applyBorder="1" applyAlignment="1">
      <alignment horizontal="left"/>
    </xf>
    <xf numFmtId="0" fontId="4" fillId="8" borderId="1" xfId="0" applyFont="1" applyFill="1" applyBorder="1" applyAlignment="1">
      <alignment horizontal="left"/>
    </xf>
    <xf numFmtId="164" fontId="6" fillId="0" borderId="1" xfId="0" applyNumberFormat="1" applyFont="1" applyBorder="1" applyAlignment="1">
      <alignment horizontal="right" vertical="center" wrapText="1"/>
    </xf>
    <xf numFmtId="0" fontId="11" fillId="0" borderId="1" xfId="0" applyFont="1" applyBorder="1"/>
    <xf numFmtId="0" fontId="11" fillId="9" borderId="1" xfId="0" applyFont="1" applyFill="1" applyBorder="1"/>
    <xf numFmtId="0" fontId="2" fillId="0" borderId="5" xfId="0" applyNumberFormat="1" applyFont="1" applyBorder="1" applyAlignment="1">
      <alignment horizontal="center"/>
    </xf>
    <xf numFmtId="0" fontId="2" fillId="0" borderId="0" xfId="0" applyNumberFormat="1" applyFont="1" applyAlignment="1">
      <alignment horizontal="center"/>
    </xf>
  </cellXfs>
  <cellStyles count="1">
    <cellStyle name="Normal" xfId="0" builtinId="0"/>
  </cellStyles>
  <dxfs count="0"/>
  <tableStyles count="0" defaultTableStyle="TableStyleMedium2" defaultPivotStyle="PivotStyleLight16"/>
  <colors>
    <mruColors>
      <color rgb="FF669900"/>
      <color rgb="FFFFFF99"/>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US" sz="1600" baseline="0">
                <a:solidFill>
                  <a:schemeClr val="tx1"/>
                </a:solidFill>
                <a:latin typeface="Arial" panose="020B0604020202020204" pitchFamily="34" charset="0"/>
              </a:rPr>
              <a:t>California Documented Shark Incidents by Decade</a:t>
            </a:r>
          </a:p>
        </c:rich>
      </c:tx>
      <c:layout>
        <c:manualLayout>
          <c:xMode val="edge"/>
          <c:yMode val="edge"/>
          <c:x val="0.142584374294011"/>
          <c:y val="4.62962724758588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Year!$O$1</c:f>
              <c:strCache>
                <c:ptCount val="1"/>
                <c:pt idx="0">
                  <c:v>No Injury</c:v>
                </c:pt>
              </c:strCache>
            </c:strRef>
          </c:tx>
          <c:spPr>
            <a:pattFill prst="pct10">
              <a:fgClr>
                <a:schemeClr val="tx1"/>
              </a:fgClr>
              <a:bgClr>
                <a:schemeClr val="bg1"/>
              </a:bgClr>
            </a:pattFill>
            <a:ln>
              <a:solidFill>
                <a:schemeClr val="tx1"/>
              </a:solidFill>
            </a:ln>
            <a:effectLst/>
            <a:sp3d>
              <a:contourClr>
                <a:schemeClr val="tx1"/>
              </a:contourClr>
            </a:sp3d>
          </c:spPr>
          <c:invertIfNegative val="0"/>
          <c:cat>
            <c:strRef>
              <c:f>Year!$N$2:$N$9</c:f>
              <c:strCache>
                <c:ptCount val="8"/>
                <c:pt idx="0">
                  <c:v>1950s</c:v>
                </c:pt>
                <c:pt idx="1">
                  <c:v>1960s</c:v>
                </c:pt>
                <c:pt idx="2">
                  <c:v>1970s</c:v>
                </c:pt>
                <c:pt idx="3">
                  <c:v>1980s</c:v>
                </c:pt>
                <c:pt idx="4">
                  <c:v>1990s</c:v>
                </c:pt>
                <c:pt idx="5">
                  <c:v>2000s</c:v>
                </c:pt>
                <c:pt idx="6">
                  <c:v>2010s</c:v>
                </c:pt>
                <c:pt idx="7">
                  <c:v>2020s</c:v>
                </c:pt>
              </c:strCache>
            </c:strRef>
          </c:cat>
          <c:val>
            <c:numRef>
              <c:f>Year!$O$2:$O$9</c:f>
              <c:numCache>
                <c:formatCode>General</c:formatCode>
                <c:ptCount val="8"/>
                <c:pt idx="0">
                  <c:v>1</c:v>
                </c:pt>
                <c:pt idx="1">
                  <c:v>1</c:v>
                </c:pt>
                <c:pt idx="2">
                  <c:v>2</c:v>
                </c:pt>
                <c:pt idx="3">
                  <c:v>3</c:v>
                </c:pt>
                <c:pt idx="4">
                  <c:v>11</c:v>
                </c:pt>
                <c:pt idx="5">
                  <c:v>20</c:v>
                </c:pt>
                <c:pt idx="6">
                  <c:v>33</c:v>
                </c:pt>
                <c:pt idx="7">
                  <c:v>8</c:v>
                </c:pt>
              </c:numCache>
            </c:numRef>
          </c:val>
          <c:extLst>
            <c:ext xmlns:c16="http://schemas.microsoft.com/office/drawing/2014/chart" uri="{C3380CC4-5D6E-409C-BE32-E72D297353CC}">
              <c16:uniqueId val="{00000000-57BA-4F8B-8247-734406BC846E}"/>
            </c:ext>
          </c:extLst>
        </c:ser>
        <c:ser>
          <c:idx val="1"/>
          <c:order val="1"/>
          <c:tx>
            <c:strRef>
              <c:f>Year!$P$1</c:f>
              <c:strCache>
                <c:ptCount val="1"/>
                <c:pt idx="0">
                  <c:v>Non-fatal Injuries</c:v>
                </c:pt>
              </c:strCache>
            </c:strRef>
          </c:tx>
          <c:spPr>
            <a:solidFill>
              <a:schemeClr val="tx2">
                <a:lumMod val="60000"/>
                <a:lumOff val="40000"/>
              </a:schemeClr>
            </a:solidFill>
            <a:ln>
              <a:solidFill>
                <a:sysClr val="windowText" lastClr="000000"/>
              </a:solidFill>
            </a:ln>
            <a:effectLst/>
            <a:sp3d>
              <a:contourClr>
                <a:sysClr val="windowText" lastClr="000000"/>
              </a:contourClr>
            </a:sp3d>
          </c:spPr>
          <c:invertIfNegative val="0"/>
          <c:cat>
            <c:strRef>
              <c:f>Year!$N$2:$N$9</c:f>
              <c:strCache>
                <c:ptCount val="8"/>
                <c:pt idx="0">
                  <c:v>1950s</c:v>
                </c:pt>
                <c:pt idx="1">
                  <c:v>1960s</c:v>
                </c:pt>
                <c:pt idx="2">
                  <c:v>1970s</c:v>
                </c:pt>
                <c:pt idx="3">
                  <c:v>1980s</c:v>
                </c:pt>
                <c:pt idx="4">
                  <c:v>1990s</c:v>
                </c:pt>
                <c:pt idx="5">
                  <c:v>2000s</c:v>
                </c:pt>
                <c:pt idx="6">
                  <c:v>2010s</c:v>
                </c:pt>
                <c:pt idx="7">
                  <c:v>2020s</c:v>
                </c:pt>
              </c:strCache>
            </c:strRef>
          </c:cat>
          <c:val>
            <c:numRef>
              <c:f>Year!$P$2:$P$9</c:f>
              <c:numCache>
                <c:formatCode>General</c:formatCode>
                <c:ptCount val="8"/>
                <c:pt idx="0">
                  <c:v>7</c:v>
                </c:pt>
                <c:pt idx="1">
                  <c:v>9</c:v>
                </c:pt>
                <c:pt idx="2">
                  <c:v>17</c:v>
                </c:pt>
                <c:pt idx="3">
                  <c:v>14</c:v>
                </c:pt>
                <c:pt idx="4">
                  <c:v>18</c:v>
                </c:pt>
                <c:pt idx="5">
                  <c:v>17</c:v>
                </c:pt>
                <c:pt idx="6">
                  <c:v>20</c:v>
                </c:pt>
                <c:pt idx="7">
                  <c:v>6</c:v>
                </c:pt>
              </c:numCache>
            </c:numRef>
          </c:val>
          <c:extLst>
            <c:ext xmlns:c16="http://schemas.microsoft.com/office/drawing/2014/chart" uri="{C3380CC4-5D6E-409C-BE32-E72D297353CC}">
              <c16:uniqueId val="{00000001-57BA-4F8B-8247-734406BC846E}"/>
            </c:ext>
          </c:extLst>
        </c:ser>
        <c:ser>
          <c:idx val="2"/>
          <c:order val="2"/>
          <c:tx>
            <c:strRef>
              <c:f>Year!$Q$1</c:f>
              <c:strCache>
                <c:ptCount val="1"/>
                <c:pt idx="0">
                  <c:v>Fatalities</c:v>
                </c:pt>
              </c:strCache>
            </c:strRef>
          </c:tx>
          <c:spPr>
            <a:pattFill prst="wdDnDiag">
              <a:fgClr>
                <a:srgbClr val="C00000"/>
              </a:fgClr>
              <a:bgClr>
                <a:schemeClr val="bg1"/>
              </a:bgClr>
            </a:pattFill>
            <a:ln>
              <a:solidFill>
                <a:srgbClr val="C00000"/>
              </a:solidFill>
            </a:ln>
            <a:effectLst/>
            <a:sp3d>
              <a:contourClr>
                <a:srgbClr val="C00000"/>
              </a:contourClr>
            </a:sp3d>
          </c:spPr>
          <c:invertIfNegative val="0"/>
          <c:cat>
            <c:strRef>
              <c:f>Year!$N$2:$N$9</c:f>
              <c:strCache>
                <c:ptCount val="8"/>
                <c:pt idx="0">
                  <c:v>1950s</c:v>
                </c:pt>
                <c:pt idx="1">
                  <c:v>1960s</c:v>
                </c:pt>
                <c:pt idx="2">
                  <c:v>1970s</c:v>
                </c:pt>
                <c:pt idx="3">
                  <c:v>1980s</c:v>
                </c:pt>
                <c:pt idx="4">
                  <c:v>1990s</c:v>
                </c:pt>
                <c:pt idx="5">
                  <c:v>2000s</c:v>
                </c:pt>
                <c:pt idx="6">
                  <c:v>2010s</c:v>
                </c:pt>
                <c:pt idx="7">
                  <c:v>2020s</c:v>
                </c:pt>
              </c:strCache>
            </c:strRef>
          </c:cat>
          <c:val>
            <c:numRef>
              <c:f>Year!$Q$2:$Q$9</c:f>
              <c:numCache>
                <c:formatCode>General</c:formatCode>
                <c:ptCount val="8"/>
                <c:pt idx="0">
                  <c:v>4</c:v>
                </c:pt>
                <c:pt idx="1">
                  <c:v>0</c:v>
                </c:pt>
                <c:pt idx="2">
                  <c:v>0</c:v>
                </c:pt>
                <c:pt idx="3">
                  <c:v>3</c:v>
                </c:pt>
                <c:pt idx="4">
                  <c:v>1</c:v>
                </c:pt>
                <c:pt idx="5">
                  <c:v>3</c:v>
                </c:pt>
                <c:pt idx="6">
                  <c:v>2</c:v>
                </c:pt>
                <c:pt idx="7">
                  <c:v>2</c:v>
                </c:pt>
              </c:numCache>
            </c:numRef>
          </c:val>
          <c:extLst>
            <c:ext xmlns:c16="http://schemas.microsoft.com/office/drawing/2014/chart" uri="{C3380CC4-5D6E-409C-BE32-E72D297353CC}">
              <c16:uniqueId val="{00000002-57BA-4F8B-8247-734406BC846E}"/>
            </c:ext>
          </c:extLst>
        </c:ser>
        <c:dLbls>
          <c:showLegendKey val="0"/>
          <c:showVal val="0"/>
          <c:showCatName val="0"/>
          <c:showSerName val="0"/>
          <c:showPercent val="0"/>
          <c:showBubbleSize val="0"/>
        </c:dLbls>
        <c:gapWidth val="150"/>
        <c:shape val="box"/>
        <c:axId val="291099168"/>
        <c:axId val="291100152"/>
        <c:axId val="0"/>
      </c:bar3DChart>
      <c:catAx>
        <c:axId val="29109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mn-cs"/>
              </a:defRPr>
            </a:pPr>
            <a:endParaRPr lang="en-US"/>
          </a:p>
        </c:txPr>
        <c:crossAx val="291100152"/>
        <c:crosses val="autoZero"/>
        <c:auto val="1"/>
        <c:lblAlgn val="ctr"/>
        <c:lblOffset val="100"/>
        <c:noMultiLvlLbl val="0"/>
      </c:catAx>
      <c:valAx>
        <c:axId val="29110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291099168"/>
        <c:crosses val="autoZero"/>
        <c:crossBetween val="between"/>
      </c:valAx>
      <c:spPr>
        <a:noFill/>
        <a:ln>
          <a:noFill/>
        </a:ln>
        <a:effectLst/>
      </c:spPr>
    </c:plotArea>
    <c:legend>
      <c:legendPos val="r"/>
      <c:layout>
        <c:manualLayout>
          <c:xMode val="edge"/>
          <c:yMode val="edge"/>
          <c:x val="0.10936681661187612"/>
          <c:y val="0.15748355939086678"/>
          <c:w val="0.2294884272097982"/>
          <c:h val="0.19791305388272712"/>
        </c:manualLayout>
      </c:layout>
      <c:overlay val="1"/>
      <c:spPr>
        <a:solidFill>
          <a:schemeClr val="bg1"/>
        </a:solidFill>
        <a:ln>
          <a:solidFill>
            <a:sysClr val="windowText" lastClr="000000"/>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California Documented Shark Incidents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409463383694635E-2"/>
          <c:y val="8.6941617573113639E-2"/>
          <c:w val="0.93059384054254346"/>
          <c:h val="0.70532299108820906"/>
        </c:manualLayout>
      </c:layout>
      <c:lineChart>
        <c:grouping val="standard"/>
        <c:varyColors val="0"/>
        <c:ser>
          <c:idx val="0"/>
          <c:order val="0"/>
          <c:tx>
            <c:v>Total Incidents</c:v>
          </c:tx>
          <c:spPr>
            <a:ln w="28575" cap="rnd">
              <a:solidFill>
                <a:schemeClr val="tx1"/>
              </a:solidFill>
              <a:prstDash val="lgDashDotDot"/>
              <a:round/>
            </a:ln>
            <a:effectLst/>
          </c:spPr>
          <c:marker>
            <c:symbol val="none"/>
          </c:marker>
          <c:val>
            <c:numRef>
              <c:f>Year!$F$2:$F$73</c:f>
              <c:numCache>
                <c:formatCode>General</c:formatCode>
                <c:ptCount val="72"/>
                <c:pt idx="0">
                  <c:v>1</c:v>
                </c:pt>
                <c:pt idx="1">
                  <c:v>0</c:v>
                </c:pt>
                <c:pt idx="2">
                  <c:v>2</c:v>
                </c:pt>
                <c:pt idx="3">
                  <c:v>0</c:v>
                </c:pt>
                <c:pt idx="4">
                  <c:v>0</c:v>
                </c:pt>
                <c:pt idx="5">
                  <c:v>1</c:v>
                </c:pt>
                <c:pt idx="6">
                  <c:v>1</c:v>
                </c:pt>
                <c:pt idx="7">
                  <c:v>1</c:v>
                </c:pt>
                <c:pt idx="8">
                  <c:v>1</c:v>
                </c:pt>
                <c:pt idx="9">
                  <c:v>5</c:v>
                </c:pt>
                <c:pt idx="10">
                  <c:v>2</c:v>
                </c:pt>
                <c:pt idx="11">
                  <c:v>2</c:v>
                </c:pt>
                <c:pt idx="12">
                  <c:v>2</c:v>
                </c:pt>
                <c:pt idx="13">
                  <c:v>0</c:v>
                </c:pt>
                <c:pt idx="14">
                  <c:v>1</c:v>
                </c:pt>
                <c:pt idx="15">
                  <c:v>0</c:v>
                </c:pt>
                <c:pt idx="16">
                  <c:v>1</c:v>
                </c:pt>
                <c:pt idx="17">
                  <c:v>0</c:v>
                </c:pt>
                <c:pt idx="18">
                  <c:v>1</c:v>
                </c:pt>
                <c:pt idx="19">
                  <c:v>1</c:v>
                </c:pt>
                <c:pt idx="20">
                  <c:v>0</c:v>
                </c:pt>
                <c:pt idx="21">
                  <c:v>1</c:v>
                </c:pt>
                <c:pt idx="22">
                  <c:v>2</c:v>
                </c:pt>
                <c:pt idx="23">
                  <c:v>0</c:v>
                </c:pt>
                <c:pt idx="24">
                  <c:v>7</c:v>
                </c:pt>
                <c:pt idx="25">
                  <c:v>4</c:v>
                </c:pt>
                <c:pt idx="26">
                  <c:v>2</c:v>
                </c:pt>
                <c:pt idx="27">
                  <c:v>1</c:v>
                </c:pt>
                <c:pt idx="28">
                  <c:v>1</c:v>
                </c:pt>
                <c:pt idx="29">
                  <c:v>1</c:v>
                </c:pt>
                <c:pt idx="30">
                  <c:v>1</c:v>
                </c:pt>
                <c:pt idx="31">
                  <c:v>1</c:v>
                </c:pt>
                <c:pt idx="32">
                  <c:v>4</c:v>
                </c:pt>
                <c:pt idx="33">
                  <c:v>0</c:v>
                </c:pt>
                <c:pt idx="34">
                  <c:v>3</c:v>
                </c:pt>
                <c:pt idx="35">
                  <c:v>4</c:v>
                </c:pt>
                <c:pt idx="36">
                  <c:v>1</c:v>
                </c:pt>
                <c:pt idx="37">
                  <c:v>2</c:v>
                </c:pt>
                <c:pt idx="38">
                  <c:v>2</c:v>
                </c:pt>
                <c:pt idx="39">
                  <c:v>2</c:v>
                </c:pt>
                <c:pt idx="40">
                  <c:v>5</c:v>
                </c:pt>
                <c:pt idx="41">
                  <c:v>4</c:v>
                </c:pt>
                <c:pt idx="42">
                  <c:v>5</c:v>
                </c:pt>
                <c:pt idx="43">
                  <c:v>4</c:v>
                </c:pt>
                <c:pt idx="44">
                  <c:v>1</c:v>
                </c:pt>
                <c:pt idx="45">
                  <c:v>4</c:v>
                </c:pt>
                <c:pt idx="46">
                  <c:v>4</c:v>
                </c:pt>
                <c:pt idx="47">
                  <c:v>1</c:v>
                </c:pt>
                <c:pt idx="48">
                  <c:v>1</c:v>
                </c:pt>
                <c:pt idx="49">
                  <c:v>1</c:v>
                </c:pt>
                <c:pt idx="50">
                  <c:v>2</c:v>
                </c:pt>
                <c:pt idx="51">
                  <c:v>0</c:v>
                </c:pt>
                <c:pt idx="52">
                  <c:v>3</c:v>
                </c:pt>
                <c:pt idx="53">
                  <c:v>1</c:v>
                </c:pt>
                <c:pt idx="54">
                  <c:v>8</c:v>
                </c:pt>
                <c:pt idx="55">
                  <c:v>5</c:v>
                </c:pt>
                <c:pt idx="56">
                  <c:v>3</c:v>
                </c:pt>
                <c:pt idx="57">
                  <c:v>9</c:v>
                </c:pt>
                <c:pt idx="58">
                  <c:v>4</c:v>
                </c:pt>
                <c:pt idx="59">
                  <c:v>5</c:v>
                </c:pt>
                <c:pt idx="60">
                  <c:v>5</c:v>
                </c:pt>
                <c:pt idx="61">
                  <c:v>5</c:v>
                </c:pt>
                <c:pt idx="62">
                  <c:v>7</c:v>
                </c:pt>
                <c:pt idx="63">
                  <c:v>4</c:v>
                </c:pt>
                <c:pt idx="64">
                  <c:v>7</c:v>
                </c:pt>
                <c:pt idx="65">
                  <c:v>7</c:v>
                </c:pt>
                <c:pt idx="66">
                  <c:v>3</c:v>
                </c:pt>
                <c:pt idx="67">
                  <c:v>8</c:v>
                </c:pt>
                <c:pt idx="68">
                  <c:v>4</c:v>
                </c:pt>
                <c:pt idx="69">
                  <c:v>5</c:v>
                </c:pt>
                <c:pt idx="70">
                  <c:v>8</c:v>
                </c:pt>
                <c:pt idx="71">
                  <c:v>7</c:v>
                </c:pt>
              </c:numCache>
            </c:numRef>
          </c:val>
          <c:smooth val="0"/>
          <c:extLst>
            <c:ext xmlns:c16="http://schemas.microsoft.com/office/drawing/2014/chart" uri="{C3380CC4-5D6E-409C-BE32-E72D297353CC}">
              <c16:uniqueId val="{00000002-D7D6-4ABD-8384-35F1845857F9}"/>
            </c:ext>
          </c:extLst>
        </c:ser>
        <c:ser>
          <c:idx val="5"/>
          <c:order val="1"/>
          <c:tx>
            <c:v>Non-Injury</c:v>
          </c:tx>
          <c:spPr>
            <a:ln w="28575" cap="rnd">
              <a:solidFill>
                <a:srgbClr val="00B050"/>
              </a:solidFill>
              <a:round/>
            </a:ln>
            <a:effectLst/>
          </c:spPr>
          <c:marker>
            <c:symbol val="none"/>
          </c:marker>
          <c:val>
            <c:numRef>
              <c:f>Year!$G$2:$G$73</c:f>
              <c:numCache>
                <c:formatCode>General</c:formatCode>
                <c:ptCount val="72"/>
                <c:pt idx="0">
                  <c:v>0</c:v>
                </c:pt>
                <c:pt idx="1">
                  <c:v>0</c:v>
                </c:pt>
                <c:pt idx="2">
                  <c:v>0</c:v>
                </c:pt>
                <c:pt idx="3">
                  <c:v>0</c:v>
                </c:pt>
                <c:pt idx="4">
                  <c:v>0</c:v>
                </c:pt>
                <c:pt idx="5">
                  <c:v>0</c:v>
                </c:pt>
                <c:pt idx="6">
                  <c:v>0</c:v>
                </c:pt>
                <c:pt idx="7">
                  <c:v>0</c:v>
                </c:pt>
                <c:pt idx="8">
                  <c:v>0</c:v>
                </c:pt>
                <c:pt idx="9">
                  <c:v>1</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1</c:v>
                </c:pt>
                <c:pt idx="30">
                  <c:v>1</c:v>
                </c:pt>
                <c:pt idx="31">
                  <c:v>0</c:v>
                </c:pt>
                <c:pt idx="32">
                  <c:v>1</c:v>
                </c:pt>
                <c:pt idx="33">
                  <c:v>0</c:v>
                </c:pt>
                <c:pt idx="34">
                  <c:v>0</c:v>
                </c:pt>
                <c:pt idx="35">
                  <c:v>1</c:v>
                </c:pt>
                <c:pt idx="36">
                  <c:v>0</c:v>
                </c:pt>
                <c:pt idx="37">
                  <c:v>0</c:v>
                </c:pt>
                <c:pt idx="38">
                  <c:v>0</c:v>
                </c:pt>
                <c:pt idx="39">
                  <c:v>0</c:v>
                </c:pt>
                <c:pt idx="40">
                  <c:v>2</c:v>
                </c:pt>
                <c:pt idx="41">
                  <c:v>2</c:v>
                </c:pt>
                <c:pt idx="42">
                  <c:v>2</c:v>
                </c:pt>
                <c:pt idx="43">
                  <c:v>2</c:v>
                </c:pt>
                <c:pt idx="44">
                  <c:v>0</c:v>
                </c:pt>
                <c:pt idx="45">
                  <c:v>0</c:v>
                </c:pt>
                <c:pt idx="46">
                  <c:v>1</c:v>
                </c:pt>
                <c:pt idx="47">
                  <c:v>0</c:v>
                </c:pt>
                <c:pt idx="48">
                  <c:v>1</c:v>
                </c:pt>
                <c:pt idx="49">
                  <c:v>1</c:v>
                </c:pt>
                <c:pt idx="50">
                  <c:v>1</c:v>
                </c:pt>
                <c:pt idx="51">
                  <c:v>0</c:v>
                </c:pt>
                <c:pt idx="52">
                  <c:v>1</c:v>
                </c:pt>
                <c:pt idx="53">
                  <c:v>0</c:v>
                </c:pt>
                <c:pt idx="54">
                  <c:v>4</c:v>
                </c:pt>
                <c:pt idx="55">
                  <c:v>2</c:v>
                </c:pt>
                <c:pt idx="56">
                  <c:v>2</c:v>
                </c:pt>
                <c:pt idx="57">
                  <c:v>4</c:v>
                </c:pt>
                <c:pt idx="58">
                  <c:v>3</c:v>
                </c:pt>
                <c:pt idx="59">
                  <c:v>3</c:v>
                </c:pt>
                <c:pt idx="60">
                  <c:v>3</c:v>
                </c:pt>
                <c:pt idx="61">
                  <c:v>4</c:v>
                </c:pt>
                <c:pt idx="62">
                  <c:v>4</c:v>
                </c:pt>
                <c:pt idx="63">
                  <c:v>2</c:v>
                </c:pt>
                <c:pt idx="64">
                  <c:v>5</c:v>
                </c:pt>
                <c:pt idx="65">
                  <c:v>4</c:v>
                </c:pt>
                <c:pt idx="66">
                  <c:v>1</c:v>
                </c:pt>
                <c:pt idx="67">
                  <c:v>5</c:v>
                </c:pt>
                <c:pt idx="68">
                  <c:v>2</c:v>
                </c:pt>
                <c:pt idx="69">
                  <c:v>3</c:v>
                </c:pt>
                <c:pt idx="70">
                  <c:v>5</c:v>
                </c:pt>
                <c:pt idx="71">
                  <c:v>3</c:v>
                </c:pt>
              </c:numCache>
            </c:numRef>
          </c:val>
          <c:smooth val="0"/>
          <c:extLst>
            <c:ext xmlns:c16="http://schemas.microsoft.com/office/drawing/2014/chart" uri="{C3380CC4-5D6E-409C-BE32-E72D297353CC}">
              <c16:uniqueId val="{00000001-D7D6-4ABD-8384-35F1845857F9}"/>
            </c:ext>
          </c:extLst>
        </c:ser>
        <c:ser>
          <c:idx val="1"/>
          <c:order val="2"/>
          <c:tx>
            <c:strRef>
              <c:f>Year!$H$1</c:f>
              <c:strCache>
                <c:ptCount val="1"/>
                <c:pt idx="0">
                  <c:v>Injuries</c:v>
                </c:pt>
              </c:strCache>
            </c:strRef>
          </c:tx>
          <c:spPr>
            <a:ln w="28575" cap="rnd">
              <a:solidFill>
                <a:schemeClr val="accent1"/>
              </a:solidFill>
              <a:prstDash val="sysDash"/>
              <a:round/>
            </a:ln>
            <a:effectLst/>
          </c:spPr>
          <c:marker>
            <c:symbol val="none"/>
          </c:marker>
          <c:cat>
            <c:numRef>
              <c:f>Year!$E$2:$E$73</c:f>
              <c:numCache>
                <c:formatCode>General</c:formatCod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numCache>
            </c:numRef>
          </c:cat>
          <c:val>
            <c:numRef>
              <c:f>Year!$H$2:$H$73</c:f>
              <c:numCache>
                <c:formatCode>General</c:formatCode>
                <c:ptCount val="72"/>
                <c:pt idx="0">
                  <c:v>1</c:v>
                </c:pt>
                <c:pt idx="1">
                  <c:v>0</c:v>
                </c:pt>
                <c:pt idx="2">
                  <c:v>1</c:v>
                </c:pt>
                <c:pt idx="3">
                  <c:v>0</c:v>
                </c:pt>
                <c:pt idx="4">
                  <c:v>0</c:v>
                </c:pt>
                <c:pt idx="5">
                  <c:v>1</c:v>
                </c:pt>
                <c:pt idx="6">
                  <c:v>1</c:v>
                </c:pt>
                <c:pt idx="7">
                  <c:v>0</c:v>
                </c:pt>
                <c:pt idx="8">
                  <c:v>1</c:v>
                </c:pt>
                <c:pt idx="9">
                  <c:v>2</c:v>
                </c:pt>
                <c:pt idx="10">
                  <c:v>2</c:v>
                </c:pt>
                <c:pt idx="11">
                  <c:v>1</c:v>
                </c:pt>
                <c:pt idx="12">
                  <c:v>2</c:v>
                </c:pt>
                <c:pt idx="13">
                  <c:v>0</c:v>
                </c:pt>
                <c:pt idx="14">
                  <c:v>1</c:v>
                </c:pt>
                <c:pt idx="15">
                  <c:v>0</c:v>
                </c:pt>
                <c:pt idx="16">
                  <c:v>1</c:v>
                </c:pt>
                <c:pt idx="17">
                  <c:v>0</c:v>
                </c:pt>
                <c:pt idx="18">
                  <c:v>1</c:v>
                </c:pt>
                <c:pt idx="19">
                  <c:v>1</c:v>
                </c:pt>
                <c:pt idx="20">
                  <c:v>0</c:v>
                </c:pt>
                <c:pt idx="21">
                  <c:v>1</c:v>
                </c:pt>
                <c:pt idx="22">
                  <c:v>2</c:v>
                </c:pt>
                <c:pt idx="23">
                  <c:v>0</c:v>
                </c:pt>
                <c:pt idx="24">
                  <c:v>7</c:v>
                </c:pt>
                <c:pt idx="25">
                  <c:v>3</c:v>
                </c:pt>
                <c:pt idx="26">
                  <c:v>2</c:v>
                </c:pt>
                <c:pt idx="27">
                  <c:v>1</c:v>
                </c:pt>
                <c:pt idx="28">
                  <c:v>1</c:v>
                </c:pt>
                <c:pt idx="29">
                  <c:v>0</c:v>
                </c:pt>
                <c:pt idx="30">
                  <c:v>0</c:v>
                </c:pt>
                <c:pt idx="31">
                  <c:v>0</c:v>
                </c:pt>
                <c:pt idx="32">
                  <c:v>3</c:v>
                </c:pt>
                <c:pt idx="33">
                  <c:v>0</c:v>
                </c:pt>
                <c:pt idx="34">
                  <c:v>2</c:v>
                </c:pt>
                <c:pt idx="35">
                  <c:v>3</c:v>
                </c:pt>
                <c:pt idx="36">
                  <c:v>1</c:v>
                </c:pt>
                <c:pt idx="37">
                  <c:v>2</c:v>
                </c:pt>
                <c:pt idx="38">
                  <c:v>2</c:v>
                </c:pt>
                <c:pt idx="39">
                  <c:v>1</c:v>
                </c:pt>
                <c:pt idx="40">
                  <c:v>3</c:v>
                </c:pt>
                <c:pt idx="41">
                  <c:v>2</c:v>
                </c:pt>
                <c:pt idx="42">
                  <c:v>3</c:v>
                </c:pt>
                <c:pt idx="43">
                  <c:v>2</c:v>
                </c:pt>
                <c:pt idx="44">
                  <c:v>0</c:v>
                </c:pt>
                <c:pt idx="45">
                  <c:v>4</c:v>
                </c:pt>
                <c:pt idx="46">
                  <c:v>3</c:v>
                </c:pt>
                <c:pt idx="47">
                  <c:v>1</c:v>
                </c:pt>
                <c:pt idx="48">
                  <c:v>0</c:v>
                </c:pt>
                <c:pt idx="49">
                  <c:v>0</c:v>
                </c:pt>
                <c:pt idx="50">
                  <c:v>1</c:v>
                </c:pt>
                <c:pt idx="51">
                  <c:v>0</c:v>
                </c:pt>
                <c:pt idx="52">
                  <c:v>2</c:v>
                </c:pt>
                <c:pt idx="53">
                  <c:v>0</c:v>
                </c:pt>
                <c:pt idx="54">
                  <c:v>3</c:v>
                </c:pt>
                <c:pt idx="55">
                  <c:v>3</c:v>
                </c:pt>
                <c:pt idx="56">
                  <c:v>1</c:v>
                </c:pt>
                <c:pt idx="57">
                  <c:v>5</c:v>
                </c:pt>
                <c:pt idx="58">
                  <c:v>0</c:v>
                </c:pt>
                <c:pt idx="59">
                  <c:v>2</c:v>
                </c:pt>
                <c:pt idx="60">
                  <c:v>1</c:v>
                </c:pt>
                <c:pt idx="61">
                  <c:v>1</c:v>
                </c:pt>
                <c:pt idx="62">
                  <c:v>2</c:v>
                </c:pt>
                <c:pt idx="63">
                  <c:v>2</c:v>
                </c:pt>
                <c:pt idx="64">
                  <c:v>2</c:v>
                </c:pt>
                <c:pt idx="65">
                  <c:v>3</c:v>
                </c:pt>
                <c:pt idx="66">
                  <c:v>2</c:v>
                </c:pt>
                <c:pt idx="67">
                  <c:v>3</c:v>
                </c:pt>
                <c:pt idx="68">
                  <c:v>2</c:v>
                </c:pt>
                <c:pt idx="69">
                  <c:v>2</c:v>
                </c:pt>
                <c:pt idx="70">
                  <c:v>2</c:v>
                </c:pt>
                <c:pt idx="71">
                  <c:v>3</c:v>
                </c:pt>
              </c:numCache>
            </c:numRef>
          </c:val>
          <c:smooth val="0"/>
          <c:extLst>
            <c:ext xmlns:c16="http://schemas.microsoft.com/office/drawing/2014/chart" uri="{C3380CC4-5D6E-409C-BE32-E72D297353CC}">
              <c16:uniqueId val="{00000001-1A66-413D-9E3F-3BEF364C3B95}"/>
            </c:ext>
          </c:extLst>
        </c:ser>
        <c:ser>
          <c:idx val="2"/>
          <c:order val="3"/>
          <c:tx>
            <c:v>Fatalities</c:v>
          </c:tx>
          <c:spPr>
            <a:ln w="44450" cap="rnd">
              <a:solidFill>
                <a:srgbClr val="FF0000"/>
              </a:solidFill>
              <a:prstDash val="sysDot"/>
              <a:round/>
            </a:ln>
            <a:effectLst/>
          </c:spPr>
          <c:marker>
            <c:symbol val="none"/>
          </c:marker>
          <c:cat>
            <c:numRef>
              <c:f>Year!$E$2:$E$73</c:f>
              <c:numCache>
                <c:formatCode>General</c:formatCod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numCache>
            </c:numRef>
          </c:cat>
          <c:val>
            <c:numRef>
              <c:f>Year!$I$2:$I$73</c:f>
              <c:numCache>
                <c:formatCode>General</c:formatCode>
                <c:ptCount val="72"/>
                <c:pt idx="0">
                  <c:v>0</c:v>
                </c:pt>
                <c:pt idx="1">
                  <c:v>0</c:v>
                </c:pt>
                <c:pt idx="2">
                  <c:v>1</c:v>
                </c:pt>
                <c:pt idx="3">
                  <c:v>0</c:v>
                </c:pt>
                <c:pt idx="4">
                  <c:v>0</c:v>
                </c:pt>
                <c:pt idx="5">
                  <c:v>0</c:v>
                </c:pt>
                <c:pt idx="6">
                  <c:v>0</c:v>
                </c:pt>
                <c:pt idx="7">
                  <c:v>1</c:v>
                </c:pt>
                <c:pt idx="8">
                  <c:v>0</c:v>
                </c:pt>
                <c:pt idx="9">
                  <c:v>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1</c:v>
                </c:pt>
                <c:pt idx="35">
                  <c:v>0</c:v>
                </c:pt>
                <c:pt idx="36">
                  <c:v>0</c:v>
                </c:pt>
                <c:pt idx="37">
                  <c:v>0</c:v>
                </c:pt>
                <c:pt idx="38">
                  <c:v>0</c:v>
                </c:pt>
                <c:pt idx="39">
                  <c:v>1</c:v>
                </c:pt>
                <c:pt idx="40">
                  <c:v>0</c:v>
                </c:pt>
                <c:pt idx="41">
                  <c:v>0</c:v>
                </c:pt>
                <c:pt idx="42">
                  <c:v>0</c:v>
                </c:pt>
                <c:pt idx="43">
                  <c:v>0</c:v>
                </c:pt>
                <c:pt idx="44">
                  <c:v>1</c:v>
                </c:pt>
                <c:pt idx="45">
                  <c:v>0</c:v>
                </c:pt>
                <c:pt idx="46">
                  <c:v>0</c:v>
                </c:pt>
                <c:pt idx="47">
                  <c:v>0</c:v>
                </c:pt>
                <c:pt idx="48">
                  <c:v>0</c:v>
                </c:pt>
                <c:pt idx="49">
                  <c:v>0</c:v>
                </c:pt>
                <c:pt idx="50">
                  <c:v>0</c:v>
                </c:pt>
                <c:pt idx="51">
                  <c:v>0</c:v>
                </c:pt>
                <c:pt idx="52">
                  <c:v>0</c:v>
                </c:pt>
                <c:pt idx="53">
                  <c:v>1</c:v>
                </c:pt>
                <c:pt idx="54">
                  <c:v>1</c:v>
                </c:pt>
                <c:pt idx="55">
                  <c:v>0</c:v>
                </c:pt>
                <c:pt idx="56">
                  <c:v>0</c:v>
                </c:pt>
                <c:pt idx="57">
                  <c:v>0</c:v>
                </c:pt>
                <c:pt idx="58">
                  <c:v>1</c:v>
                </c:pt>
                <c:pt idx="59">
                  <c:v>0</c:v>
                </c:pt>
                <c:pt idx="60">
                  <c:v>1</c:v>
                </c:pt>
                <c:pt idx="61">
                  <c:v>0</c:v>
                </c:pt>
                <c:pt idx="62">
                  <c:v>1</c:v>
                </c:pt>
                <c:pt idx="63">
                  <c:v>0</c:v>
                </c:pt>
                <c:pt idx="64">
                  <c:v>0</c:v>
                </c:pt>
                <c:pt idx="65">
                  <c:v>0</c:v>
                </c:pt>
                <c:pt idx="66">
                  <c:v>0</c:v>
                </c:pt>
                <c:pt idx="67">
                  <c:v>0</c:v>
                </c:pt>
                <c:pt idx="68">
                  <c:v>0</c:v>
                </c:pt>
                <c:pt idx="69">
                  <c:v>0</c:v>
                </c:pt>
                <c:pt idx="70">
                  <c:v>1</c:v>
                </c:pt>
                <c:pt idx="71">
                  <c:v>1</c:v>
                </c:pt>
              </c:numCache>
            </c:numRef>
          </c:val>
          <c:smooth val="0"/>
          <c:extLst>
            <c:ext xmlns:c16="http://schemas.microsoft.com/office/drawing/2014/chart" uri="{C3380CC4-5D6E-409C-BE32-E72D297353CC}">
              <c16:uniqueId val="{00000001-B5A4-460F-B011-133DE907C74D}"/>
            </c:ext>
          </c:extLst>
        </c:ser>
        <c:ser>
          <c:idx val="3"/>
          <c:order val="4"/>
          <c:tx>
            <c:strRef>
              <c:f>Year!$J$1</c:f>
              <c:strCache>
                <c:ptCount val="1"/>
                <c:pt idx="0">
                  <c:v>Average Non-injury</c:v>
                </c:pt>
              </c:strCache>
            </c:strRef>
          </c:tx>
          <c:spPr>
            <a:ln w="25400" cap="rnd">
              <a:solidFill>
                <a:srgbClr val="00B050"/>
              </a:solidFill>
              <a:prstDash val="sysDash"/>
              <a:round/>
            </a:ln>
            <a:effectLst/>
          </c:spPr>
          <c:marker>
            <c:symbol val="none"/>
          </c:marker>
          <c:cat>
            <c:numRef>
              <c:f>Year!$E$2:$E$73</c:f>
              <c:numCache>
                <c:formatCode>General</c:formatCod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numCache>
            </c:numRef>
          </c:cat>
          <c:val>
            <c:numRef>
              <c:f>Year!$J$2:$J$73</c:f>
              <c:numCache>
                <c:formatCode>General</c:formatCode>
                <c:ptCount val="72"/>
                <c:pt idx="0">
                  <c:v>1.0821917808219179</c:v>
                </c:pt>
                <c:pt idx="1">
                  <c:v>1.0821917808219179</c:v>
                </c:pt>
                <c:pt idx="2">
                  <c:v>1.0821917808219179</c:v>
                </c:pt>
                <c:pt idx="3">
                  <c:v>1.0821917808219179</c:v>
                </c:pt>
                <c:pt idx="4">
                  <c:v>1.0821917808219179</c:v>
                </c:pt>
                <c:pt idx="5">
                  <c:v>1.0821917808219179</c:v>
                </c:pt>
                <c:pt idx="6">
                  <c:v>1.0821917808219179</c:v>
                </c:pt>
                <c:pt idx="7">
                  <c:v>1.0821917808219179</c:v>
                </c:pt>
                <c:pt idx="8">
                  <c:v>1.0821917808219179</c:v>
                </c:pt>
                <c:pt idx="9">
                  <c:v>1.0821917808219179</c:v>
                </c:pt>
                <c:pt idx="10">
                  <c:v>1.0821917808219179</c:v>
                </c:pt>
                <c:pt idx="11">
                  <c:v>1.0821917808219179</c:v>
                </c:pt>
                <c:pt idx="12">
                  <c:v>1.0821917808219179</c:v>
                </c:pt>
                <c:pt idx="13">
                  <c:v>1.0821917808219179</c:v>
                </c:pt>
                <c:pt idx="14">
                  <c:v>1.0821917808219179</c:v>
                </c:pt>
                <c:pt idx="15">
                  <c:v>1.0821917808219179</c:v>
                </c:pt>
                <c:pt idx="16">
                  <c:v>1.0821917808219179</c:v>
                </c:pt>
                <c:pt idx="17">
                  <c:v>1.0821917808219179</c:v>
                </c:pt>
                <c:pt idx="18">
                  <c:v>1.0821917808219179</c:v>
                </c:pt>
                <c:pt idx="19">
                  <c:v>1.0821917808219179</c:v>
                </c:pt>
                <c:pt idx="20">
                  <c:v>1.0821917808219179</c:v>
                </c:pt>
                <c:pt idx="21">
                  <c:v>1.0821917808219179</c:v>
                </c:pt>
                <c:pt idx="22">
                  <c:v>1.0821917808219179</c:v>
                </c:pt>
                <c:pt idx="23">
                  <c:v>1.0821917808219179</c:v>
                </c:pt>
                <c:pt idx="24">
                  <c:v>1.0821917808219179</c:v>
                </c:pt>
                <c:pt idx="25">
                  <c:v>1.0821917808219179</c:v>
                </c:pt>
                <c:pt idx="26">
                  <c:v>1.0821917808219179</c:v>
                </c:pt>
                <c:pt idx="27">
                  <c:v>1.0821917808219179</c:v>
                </c:pt>
                <c:pt idx="28">
                  <c:v>1.0821917808219179</c:v>
                </c:pt>
                <c:pt idx="29">
                  <c:v>1.0821917808219179</c:v>
                </c:pt>
                <c:pt idx="30">
                  <c:v>1.0821917808219179</c:v>
                </c:pt>
                <c:pt idx="31">
                  <c:v>1.0821917808219179</c:v>
                </c:pt>
                <c:pt idx="32">
                  <c:v>1.0821917808219179</c:v>
                </c:pt>
                <c:pt idx="33">
                  <c:v>1.0821917808219179</c:v>
                </c:pt>
                <c:pt idx="34">
                  <c:v>1.0821917808219179</c:v>
                </c:pt>
                <c:pt idx="35">
                  <c:v>1.0821917808219179</c:v>
                </c:pt>
                <c:pt idx="36">
                  <c:v>1.0821917808219179</c:v>
                </c:pt>
                <c:pt idx="37">
                  <c:v>1.0821917808219179</c:v>
                </c:pt>
                <c:pt idx="38">
                  <c:v>1.0821917808219179</c:v>
                </c:pt>
                <c:pt idx="39">
                  <c:v>1.0821917808219179</c:v>
                </c:pt>
                <c:pt idx="40">
                  <c:v>1.0821917808219179</c:v>
                </c:pt>
                <c:pt idx="41">
                  <c:v>1.0821917808219179</c:v>
                </c:pt>
                <c:pt idx="42">
                  <c:v>1.0821917808219179</c:v>
                </c:pt>
                <c:pt idx="43">
                  <c:v>1.0821917808219179</c:v>
                </c:pt>
                <c:pt idx="44">
                  <c:v>1.0821917808219179</c:v>
                </c:pt>
                <c:pt idx="45">
                  <c:v>1.0821917808219179</c:v>
                </c:pt>
                <c:pt idx="46">
                  <c:v>1.0821917808219179</c:v>
                </c:pt>
                <c:pt idx="47">
                  <c:v>1.0821917808219179</c:v>
                </c:pt>
                <c:pt idx="48">
                  <c:v>1.0821917808219179</c:v>
                </c:pt>
                <c:pt idx="49">
                  <c:v>1.0821917808219179</c:v>
                </c:pt>
                <c:pt idx="50">
                  <c:v>1.0821917808219179</c:v>
                </c:pt>
                <c:pt idx="51">
                  <c:v>1.0821917808219179</c:v>
                </c:pt>
                <c:pt idx="52">
                  <c:v>1.0821917808219179</c:v>
                </c:pt>
                <c:pt idx="53">
                  <c:v>1.0821917808219179</c:v>
                </c:pt>
                <c:pt idx="54">
                  <c:v>1.0821917808219179</c:v>
                </c:pt>
                <c:pt idx="55">
                  <c:v>1.0821917808219179</c:v>
                </c:pt>
                <c:pt idx="56">
                  <c:v>1.0821917808219179</c:v>
                </c:pt>
                <c:pt idx="57">
                  <c:v>1.0821917808219179</c:v>
                </c:pt>
                <c:pt idx="58">
                  <c:v>1.0821917808219179</c:v>
                </c:pt>
                <c:pt idx="59">
                  <c:v>1.0821917808219179</c:v>
                </c:pt>
                <c:pt idx="60">
                  <c:v>1.0821917808219179</c:v>
                </c:pt>
                <c:pt idx="61">
                  <c:v>1.0821917808219179</c:v>
                </c:pt>
                <c:pt idx="62">
                  <c:v>1.0821917808219179</c:v>
                </c:pt>
                <c:pt idx="63">
                  <c:v>1.0821917808219179</c:v>
                </c:pt>
                <c:pt idx="64">
                  <c:v>1.0821917808219179</c:v>
                </c:pt>
                <c:pt idx="65">
                  <c:v>1.0821917808219179</c:v>
                </c:pt>
                <c:pt idx="66">
                  <c:v>1.0821917808219179</c:v>
                </c:pt>
                <c:pt idx="67">
                  <c:v>1.0821917808219179</c:v>
                </c:pt>
                <c:pt idx="68">
                  <c:v>1.0821917808219179</c:v>
                </c:pt>
                <c:pt idx="69">
                  <c:v>1.0821917808219179</c:v>
                </c:pt>
                <c:pt idx="70">
                  <c:v>1.0821917808219179</c:v>
                </c:pt>
                <c:pt idx="71">
                  <c:v>1.0821917808219179</c:v>
                </c:pt>
              </c:numCache>
            </c:numRef>
          </c:val>
          <c:smooth val="0"/>
          <c:extLst>
            <c:ext xmlns:c16="http://schemas.microsoft.com/office/drawing/2014/chart" uri="{C3380CC4-5D6E-409C-BE32-E72D297353CC}">
              <c16:uniqueId val="{00000001-1775-4758-8862-7DD65BA62719}"/>
            </c:ext>
          </c:extLst>
        </c:ser>
        <c:ser>
          <c:idx val="4"/>
          <c:order val="5"/>
          <c:tx>
            <c:strRef>
              <c:f>Year!$K$1</c:f>
              <c:strCache>
                <c:ptCount val="1"/>
                <c:pt idx="0">
                  <c:v>Average Injuries</c:v>
                </c:pt>
              </c:strCache>
            </c:strRef>
          </c:tx>
          <c:spPr>
            <a:ln w="25400" cap="rnd">
              <a:solidFill>
                <a:schemeClr val="accent1"/>
              </a:solidFill>
              <a:prstDash val="lgDash"/>
              <a:round/>
            </a:ln>
            <a:effectLst/>
          </c:spPr>
          <c:marker>
            <c:symbol val="none"/>
          </c:marker>
          <c:cat>
            <c:numRef>
              <c:f>Year!$E$2:$E$73</c:f>
              <c:numCache>
                <c:formatCode>General</c:formatCod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numCache>
            </c:numRef>
          </c:cat>
          <c:val>
            <c:numRef>
              <c:f>Year!$K$2:$K$73</c:f>
              <c:numCache>
                <c:formatCode>General</c:formatCode>
                <c:ptCount val="72"/>
                <c:pt idx="0">
                  <c:v>1.4794520547945205</c:v>
                </c:pt>
                <c:pt idx="1">
                  <c:v>1.4794520547945205</c:v>
                </c:pt>
                <c:pt idx="2">
                  <c:v>1.4794520547945205</c:v>
                </c:pt>
                <c:pt idx="3">
                  <c:v>1.4794520547945205</c:v>
                </c:pt>
                <c:pt idx="4">
                  <c:v>1.4794520547945205</c:v>
                </c:pt>
                <c:pt idx="5">
                  <c:v>1.4794520547945205</c:v>
                </c:pt>
                <c:pt idx="6">
                  <c:v>1.4794520547945205</c:v>
                </c:pt>
                <c:pt idx="7">
                  <c:v>1.4794520547945205</c:v>
                </c:pt>
                <c:pt idx="8">
                  <c:v>1.4794520547945205</c:v>
                </c:pt>
                <c:pt idx="9">
                  <c:v>1.4794520547945205</c:v>
                </c:pt>
                <c:pt idx="10">
                  <c:v>1.4794520547945205</c:v>
                </c:pt>
                <c:pt idx="11">
                  <c:v>1.4794520547945205</c:v>
                </c:pt>
                <c:pt idx="12">
                  <c:v>1.4794520547945205</c:v>
                </c:pt>
                <c:pt idx="13">
                  <c:v>1.4794520547945205</c:v>
                </c:pt>
                <c:pt idx="14">
                  <c:v>1.4794520547945205</c:v>
                </c:pt>
                <c:pt idx="15">
                  <c:v>1.4794520547945205</c:v>
                </c:pt>
                <c:pt idx="16">
                  <c:v>1.4794520547945205</c:v>
                </c:pt>
                <c:pt idx="17">
                  <c:v>1.4794520547945205</c:v>
                </c:pt>
                <c:pt idx="18">
                  <c:v>1.4794520547945205</c:v>
                </c:pt>
                <c:pt idx="19">
                  <c:v>1.4794520547945205</c:v>
                </c:pt>
                <c:pt idx="20">
                  <c:v>1.4794520547945205</c:v>
                </c:pt>
                <c:pt idx="21">
                  <c:v>1.4794520547945205</c:v>
                </c:pt>
                <c:pt idx="22">
                  <c:v>1.4794520547945205</c:v>
                </c:pt>
                <c:pt idx="23">
                  <c:v>1.4794520547945205</c:v>
                </c:pt>
                <c:pt idx="24">
                  <c:v>1.4794520547945205</c:v>
                </c:pt>
                <c:pt idx="25">
                  <c:v>1.4794520547945205</c:v>
                </c:pt>
                <c:pt idx="26">
                  <c:v>1.4794520547945205</c:v>
                </c:pt>
                <c:pt idx="27">
                  <c:v>1.4794520547945205</c:v>
                </c:pt>
                <c:pt idx="28">
                  <c:v>1.4794520547945205</c:v>
                </c:pt>
                <c:pt idx="29">
                  <c:v>1.4794520547945205</c:v>
                </c:pt>
                <c:pt idx="30">
                  <c:v>1.4794520547945205</c:v>
                </c:pt>
                <c:pt idx="31">
                  <c:v>1.4794520547945205</c:v>
                </c:pt>
                <c:pt idx="32">
                  <c:v>1.4794520547945205</c:v>
                </c:pt>
                <c:pt idx="33">
                  <c:v>1.4794520547945205</c:v>
                </c:pt>
                <c:pt idx="34">
                  <c:v>1.4794520547945205</c:v>
                </c:pt>
                <c:pt idx="35">
                  <c:v>1.4794520547945205</c:v>
                </c:pt>
                <c:pt idx="36">
                  <c:v>1.4794520547945205</c:v>
                </c:pt>
                <c:pt idx="37">
                  <c:v>1.4794520547945205</c:v>
                </c:pt>
                <c:pt idx="38">
                  <c:v>1.4794520547945205</c:v>
                </c:pt>
                <c:pt idx="39">
                  <c:v>1.4794520547945205</c:v>
                </c:pt>
                <c:pt idx="40">
                  <c:v>1.4794520547945205</c:v>
                </c:pt>
                <c:pt idx="41">
                  <c:v>1.4794520547945205</c:v>
                </c:pt>
                <c:pt idx="42">
                  <c:v>1.4794520547945205</c:v>
                </c:pt>
                <c:pt idx="43">
                  <c:v>1.4794520547945205</c:v>
                </c:pt>
                <c:pt idx="44">
                  <c:v>1.4794520547945205</c:v>
                </c:pt>
                <c:pt idx="45">
                  <c:v>1.4794520547945205</c:v>
                </c:pt>
                <c:pt idx="46">
                  <c:v>1.4794520547945205</c:v>
                </c:pt>
                <c:pt idx="47">
                  <c:v>1.4794520547945205</c:v>
                </c:pt>
                <c:pt idx="48">
                  <c:v>1.4794520547945205</c:v>
                </c:pt>
                <c:pt idx="49">
                  <c:v>1.4794520547945205</c:v>
                </c:pt>
                <c:pt idx="50">
                  <c:v>1.4794520547945205</c:v>
                </c:pt>
                <c:pt idx="51">
                  <c:v>1.4794520547945205</c:v>
                </c:pt>
                <c:pt idx="52">
                  <c:v>1.4794520547945205</c:v>
                </c:pt>
                <c:pt idx="53">
                  <c:v>1.4794520547945205</c:v>
                </c:pt>
                <c:pt idx="54">
                  <c:v>1.4794520547945205</c:v>
                </c:pt>
                <c:pt idx="55">
                  <c:v>1.4794520547945205</c:v>
                </c:pt>
                <c:pt idx="56">
                  <c:v>1.4794520547945205</c:v>
                </c:pt>
                <c:pt idx="57">
                  <c:v>1.4794520547945205</c:v>
                </c:pt>
                <c:pt idx="58">
                  <c:v>1.4794520547945205</c:v>
                </c:pt>
                <c:pt idx="59">
                  <c:v>1.4794520547945205</c:v>
                </c:pt>
                <c:pt idx="60">
                  <c:v>1.4794520547945205</c:v>
                </c:pt>
                <c:pt idx="61">
                  <c:v>1.4794520547945205</c:v>
                </c:pt>
                <c:pt idx="62">
                  <c:v>1.4794520547945205</c:v>
                </c:pt>
                <c:pt idx="63">
                  <c:v>1.4794520547945205</c:v>
                </c:pt>
                <c:pt idx="64">
                  <c:v>1.4794520547945205</c:v>
                </c:pt>
                <c:pt idx="65">
                  <c:v>1.4794520547945205</c:v>
                </c:pt>
                <c:pt idx="66">
                  <c:v>1.4794520547945205</c:v>
                </c:pt>
                <c:pt idx="67">
                  <c:v>1.4794520547945205</c:v>
                </c:pt>
                <c:pt idx="68">
                  <c:v>1.4794520547945205</c:v>
                </c:pt>
                <c:pt idx="69">
                  <c:v>1.4794520547945205</c:v>
                </c:pt>
                <c:pt idx="70">
                  <c:v>1.4794520547945205</c:v>
                </c:pt>
                <c:pt idx="71">
                  <c:v>1.4794520547945205</c:v>
                </c:pt>
              </c:numCache>
            </c:numRef>
          </c:val>
          <c:smooth val="0"/>
          <c:extLst>
            <c:ext xmlns:c16="http://schemas.microsoft.com/office/drawing/2014/chart" uri="{C3380CC4-5D6E-409C-BE32-E72D297353CC}">
              <c16:uniqueId val="{00000002-1775-4758-8862-7DD65BA62719}"/>
            </c:ext>
          </c:extLst>
        </c:ser>
        <c:dLbls>
          <c:showLegendKey val="0"/>
          <c:showVal val="0"/>
          <c:showCatName val="0"/>
          <c:showSerName val="0"/>
          <c:showPercent val="0"/>
          <c:showBubbleSize val="0"/>
        </c:dLbls>
        <c:smooth val="0"/>
        <c:axId val="301181824"/>
        <c:axId val="301182152"/>
      </c:lineChart>
      <c:catAx>
        <c:axId val="301181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01182152"/>
        <c:crosses val="autoZero"/>
        <c:auto val="1"/>
        <c:lblAlgn val="ctr"/>
        <c:lblOffset val="100"/>
        <c:tickLblSkip val="5"/>
        <c:noMultiLvlLbl val="0"/>
      </c:catAx>
      <c:valAx>
        <c:axId val="30118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01181824"/>
        <c:crosses val="autoZero"/>
        <c:crossBetween val="between"/>
      </c:valAx>
      <c:spPr>
        <a:noFill/>
        <a:ln>
          <a:noFill/>
        </a:ln>
        <a:effectLst/>
      </c:spPr>
    </c:plotArea>
    <c:legend>
      <c:legendPos val="r"/>
      <c:layout>
        <c:manualLayout>
          <c:xMode val="edge"/>
          <c:yMode val="edge"/>
          <c:x val="2.0360166691587932E-2"/>
          <c:y val="0.91082604563978575"/>
          <c:w val="0.95994984135285621"/>
          <c:h val="7.8659598575517922E-2"/>
        </c:manualLayout>
      </c:layout>
      <c:overlay val="1"/>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US" sz="1600" baseline="0">
                <a:solidFill>
                  <a:schemeClr val="tx1"/>
                </a:solidFill>
                <a:latin typeface="Arial" panose="020B0604020202020204" pitchFamily="34" charset="0"/>
              </a:rPr>
              <a:t>California Documented Shark Incidents by Decade</a:t>
            </a:r>
          </a:p>
        </c:rich>
      </c:tx>
      <c:layout>
        <c:manualLayout>
          <c:xMode val="edge"/>
          <c:yMode val="edge"/>
          <c:x val="0.142584374294011"/>
          <c:y val="4.62962724758588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lotArea>
      <c:layout/>
      <c:barChart>
        <c:barDir val="col"/>
        <c:grouping val="clustered"/>
        <c:varyColors val="0"/>
        <c:ser>
          <c:idx val="0"/>
          <c:order val="0"/>
          <c:tx>
            <c:strRef>
              <c:f>Year!$O$1</c:f>
              <c:strCache>
                <c:ptCount val="1"/>
                <c:pt idx="0">
                  <c:v>No Injury</c:v>
                </c:pt>
              </c:strCache>
            </c:strRef>
          </c:tx>
          <c:spPr>
            <a:pattFill prst="pct10">
              <a:fgClr>
                <a:schemeClr val="tx1"/>
              </a:fgClr>
              <a:bgClr>
                <a:schemeClr val="bg1"/>
              </a:bgClr>
            </a:pattFill>
            <a:ln>
              <a:solidFill>
                <a:schemeClr val="tx1"/>
              </a:solidFill>
            </a:ln>
            <a:effectLst/>
            <a:sp3d>
              <a:contourClr>
                <a:schemeClr val="tx1"/>
              </a:contourClr>
            </a:sp3d>
          </c:spPr>
          <c:invertIfNegative val="0"/>
          <c:trendline>
            <c:spPr>
              <a:ln w="50800" cap="rnd">
                <a:solidFill>
                  <a:schemeClr val="tx1"/>
                </a:solidFill>
                <a:prstDash val="sysDot"/>
              </a:ln>
              <a:effectLst/>
            </c:spPr>
            <c:trendlineType val="poly"/>
            <c:order val="2"/>
            <c:dispRSqr val="0"/>
            <c:dispEq val="0"/>
          </c:trendline>
          <c:cat>
            <c:strRef>
              <c:f>Year!$N$2:$N$9</c:f>
              <c:strCache>
                <c:ptCount val="8"/>
                <c:pt idx="0">
                  <c:v>1950s</c:v>
                </c:pt>
                <c:pt idx="1">
                  <c:v>1960s</c:v>
                </c:pt>
                <c:pt idx="2">
                  <c:v>1970s</c:v>
                </c:pt>
                <c:pt idx="3">
                  <c:v>1980s</c:v>
                </c:pt>
                <c:pt idx="4">
                  <c:v>1990s</c:v>
                </c:pt>
                <c:pt idx="5">
                  <c:v>2000s</c:v>
                </c:pt>
                <c:pt idx="6">
                  <c:v>2010s</c:v>
                </c:pt>
                <c:pt idx="7">
                  <c:v>2020s</c:v>
                </c:pt>
              </c:strCache>
            </c:strRef>
          </c:cat>
          <c:val>
            <c:numRef>
              <c:f>Year!$O$2:$O$9</c:f>
              <c:numCache>
                <c:formatCode>General</c:formatCode>
                <c:ptCount val="8"/>
                <c:pt idx="0">
                  <c:v>1</c:v>
                </c:pt>
                <c:pt idx="1">
                  <c:v>1</c:v>
                </c:pt>
                <c:pt idx="2">
                  <c:v>2</c:v>
                </c:pt>
                <c:pt idx="3">
                  <c:v>3</c:v>
                </c:pt>
                <c:pt idx="4">
                  <c:v>11</c:v>
                </c:pt>
                <c:pt idx="5">
                  <c:v>20</c:v>
                </c:pt>
                <c:pt idx="6">
                  <c:v>33</c:v>
                </c:pt>
                <c:pt idx="7">
                  <c:v>8</c:v>
                </c:pt>
              </c:numCache>
            </c:numRef>
          </c:val>
          <c:extLst>
            <c:ext xmlns:c16="http://schemas.microsoft.com/office/drawing/2014/chart" uri="{C3380CC4-5D6E-409C-BE32-E72D297353CC}">
              <c16:uniqueId val="{00000000-62D6-49F5-AF30-6AB6EC8472F7}"/>
            </c:ext>
          </c:extLst>
        </c:ser>
        <c:ser>
          <c:idx val="1"/>
          <c:order val="1"/>
          <c:tx>
            <c:strRef>
              <c:f>Year!$P$1</c:f>
              <c:strCache>
                <c:ptCount val="1"/>
                <c:pt idx="0">
                  <c:v>Non-fatal Injuries</c:v>
                </c:pt>
              </c:strCache>
            </c:strRef>
          </c:tx>
          <c:spPr>
            <a:solidFill>
              <a:schemeClr val="tx2">
                <a:lumMod val="60000"/>
                <a:lumOff val="40000"/>
              </a:schemeClr>
            </a:solidFill>
            <a:ln>
              <a:solidFill>
                <a:schemeClr val="tx2">
                  <a:lumMod val="60000"/>
                  <a:lumOff val="40000"/>
                </a:schemeClr>
              </a:solidFill>
            </a:ln>
            <a:effectLst/>
            <a:sp3d>
              <a:contourClr>
                <a:schemeClr val="tx2">
                  <a:lumMod val="60000"/>
                  <a:lumOff val="40000"/>
                </a:schemeClr>
              </a:contourClr>
            </a:sp3d>
          </c:spPr>
          <c:invertIfNegative val="0"/>
          <c:trendline>
            <c:spPr>
              <a:ln w="50800" cap="rnd">
                <a:solidFill>
                  <a:schemeClr val="tx2">
                    <a:lumMod val="60000"/>
                    <a:lumOff val="40000"/>
                  </a:schemeClr>
                </a:solidFill>
                <a:prstDash val="sysDot"/>
              </a:ln>
              <a:effectLst/>
            </c:spPr>
            <c:trendlineType val="poly"/>
            <c:order val="2"/>
            <c:dispRSqr val="0"/>
            <c:dispEq val="0"/>
          </c:trendline>
          <c:cat>
            <c:strRef>
              <c:f>Year!$N$2:$N$9</c:f>
              <c:strCache>
                <c:ptCount val="8"/>
                <c:pt idx="0">
                  <c:v>1950s</c:v>
                </c:pt>
                <c:pt idx="1">
                  <c:v>1960s</c:v>
                </c:pt>
                <c:pt idx="2">
                  <c:v>1970s</c:v>
                </c:pt>
                <c:pt idx="3">
                  <c:v>1980s</c:v>
                </c:pt>
                <c:pt idx="4">
                  <c:v>1990s</c:v>
                </c:pt>
                <c:pt idx="5">
                  <c:v>2000s</c:v>
                </c:pt>
                <c:pt idx="6">
                  <c:v>2010s</c:v>
                </c:pt>
                <c:pt idx="7">
                  <c:v>2020s</c:v>
                </c:pt>
              </c:strCache>
            </c:strRef>
          </c:cat>
          <c:val>
            <c:numRef>
              <c:f>Year!$P$2:$P$9</c:f>
              <c:numCache>
                <c:formatCode>General</c:formatCode>
                <c:ptCount val="8"/>
                <c:pt idx="0">
                  <c:v>7</c:v>
                </c:pt>
                <c:pt idx="1">
                  <c:v>9</c:v>
                </c:pt>
                <c:pt idx="2">
                  <c:v>17</c:v>
                </c:pt>
                <c:pt idx="3">
                  <c:v>14</c:v>
                </c:pt>
                <c:pt idx="4">
                  <c:v>18</c:v>
                </c:pt>
                <c:pt idx="5">
                  <c:v>17</c:v>
                </c:pt>
                <c:pt idx="6">
                  <c:v>20</c:v>
                </c:pt>
                <c:pt idx="7">
                  <c:v>6</c:v>
                </c:pt>
              </c:numCache>
            </c:numRef>
          </c:val>
          <c:extLst>
            <c:ext xmlns:c16="http://schemas.microsoft.com/office/drawing/2014/chart" uri="{C3380CC4-5D6E-409C-BE32-E72D297353CC}">
              <c16:uniqueId val="{00000001-62D6-49F5-AF30-6AB6EC8472F7}"/>
            </c:ext>
          </c:extLst>
        </c:ser>
        <c:ser>
          <c:idx val="2"/>
          <c:order val="2"/>
          <c:tx>
            <c:strRef>
              <c:f>Year!$Q$1</c:f>
              <c:strCache>
                <c:ptCount val="1"/>
                <c:pt idx="0">
                  <c:v>Fatalities</c:v>
                </c:pt>
              </c:strCache>
            </c:strRef>
          </c:tx>
          <c:spPr>
            <a:pattFill prst="wdDnDiag">
              <a:fgClr>
                <a:srgbClr val="C00000"/>
              </a:fgClr>
              <a:bgClr>
                <a:schemeClr val="bg1"/>
              </a:bgClr>
            </a:pattFill>
            <a:ln>
              <a:solidFill>
                <a:srgbClr val="C00000"/>
              </a:solidFill>
            </a:ln>
            <a:effectLst/>
            <a:sp3d>
              <a:contourClr>
                <a:srgbClr val="C00000"/>
              </a:contourClr>
            </a:sp3d>
          </c:spPr>
          <c:invertIfNegative val="0"/>
          <c:trendline>
            <c:spPr>
              <a:ln w="50800" cap="rnd">
                <a:solidFill>
                  <a:srgbClr val="C00000"/>
                </a:solidFill>
                <a:prstDash val="sysDot"/>
              </a:ln>
              <a:effectLst/>
            </c:spPr>
            <c:trendlineType val="poly"/>
            <c:order val="2"/>
            <c:dispRSqr val="0"/>
            <c:dispEq val="0"/>
          </c:trendline>
          <c:cat>
            <c:strRef>
              <c:f>Year!$N$2:$N$9</c:f>
              <c:strCache>
                <c:ptCount val="8"/>
                <c:pt idx="0">
                  <c:v>1950s</c:v>
                </c:pt>
                <c:pt idx="1">
                  <c:v>1960s</c:v>
                </c:pt>
                <c:pt idx="2">
                  <c:v>1970s</c:v>
                </c:pt>
                <c:pt idx="3">
                  <c:v>1980s</c:v>
                </c:pt>
                <c:pt idx="4">
                  <c:v>1990s</c:v>
                </c:pt>
                <c:pt idx="5">
                  <c:v>2000s</c:v>
                </c:pt>
                <c:pt idx="6">
                  <c:v>2010s</c:v>
                </c:pt>
                <c:pt idx="7">
                  <c:v>2020s</c:v>
                </c:pt>
              </c:strCache>
            </c:strRef>
          </c:cat>
          <c:val>
            <c:numRef>
              <c:f>Year!$Q$2:$Q$9</c:f>
              <c:numCache>
                <c:formatCode>General</c:formatCode>
                <c:ptCount val="8"/>
                <c:pt idx="0">
                  <c:v>4</c:v>
                </c:pt>
                <c:pt idx="1">
                  <c:v>0</c:v>
                </c:pt>
                <c:pt idx="2">
                  <c:v>0</c:v>
                </c:pt>
                <c:pt idx="3">
                  <c:v>3</c:v>
                </c:pt>
                <c:pt idx="4">
                  <c:v>1</c:v>
                </c:pt>
                <c:pt idx="5">
                  <c:v>3</c:v>
                </c:pt>
                <c:pt idx="6">
                  <c:v>2</c:v>
                </c:pt>
                <c:pt idx="7">
                  <c:v>2</c:v>
                </c:pt>
              </c:numCache>
            </c:numRef>
          </c:val>
          <c:extLst>
            <c:ext xmlns:c16="http://schemas.microsoft.com/office/drawing/2014/chart" uri="{C3380CC4-5D6E-409C-BE32-E72D297353CC}">
              <c16:uniqueId val="{00000002-62D6-49F5-AF30-6AB6EC8472F7}"/>
            </c:ext>
          </c:extLst>
        </c:ser>
        <c:dLbls>
          <c:showLegendKey val="0"/>
          <c:showVal val="0"/>
          <c:showCatName val="0"/>
          <c:showSerName val="0"/>
          <c:showPercent val="0"/>
          <c:showBubbleSize val="0"/>
        </c:dLbls>
        <c:gapWidth val="150"/>
        <c:axId val="291099168"/>
        <c:axId val="291100152"/>
      </c:barChart>
      <c:catAx>
        <c:axId val="29109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mn-cs"/>
              </a:defRPr>
            </a:pPr>
            <a:endParaRPr lang="en-US"/>
          </a:p>
        </c:txPr>
        <c:crossAx val="291100152"/>
        <c:crosses val="autoZero"/>
        <c:auto val="1"/>
        <c:lblAlgn val="ctr"/>
        <c:lblOffset val="100"/>
        <c:noMultiLvlLbl val="0"/>
      </c:catAx>
      <c:valAx>
        <c:axId val="29110015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291099168"/>
        <c:crosses val="autoZero"/>
        <c:crossBetween val="between"/>
      </c:valAx>
      <c:spPr>
        <a:noFill/>
        <a:ln>
          <a:noFill/>
        </a:ln>
        <a:effectLst/>
      </c:spPr>
    </c:plotArea>
    <c:legend>
      <c:legendPos val="r"/>
      <c:legendEntry>
        <c:idx val="3"/>
        <c:delete val="1"/>
      </c:legendEntry>
      <c:legendEntry>
        <c:idx val="4"/>
        <c:delete val="1"/>
      </c:legendEntry>
      <c:legendEntry>
        <c:idx val="5"/>
        <c:delete val="1"/>
      </c:legendEntry>
      <c:layout>
        <c:manualLayout>
          <c:xMode val="edge"/>
          <c:yMode val="edge"/>
          <c:x val="0.10936681661187612"/>
          <c:y val="0.15748355939086678"/>
          <c:w val="0.22885430884827923"/>
          <c:h val="0.19749526102482337"/>
        </c:manualLayout>
      </c:layout>
      <c:overlay val="1"/>
      <c:spPr>
        <a:solidFill>
          <a:schemeClr val="bg1"/>
        </a:solidFill>
        <a:ln>
          <a:solidFill>
            <a:sysClr val="windowText" lastClr="000000"/>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California Shark Incidents by Month</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230759570644004E-2"/>
          <c:y val="0.12410964080972846"/>
          <c:w val="0.912136992058317"/>
          <c:h val="0.67466732897385928"/>
        </c:manualLayout>
      </c:layout>
      <c:barChart>
        <c:barDir val="col"/>
        <c:grouping val="clustered"/>
        <c:varyColors val="0"/>
        <c:ser>
          <c:idx val="0"/>
          <c:order val="0"/>
          <c:tx>
            <c:strRef>
              <c:f>Month!$G$2</c:f>
              <c:strCache>
                <c:ptCount val="1"/>
                <c:pt idx="0">
                  <c:v>No Injury</c:v>
                </c:pt>
              </c:strCache>
            </c:strRef>
          </c:tx>
          <c:spPr>
            <a:pattFill prst="pct20">
              <a:fgClr>
                <a:srgbClr val="00B050"/>
              </a:fgClr>
              <a:bgClr>
                <a:schemeClr val="bg1"/>
              </a:bgClr>
            </a:pattFill>
            <a:ln>
              <a:solidFill>
                <a:srgbClr val="669900"/>
              </a:solidFill>
            </a:ln>
            <a:effectLst/>
          </c:spPr>
          <c:invertIfNegative val="0"/>
          <c:cat>
            <c:strRef>
              <c:f>Month!$F$3:$F$14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Month!$G$3:$G$14</c:f>
              <c:numCache>
                <c:formatCode>General</c:formatCode>
                <c:ptCount val="12"/>
                <c:pt idx="0">
                  <c:v>2</c:v>
                </c:pt>
                <c:pt idx="1">
                  <c:v>0</c:v>
                </c:pt>
                <c:pt idx="2">
                  <c:v>5</c:v>
                </c:pt>
                <c:pt idx="3">
                  <c:v>2</c:v>
                </c:pt>
                <c:pt idx="4">
                  <c:v>6</c:v>
                </c:pt>
                <c:pt idx="5">
                  <c:v>8</c:v>
                </c:pt>
                <c:pt idx="6">
                  <c:v>13</c:v>
                </c:pt>
                <c:pt idx="7">
                  <c:v>11</c:v>
                </c:pt>
                <c:pt idx="8">
                  <c:v>11</c:v>
                </c:pt>
                <c:pt idx="9">
                  <c:v>12</c:v>
                </c:pt>
                <c:pt idx="10">
                  <c:v>6</c:v>
                </c:pt>
                <c:pt idx="11">
                  <c:v>3</c:v>
                </c:pt>
              </c:numCache>
            </c:numRef>
          </c:val>
          <c:extLst>
            <c:ext xmlns:c16="http://schemas.microsoft.com/office/drawing/2014/chart" uri="{C3380CC4-5D6E-409C-BE32-E72D297353CC}">
              <c16:uniqueId val="{00000000-1993-45B5-BB31-F5763CEB6B60}"/>
            </c:ext>
          </c:extLst>
        </c:ser>
        <c:ser>
          <c:idx val="1"/>
          <c:order val="1"/>
          <c:tx>
            <c:strRef>
              <c:f>Month!$H$2</c:f>
              <c:strCache>
                <c:ptCount val="1"/>
                <c:pt idx="0">
                  <c:v> Non-Fatal Injury</c:v>
                </c:pt>
              </c:strCache>
            </c:strRef>
          </c:tx>
          <c:spPr>
            <a:solidFill>
              <a:schemeClr val="accent1"/>
            </a:solidFill>
            <a:ln>
              <a:solidFill>
                <a:schemeClr val="tx2">
                  <a:lumMod val="60000"/>
                  <a:lumOff val="40000"/>
                </a:schemeClr>
              </a:solidFill>
            </a:ln>
            <a:effectLst/>
          </c:spPr>
          <c:invertIfNegative val="0"/>
          <c:cat>
            <c:strRef>
              <c:f>Month!$F$3:$F$14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Month!$H$3:$H$14</c:f>
              <c:numCache>
                <c:formatCode>General</c:formatCode>
                <c:ptCount val="12"/>
                <c:pt idx="0">
                  <c:v>4</c:v>
                </c:pt>
                <c:pt idx="1">
                  <c:v>4</c:v>
                </c:pt>
                <c:pt idx="2">
                  <c:v>0</c:v>
                </c:pt>
                <c:pt idx="3">
                  <c:v>2</c:v>
                </c:pt>
                <c:pt idx="4">
                  <c:v>8</c:v>
                </c:pt>
                <c:pt idx="5">
                  <c:v>5</c:v>
                </c:pt>
                <c:pt idx="6">
                  <c:v>9</c:v>
                </c:pt>
                <c:pt idx="7">
                  <c:v>19</c:v>
                </c:pt>
                <c:pt idx="8">
                  <c:v>19</c:v>
                </c:pt>
                <c:pt idx="9">
                  <c:v>23</c:v>
                </c:pt>
                <c:pt idx="10">
                  <c:v>9</c:v>
                </c:pt>
                <c:pt idx="11">
                  <c:v>6</c:v>
                </c:pt>
              </c:numCache>
            </c:numRef>
          </c:val>
          <c:extLst>
            <c:ext xmlns:c16="http://schemas.microsoft.com/office/drawing/2014/chart" uri="{C3380CC4-5D6E-409C-BE32-E72D297353CC}">
              <c16:uniqueId val="{00000001-1993-45B5-BB31-F5763CEB6B60}"/>
            </c:ext>
          </c:extLst>
        </c:ser>
        <c:ser>
          <c:idx val="2"/>
          <c:order val="2"/>
          <c:tx>
            <c:strRef>
              <c:f>Month!$I$2</c:f>
              <c:strCache>
                <c:ptCount val="1"/>
                <c:pt idx="0">
                  <c:v>Fatality</c:v>
                </c:pt>
              </c:strCache>
            </c:strRef>
          </c:tx>
          <c:spPr>
            <a:pattFill prst="wdDnDiag">
              <a:fgClr>
                <a:srgbClr val="C00000"/>
              </a:fgClr>
              <a:bgClr>
                <a:schemeClr val="bg1"/>
              </a:bgClr>
            </a:pattFill>
            <a:ln>
              <a:solidFill>
                <a:srgbClr val="FF0000"/>
              </a:solidFill>
            </a:ln>
            <a:effectLst/>
          </c:spPr>
          <c:invertIfNegative val="0"/>
          <c:cat>
            <c:strRef>
              <c:f>Month!$F$3:$F$14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Month!$I$3:$I$14</c:f>
              <c:numCache>
                <c:formatCode>General</c:formatCode>
                <c:ptCount val="12"/>
                <c:pt idx="0">
                  <c:v>1</c:v>
                </c:pt>
                <c:pt idx="1">
                  <c:v>0</c:v>
                </c:pt>
                <c:pt idx="2">
                  <c:v>0</c:v>
                </c:pt>
                <c:pt idx="3">
                  <c:v>2</c:v>
                </c:pt>
                <c:pt idx="4">
                  <c:v>2</c:v>
                </c:pt>
                <c:pt idx="5">
                  <c:v>1</c:v>
                </c:pt>
                <c:pt idx="6">
                  <c:v>0</c:v>
                </c:pt>
                <c:pt idx="7">
                  <c:v>2</c:v>
                </c:pt>
                <c:pt idx="8">
                  <c:v>1</c:v>
                </c:pt>
                <c:pt idx="9">
                  <c:v>2</c:v>
                </c:pt>
                <c:pt idx="10">
                  <c:v>0</c:v>
                </c:pt>
                <c:pt idx="11">
                  <c:v>4</c:v>
                </c:pt>
              </c:numCache>
            </c:numRef>
          </c:val>
          <c:extLst>
            <c:ext xmlns:c16="http://schemas.microsoft.com/office/drawing/2014/chart" uri="{C3380CC4-5D6E-409C-BE32-E72D297353CC}">
              <c16:uniqueId val="{00000002-1993-45B5-BB31-F5763CEB6B60}"/>
            </c:ext>
          </c:extLst>
        </c:ser>
        <c:dLbls>
          <c:showLegendKey val="0"/>
          <c:showVal val="0"/>
          <c:showCatName val="0"/>
          <c:showSerName val="0"/>
          <c:showPercent val="0"/>
          <c:showBubbleSize val="0"/>
        </c:dLbls>
        <c:gapWidth val="219"/>
        <c:overlap val="-27"/>
        <c:axId val="436495176"/>
        <c:axId val="436495504"/>
      </c:barChart>
      <c:catAx>
        <c:axId val="43649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6495504"/>
        <c:crosses val="autoZero"/>
        <c:auto val="1"/>
        <c:lblAlgn val="ctr"/>
        <c:lblOffset val="100"/>
        <c:noMultiLvlLbl val="0"/>
      </c:catAx>
      <c:valAx>
        <c:axId val="43649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6495176"/>
        <c:crosses val="autoZero"/>
        <c:crossBetween val="between"/>
      </c:valAx>
      <c:spPr>
        <a:noFill/>
        <a:ln>
          <a:noFill/>
        </a:ln>
        <a:effectLst/>
      </c:spPr>
    </c:plotArea>
    <c:legend>
      <c:legendPos val="b"/>
      <c:layout>
        <c:manualLayout>
          <c:xMode val="edge"/>
          <c:yMode val="edge"/>
          <c:x val="8.2488083294531042E-2"/>
          <c:y val="0.15514009791765726"/>
          <c:w val="0.24921409425388022"/>
          <c:h val="0.22411355287338863"/>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[SharkIncidents_1950_2022_220302.xlsx]Month!PivotTable1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of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Month!$M$18</c:f>
              <c:strCache>
                <c:ptCount val="1"/>
                <c:pt idx="0">
                  <c:v>Total</c:v>
                </c:pt>
              </c:strCache>
            </c:strRef>
          </c:tx>
          <c:spPr>
            <a:solidFill>
              <a:schemeClr val="accent1"/>
            </a:solidFill>
            <a:ln>
              <a:noFill/>
            </a:ln>
            <a:effectLst/>
          </c:spPr>
          <c:invertIfNegative val="0"/>
          <c:cat>
            <c:strRef>
              <c:f>Month!$L$19:$L$160</c:f>
              <c:strCache>
                <c:ptCount val="141"/>
                <c:pt idx="0">
                  <c:v>108</c:v>
                </c:pt>
                <c:pt idx="1">
                  <c:v>111</c:v>
                </c:pt>
                <c:pt idx="2">
                  <c:v>112</c:v>
                </c:pt>
                <c:pt idx="3">
                  <c:v>114</c:v>
                </c:pt>
                <c:pt idx="4">
                  <c:v>118</c:v>
                </c:pt>
                <c:pt idx="5">
                  <c:v>122</c:v>
                </c:pt>
                <c:pt idx="6">
                  <c:v>126</c:v>
                </c:pt>
                <c:pt idx="7">
                  <c:v>206</c:v>
                </c:pt>
                <c:pt idx="8">
                  <c:v>207</c:v>
                </c:pt>
                <c:pt idx="9">
                  <c:v>218</c:v>
                </c:pt>
                <c:pt idx="10">
                  <c:v>307</c:v>
                </c:pt>
                <c:pt idx="11">
                  <c:v>311</c:v>
                </c:pt>
                <c:pt idx="12">
                  <c:v>312</c:v>
                </c:pt>
                <c:pt idx="13">
                  <c:v>318</c:v>
                </c:pt>
                <c:pt idx="14">
                  <c:v>327</c:v>
                </c:pt>
                <c:pt idx="15">
                  <c:v>406</c:v>
                </c:pt>
                <c:pt idx="16">
                  <c:v>424</c:v>
                </c:pt>
                <c:pt idx="17">
                  <c:v>425</c:v>
                </c:pt>
                <c:pt idx="18">
                  <c:v>428</c:v>
                </c:pt>
                <c:pt idx="19">
                  <c:v>429</c:v>
                </c:pt>
                <c:pt idx="20">
                  <c:v>501</c:v>
                </c:pt>
                <c:pt idx="21">
                  <c:v>506</c:v>
                </c:pt>
                <c:pt idx="22">
                  <c:v>507</c:v>
                </c:pt>
                <c:pt idx="23">
                  <c:v>509</c:v>
                </c:pt>
                <c:pt idx="24">
                  <c:v>512</c:v>
                </c:pt>
                <c:pt idx="25">
                  <c:v>519</c:v>
                </c:pt>
                <c:pt idx="26">
                  <c:v>521</c:v>
                </c:pt>
                <c:pt idx="27">
                  <c:v>525</c:v>
                </c:pt>
                <c:pt idx="28">
                  <c:v>526</c:v>
                </c:pt>
                <c:pt idx="29">
                  <c:v>527</c:v>
                </c:pt>
                <c:pt idx="30">
                  <c:v>528</c:v>
                </c:pt>
                <c:pt idx="31">
                  <c:v>529</c:v>
                </c:pt>
                <c:pt idx="32">
                  <c:v>531</c:v>
                </c:pt>
                <c:pt idx="33">
                  <c:v>606</c:v>
                </c:pt>
                <c:pt idx="34">
                  <c:v>614</c:v>
                </c:pt>
                <c:pt idx="35">
                  <c:v>617</c:v>
                </c:pt>
                <c:pt idx="36">
                  <c:v>619</c:v>
                </c:pt>
                <c:pt idx="37">
                  <c:v>621</c:v>
                </c:pt>
                <c:pt idx="38">
                  <c:v>624</c:v>
                </c:pt>
                <c:pt idx="39">
                  <c:v>625</c:v>
                </c:pt>
                <c:pt idx="40">
                  <c:v>626</c:v>
                </c:pt>
                <c:pt idx="41">
                  <c:v>630</c:v>
                </c:pt>
                <c:pt idx="42">
                  <c:v>701</c:v>
                </c:pt>
                <c:pt idx="43">
                  <c:v>702</c:v>
                </c:pt>
                <c:pt idx="44">
                  <c:v>705</c:v>
                </c:pt>
                <c:pt idx="45">
                  <c:v>707</c:v>
                </c:pt>
                <c:pt idx="46">
                  <c:v>710</c:v>
                </c:pt>
                <c:pt idx="47">
                  <c:v>711</c:v>
                </c:pt>
                <c:pt idx="48">
                  <c:v>717</c:v>
                </c:pt>
                <c:pt idx="49">
                  <c:v>719</c:v>
                </c:pt>
                <c:pt idx="50">
                  <c:v>720</c:v>
                </c:pt>
                <c:pt idx="51">
                  <c:v>721</c:v>
                </c:pt>
                <c:pt idx="52">
                  <c:v>722</c:v>
                </c:pt>
                <c:pt idx="53">
                  <c:v>723</c:v>
                </c:pt>
                <c:pt idx="54">
                  <c:v>724</c:v>
                </c:pt>
                <c:pt idx="55">
                  <c:v>726</c:v>
                </c:pt>
                <c:pt idx="56">
                  <c:v>727</c:v>
                </c:pt>
                <c:pt idx="57">
                  <c:v>728</c:v>
                </c:pt>
                <c:pt idx="58">
                  <c:v>731</c:v>
                </c:pt>
                <c:pt idx="59">
                  <c:v>802</c:v>
                </c:pt>
                <c:pt idx="60">
                  <c:v>805</c:v>
                </c:pt>
                <c:pt idx="61">
                  <c:v>809</c:v>
                </c:pt>
                <c:pt idx="62">
                  <c:v>811</c:v>
                </c:pt>
                <c:pt idx="63">
                  <c:v>812</c:v>
                </c:pt>
                <c:pt idx="64">
                  <c:v>813</c:v>
                </c:pt>
                <c:pt idx="65">
                  <c:v>814</c:v>
                </c:pt>
                <c:pt idx="66">
                  <c:v>815</c:v>
                </c:pt>
                <c:pt idx="67">
                  <c:v>817</c:v>
                </c:pt>
                <c:pt idx="68">
                  <c:v>818</c:v>
                </c:pt>
                <c:pt idx="69">
                  <c:v>819</c:v>
                </c:pt>
                <c:pt idx="70">
                  <c:v>820</c:v>
                </c:pt>
                <c:pt idx="71">
                  <c:v>824</c:v>
                </c:pt>
                <c:pt idx="72">
                  <c:v>825</c:v>
                </c:pt>
                <c:pt idx="73">
                  <c:v>826</c:v>
                </c:pt>
                <c:pt idx="74">
                  <c:v>828</c:v>
                </c:pt>
                <c:pt idx="75">
                  <c:v>829</c:v>
                </c:pt>
                <c:pt idx="76">
                  <c:v>830</c:v>
                </c:pt>
                <c:pt idx="77">
                  <c:v>831</c:v>
                </c:pt>
                <c:pt idx="78">
                  <c:v>901</c:v>
                </c:pt>
                <c:pt idx="79">
                  <c:v>902</c:v>
                </c:pt>
                <c:pt idx="80">
                  <c:v>903</c:v>
                </c:pt>
                <c:pt idx="81">
                  <c:v>905</c:v>
                </c:pt>
                <c:pt idx="82">
                  <c:v>906</c:v>
                </c:pt>
                <c:pt idx="83">
                  <c:v>908</c:v>
                </c:pt>
                <c:pt idx="84">
                  <c:v>909</c:v>
                </c:pt>
                <c:pt idx="85">
                  <c:v>911</c:v>
                </c:pt>
                <c:pt idx="86">
                  <c:v>913</c:v>
                </c:pt>
                <c:pt idx="87">
                  <c:v>914</c:v>
                </c:pt>
                <c:pt idx="88">
                  <c:v>915</c:v>
                </c:pt>
                <c:pt idx="89">
                  <c:v>917</c:v>
                </c:pt>
                <c:pt idx="90">
                  <c:v>919</c:v>
                </c:pt>
                <c:pt idx="91">
                  <c:v>920</c:v>
                </c:pt>
                <c:pt idx="92">
                  <c:v>921</c:v>
                </c:pt>
                <c:pt idx="93">
                  <c:v>924</c:v>
                </c:pt>
                <c:pt idx="94">
                  <c:v>925</c:v>
                </c:pt>
                <c:pt idx="95">
                  <c:v>927</c:v>
                </c:pt>
                <c:pt idx="96">
                  <c:v>928</c:v>
                </c:pt>
                <c:pt idx="97">
                  <c:v>929</c:v>
                </c:pt>
                <c:pt idx="98">
                  <c:v>930</c:v>
                </c:pt>
                <c:pt idx="99">
                  <c:v>1001</c:v>
                </c:pt>
                <c:pt idx="100">
                  <c:v>1002</c:v>
                </c:pt>
                <c:pt idx="101">
                  <c:v>1003</c:v>
                </c:pt>
                <c:pt idx="102">
                  <c:v>1004</c:v>
                </c:pt>
                <c:pt idx="103">
                  <c:v>1005</c:v>
                </c:pt>
                <c:pt idx="104">
                  <c:v>1006</c:v>
                </c:pt>
                <c:pt idx="105">
                  <c:v>1007</c:v>
                </c:pt>
                <c:pt idx="106">
                  <c:v>1008</c:v>
                </c:pt>
                <c:pt idx="107">
                  <c:v>1009</c:v>
                </c:pt>
                <c:pt idx="108">
                  <c:v>1010</c:v>
                </c:pt>
                <c:pt idx="109">
                  <c:v>1012</c:v>
                </c:pt>
                <c:pt idx="110">
                  <c:v>1017</c:v>
                </c:pt>
                <c:pt idx="111">
                  <c:v>1018</c:v>
                </c:pt>
                <c:pt idx="112">
                  <c:v>1019</c:v>
                </c:pt>
                <c:pt idx="113">
                  <c:v>1021</c:v>
                </c:pt>
                <c:pt idx="114">
                  <c:v>1022</c:v>
                </c:pt>
                <c:pt idx="115">
                  <c:v>1023</c:v>
                </c:pt>
                <c:pt idx="116">
                  <c:v>1024</c:v>
                </c:pt>
                <c:pt idx="117">
                  <c:v>1026</c:v>
                </c:pt>
                <c:pt idx="118">
                  <c:v>1029</c:v>
                </c:pt>
                <c:pt idx="119">
                  <c:v>1030</c:v>
                </c:pt>
                <c:pt idx="120">
                  <c:v>1102</c:v>
                </c:pt>
                <c:pt idx="121">
                  <c:v>1103</c:v>
                </c:pt>
                <c:pt idx="122">
                  <c:v>1104</c:v>
                </c:pt>
                <c:pt idx="123">
                  <c:v>1105</c:v>
                </c:pt>
                <c:pt idx="124">
                  <c:v>1110</c:v>
                </c:pt>
                <c:pt idx="125">
                  <c:v>1111</c:v>
                </c:pt>
                <c:pt idx="126">
                  <c:v>1114</c:v>
                </c:pt>
                <c:pt idx="127">
                  <c:v>1115</c:v>
                </c:pt>
                <c:pt idx="128">
                  <c:v>1122</c:v>
                </c:pt>
                <c:pt idx="129">
                  <c:v>1128</c:v>
                </c:pt>
                <c:pt idx="130">
                  <c:v>1129</c:v>
                </c:pt>
                <c:pt idx="131">
                  <c:v>1204</c:v>
                </c:pt>
                <c:pt idx="132">
                  <c:v>1206</c:v>
                </c:pt>
                <c:pt idx="133">
                  <c:v>1207</c:v>
                </c:pt>
                <c:pt idx="134">
                  <c:v>1209</c:v>
                </c:pt>
                <c:pt idx="135">
                  <c:v>1210</c:v>
                </c:pt>
                <c:pt idx="136">
                  <c:v>1219</c:v>
                </c:pt>
                <c:pt idx="137">
                  <c:v>1221</c:v>
                </c:pt>
                <c:pt idx="138">
                  <c:v>1228</c:v>
                </c:pt>
                <c:pt idx="139">
                  <c:v>1230</c:v>
                </c:pt>
                <c:pt idx="140">
                  <c:v>(blank)</c:v>
                </c:pt>
              </c:strCache>
            </c:strRef>
          </c:cat>
          <c:val>
            <c:numRef>
              <c:f>Month!$M$19:$M$160</c:f>
              <c:numCache>
                <c:formatCode>General</c:formatCode>
                <c:ptCount val="14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1</c:v>
                </c:pt>
                <c:pt idx="18">
                  <c:v>1</c:v>
                </c:pt>
                <c:pt idx="19">
                  <c:v>1</c:v>
                </c:pt>
                <c:pt idx="20">
                  <c:v>1</c:v>
                </c:pt>
                <c:pt idx="21">
                  <c:v>1</c:v>
                </c:pt>
                <c:pt idx="22">
                  <c:v>1</c:v>
                </c:pt>
                <c:pt idx="23">
                  <c:v>1</c:v>
                </c:pt>
                <c:pt idx="24">
                  <c:v>1</c:v>
                </c:pt>
                <c:pt idx="25">
                  <c:v>1</c:v>
                </c:pt>
                <c:pt idx="26">
                  <c:v>1</c:v>
                </c:pt>
                <c:pt idx="27">
                  <c:v>1</c:v>
                </c:pt>
                <c:pt idx="28">
                  <c:v>2</c:v>
                </c:pt>
                <c:pt idx="29">
                  <c:v>1</c:v>
                </c:pt>
                <c:pt idx="30">
                  <c:v>2</c:v>
                </c:pt>
                <c:pt idx="31">
                  <c:v>1</c:v>
                </c:pt>
                <c:pt idx="32">
                  <c:v>1</c:v>
                </c:pt>
                <c:pt idx="33">
                  <c:v>1</c:v>
                </c:pt>
                <c:pt idx="34">
                  <c:v>1</c:v>
                </c:pt>
                <c:pt idx="35">
                  <c:v>1</c:v>
                </c:pt>
                <c:pt idx="36">
                  <c:v>1</c:v>
                </c:pt>
                <c:pt idx="37">
                  <c:v>1</c:v>
                </c:pt>
                <c:pt idx="38">
                  <c:v>2</c:v>
                </c:pt>
                <c:pt idx="39">
                  <c:v>2</c:v>
                </c:pt>
                <c:pt idx="40">
                  <c:v>2</c:v>
                </c:pt>
                <c:pt idx="41">
                  <c:v>3</c:v>
                </c:pt>
                <c:pt idx="42">
                  <c:v>1</c:v>
                </c:pt>
                <c:pt idx="43">
                  <c:v>2</c:v>
                </c:pt>
                <c:pt idx="44">
                  <c:v>2</c:v>
                </c:pt>
                <c:pt idx="45">
                  <c:v>1</c:v>
                </c:pt>
                <c:pt idx="46">
                  <c:v>1</c:v>
                </c:pt>
                <c:pt idx="47">
                  <c:v>1</c:v>
                </c:pt>
                <c:pt idx="48">
                  <c:v>1</c:v>
                </c:pt>
                <c:pt idx="49">
                  <c:v>2</c:v>
                </c:pt>
                <c:pt idx="50">
                  <c:v>2</c:v>
                </c:pt>
                <c:pt idx="51">
                  <c:v>1</c:v>
                </c:pt>
                <c:pt idx="52">
                  <c:v>2</c:v>
                </c:pt>
                <c:pt idx="53">
                  <c:v>1</c:v>
                </c:pt>
                <c:pt idx="54">
                  <c:v>1</c:v>
                </c:pt>
                <c:pt idx="55">
                  <c:v>1</c:v>
                </c:pt>
                <c:pt idx="56">
                  <c:v>1</c:v>
                </c:pt>
                <c:pt idx="57">
                  <c:v>2</c:v>
                </c:pt>
                <c:pt idx="58">
                  <c:v>1</c:v>
                </c:pt>
                <c:pt idx="59">
                  <c:v>1</c:v>
                </c:pt>
                <c:pt idx="60">
                  <c:v>2</c:v>
                </c:pt>
                <c:pt idx="61">
                  <c:v>1</c:v>
                </c:pt>
                <c:pt idx="62">
                  <c:v>1</c:v>
                </c:pt>
                <c:pt idx="63">
                  <c:v>2</c:v>
                </c:pt>
                <c:pt idx="64">
                  <c:v>1</c:v>
                </c:pt>
                <c:pt idx="65">
                  <c:v>3</c:v>
                </c:pt>
                <c:pt idx="66">
                  <c:v>2</c:v>
                </c:pt>
                <c:pt idx="67">
                  <c:v>1</c:v>
                </c:pt>
                <c:pt idx="68">
                  <c:v>2</c:v>
                </c:pt>
                <c:pt idx="69">
                  <c:v>1</c:v>
                </c:pt>
                <c:pt idx="70">
                  <c:v>2</c:v>
                </c:pt>
                <c:pt idx="71">
                  <c:v>3</c:v>
                </c:pt>
                <c:pt idx="72">
                  <c:v>1</c:v>
                </c:pt>
                <c:pt idx="73">
                  <c:v>1</c:v>
                </c:pt>
                <c:pt idx="74">
                  <c:v>3</c:v>
                </c:pt>
                <c:pt idx="75">
                  <c:v>1</c:v>
                </c:pt>
                <c:pt idx="76">
                  <c:v>1</c:v>
                </c:pt>
                <c:pt idx="77">
                  <c:v>1</c:v>
                </c:pt>
                <c:pt idx="78">
                  <c:v>2</c:v>
                </c:pt>
                <c:pt idx="79">
                  <c:v>2</c:v>
                </c:pt>
                <c:pt idx="80">
                  <c:v>1</c:v>
                </c:pt>
                <c:pt idx="81">
                  <c:v>2</c:v>
                </c:pt>
                <c:pt idx="82">
                  <c:v>2</c:v>
                </c:pt>
                <c:pt idx="83">
                  <c:v>2</c:v>
                </c:pt>
                <c:pt idx="84">
                  <c:v>1</c:v>
                </c:pt>
                <c:pt idx="85">
                  <c:v>1</c:v>
                </c:pt>
                <c:pt idx="86">
                  <c:v>1</c:v>
                </c:pt>
                <c:pt idx="87">
                  <c:v>1</c:v>
                </c:pt>
                <c:pt idx="88">
                  <c:v>1</c:v>
                </c:pt>
                <c:pt idx="89">
                  <c:v>2</c:v>
                </c:pt>
                <c:pt idx="90">
                  <c:v>1</c:v>
                </c:pt>
                <c:pt idx="91">
                  <c:v>1</c:v>
                </c:pt>
                <c:pt idx="92">
                  <c:v>1</c:v>
                </c:pt>
                <c:pt idx="93">
                  <c:v>1</c:v>
                </c:pt>
                <c:pt idx="94">
                  <c:v>1</c:v>
                </c:pt>
                <c:pt idx="95">
                  <c:v>1</c:v>
                </c:pt>
                <c:pt idx="96">
                  <c:v>3</c:v>
                </c:pt>
                <c:pt idx="97">
                  <c:v>2</c:v>
                </c:pt>
                <c:pt idx="98">
                  <c:v>2</c:v>
                </c:pt>
                <c:pt idx="99">
                  <c:v>1</c:v>
                </c:pt>
                <c:pt idx="100">
                  <c:v>3</c:v>
                </c:pt>
                <c:pt idx="101">
                  <c:v>4</c:v>
                </c:pt>
                <c:pt idx="102">
                  <c:v>1</c:v>
                </c:pt>
                <c:pt idx="103">
                  <c:v>3</c:v>
                </c:pt>
                <c:pt idx="104">
                  <c:v>1</c:v>
                </c:pt>
                <c:pt idx="105">
                  <c:v>2</c:v>
                </c:pt>
                <c:pt idx="106">
                  <c:v>1</c:v>
                </c:pt>
                <c:pt idx="107">
                  <c:v>1</c:v>
                </c:pt>
                <c:pt idx="108">
                  <c:v>2</c:v>
                </c:pt>
                <c:pt idx="109">
                  <c:v>1</c:v>
                </c:pt>
                <c:pt idx="110">
                  <c:v>1</c:v>
                </c:pt>
                <c:pt idx="111">
                  <c:v>2</c:v>
                </c:pt>
                <c:pt idx="112">
                  <c:v>2</c:v>
                </c:pt>
                <c:pt idx="113">
                  <c:v>1</c:v>
                </c:pt>
                <c:pt idx="114">
                  <c:v>3</c:v>
                </c:pt>
                <c:pt idx="115">
                  <c:v>1</c:v>
                </c:pt>
                <c:pt idx="116">
                  <c:v>2</c:v>
                </c:pt>
                <c:pt idx="117">
                  <c:v>1</c:v>
                </c:pt>
                <c:pt idx="118">
                  <c:v>2</c:v>
                </c:pt>
                <c:pt idx="119">
                  <c:v>2</c:v>
                </c:pt>
                <c:pt idx="120">
                  <c:v>2</c:v>
                </c:pt>
                <c:pt idx="121">
                  <c:v>1</c:v>
                </c:pt>
                <c:pt idx="122">
                  <c:v>1</c:v>
                </c:pt>
                <c:pt idx="123">
                  <c:v>1</c:v>
                </c:pt>
                <c:pt idx="124">
                  <c:v>1</c:v>
                </c:pt>
                <c:pt idx="125">
                  <c:v>3</c:v>
                </c:pt>
                <c:pt idx="126">
                  <c:v>1</c:v>
                </c:pt>
                <c:pt idx="127">
                  <c:v>1</c:v>
                </c:pt>
                <c:pt idx="128">
                  <c:v>1</c:v>
                </c:pt>
                <c:pt idx="129">
                  <c:v>1</c:v>
                </c:pt>
                <c:pt idx="130">
                  <c:v>2</c:v>
                </c:pt>
                <c:pt idx="131">
                  <c:v>1</c:v>
                </c:pt>
                <c:pt idx="132">
                  <c:v>2</c:v>
                </c:pt>
                <c:pt idx="133">
                  <c:v>1</c:v>
                </c:pt>
                <c:pt idx="134">
                  <c:v>1</c:v>
                </c:pt>
                <c:pt idx="135">
                  <c:v>1</c:v>
                </c:pt>
                <c:pt idx="136">
                  <c:v>1</c:v>
                </c:pt>
                <c:pt idx="137">
                  <c:v>1</c:v>
                </c:pt>
                <c:pt idx="138">
                  <c:v>1</c:v>
                </c:pt>
                <c:pt idx="139">
                  <c:v>2</c:v>
                </c:pt>
              </c:numCache>
            </c:numRef>
          </c:val>
          <c:extLst>
            <c:ext xmlns:c16="http://schemas.microsoft.com/office/drawing/2014/chart" uri="{C3380CC4-5D6E-409C-BE32-E72D297353CC}">
              <c16:uniqueId val="{00000001-D054-4EA6-A0AB-A4988D768E21}"/>
            </c:ext>
          </c:extLst>
        </c:ser>
        <c:dLbls>
          <c:showLegendKey val="0"/>
          <c:showVal val="0"/>
          <c:showCatName val="0"/>
          <c:showSerName val="0"/>
          <c:showPercent val="0"/>
          <c:showBubbleSize val="0"/>
        </c:dLbls>
        <c:gapWidth val="219"/>
        <c:overlap val="-27"/>
        <c:axId val="289628256"/>
        <c:axId val="289624976"/>
      </c:barChart>
      <c:catAx>
        <c:axId val="289628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24976"/>
        <c:crosses val="autoZero"/>
        <c:auto val="1"/>
        <c:lblAlgn val="ctr"/>
        <c:lblOffset val="100"/>
        <c:tickLblSkip val="15"/>
        <c:tickMarkSkip val="15"/>
        <c:noMultiLvlLbl val="0"/>
      </c:catAx>
      <c:valAx>
        <c:axId val="28962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2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Shark Incidents</a:t>
            </a:r>
            <a:r>
              <a:rPr lang="en-US" baseline="0"/>
              <a:t> by Time of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Total</c:v>
          </c:tx>
          <c:spPr>
            <a:ln w="28575" cap="rnd">
              <a:solidFill>
                <a:schemeClr val="tx1"/>
              </a:solidFill>
              <a:prstDash val="lgDashDotDot"/>
              <a:round/>
            </a:ln>
            <a:effectLst/>
          </c:spPr>
          <c:marker>
            <c:symbol val="none"/>
          </c:marker>
          <c:val>
            <c:numRef>
              <c:f>TimeofDay!$H$3:$H$26</c:f>
              <c:numCache>
                <c:formatCode>General</c:formatCode>
                <c:ptCount val="24"/>
                <c:pt idx="0">
                  <c:v>0</c:v>
                </c:pt>
                <c:pt idx="1">
                  <c:v>0</c:v>
                </c:pt>
                <c:pt idx="2">
                  <c:v>0</c:v>
                </c:pt>
                <c:pt idx="3">
                  <c:v>0</c:v>
                </c:pt>
                <c:pt idx="4">
                  <c:v>0</c:v>
                </c:pt>
                <c:pt idx="5">
                  <c:v>0</c:v>
                </c:pt>
                <c:pt idx="6">
                  <c:v>1</c:v>
                </c:pt>
                <c:pt idx="7">
                  <c:v>16</c:v>
                </c:pt>
                <c:pt idx="8">
                  <c:v>10</c:v>
                </c:pt>
                <c:pt idx="9">
                  <c:v>18</c:v>
                </c:pt>
                <c:pt idx="10">
                  <c:v>13</c:v>
                </c:pt>
                <c:pt idx="11">
                  <c:v>27</c:v>
                </c:pt>
                <c:pt idx="12">
                  <c:v>13</c:v>
                </c:pt>
                <c:pt idx="13">
                  <c:v>16</c:v>
                </c:pt>
                <c:pt idx="14">
                  <c:v>17</c:v>
                </c:pt>
                <c:pt idx="15">
                  <c:v>11</c:v>
                </c:pt>
                <c:pt idx="16">
                  <c:v>12</c:v>
                </c:pt>
                <c:pt idx="17">
                  <c:v>18</c:v>
                </c:pt>
                <c:pt idx="18">
                  <c:v>5</c:v>
                </c:pt>
                <c:pt idx="19">
                  <c:v>2</c:v>
                </c:pt>
                <c:pt idx="20">
                  <c:v>3</c:v>
                </c:pt>
                <c:pt idx="21">
                  <c:v>0</c:v>
                </c:pt>
                <c:pt idx="22">
                  <c:v>1</c:v>
                </c:pt>
                <c:pt idx="23">
                  <c:v>2</c:v>
                </c:pt>
              </c:numCache>
            </c:numRef>
          </c:val>
          <c:smooth val="0"/>
          <c:extLst>
            <c:ext xmlns:c16="http://schemas.microsoft.com/office/drawing/2014/chart" uri="{C3380CC4-5D6E-409C-BE32-E72D297353CC}">
              <c16:uniqueId val="{00000001-84F4-41D8-9921-D67B3CE03964}"/>
            </c:ext>
          </c:extLst>
        </c:ser>
        <c:ser>
          <c:idx val="4"/>
          <c:order val="1"/>
          <c:tx>
            <c:strRef>
              <c:f>TimeofDay!$M$2</c:f>
              <c:strCache>
                <c:ptCount val="1"/>
                <c:pt idx="0">
                  <c:v>No Injury</c:v>
                </c:pt>
              </c:strCache>
            </c:strRef>
          </c:tx>
          <c:spPr>
            <a:ln w="28575" cap="rnd">
              <a:solidFill>
                <a:srgbClr val="00B050"/>
              </a:solidFill>
              <a:round/>
            </a:ln>
            <a:effectLst/>
          </c:spPr>
          <c:marker>
            <c:symbol val="none"/>
          </c:marker>
          <c:cat>
            <c:numRef>
              <c:f>TimeofDay!$G$3:$G$26</c:f>
              <c:numCache>
                <c:formatCode>h:mm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TimeofDay!$M$3:$M$26</c:f>
              <c:numCache>
                <c:formatCode>General</c:formatCode>
                <c:ptCount val="24"/>
                <c:pt idx="0">
                  <c:v>0</c:v>
                </c:pt>
                <c:pt idx="1">
                  <c:v>0</c:v>
                </c:pt>
                <c:pt idx="2">
                  <c:v>0</c:v>
                </c:pt>
                <c:pt idx="3">
                  <c:v>0</c:v>
                </c:pt>
                <c:pt idx="4">
                  <c:v>0</c:v>
                </c:pt>
                <c:pt idx="5">
                  <c:v>0</c:v>
                </c:pt>
                <c:pt idx="6">
                  <c:v>0</c:v>
                </c:pt>
                <c:pt idx="7">
                  <c:v>9</c:v>
                </c:pt>
                <c:pt idx="8">
                  <c:v>5</c:v>
                </c:pt>
                <c:pt idx="9">
                  <c:v>6</c:v>
                </c:pt>
                <c:pt idx="10">
                  <c:v>6</c:v>
                </c:pt>
                <c:pt idx="11">
                  <c:v>8</c:v>
                </c:pt>
                <c:pt idx="12">
                  <c:v>4</c:v>
                </c:pt>
                <c:pt idx="13">
                  <c:v>6</c:v>
                </c:pt>
                <c:pt idx="14">
                  <c:v>5</c:v>
                </c:pt>
                <c:pt idx="15">
                  <c:v>4</c:v>
                </c:pt>
                <c:pt idx="16">
                  <c:v>5</c:v>
                </c:pt>
                <c:pt idx="17">
                  <c:v>5</c:v>
                </c:pt>
                <c:pt idx="18">
                  <c:v>4</c:v>
                </c:pt>
                <c:pt idx="19">
                  <c:v>1</c:v>
                </c:pt>
                <c:pt idx="20">
                  <c:v>2</c:v>
                </c:pt>
                <c:pt idx="21">
                  <c:v>0</c:v>
                </c:pt>
                <c:pt idx="22">
                  <c:v>1</c:v>
                </c:pt>
                <c:pt idx="23">
                  <c:v>1</c:v>
                </c:pt>
              </c:numCache>
            </c:numRef>
          </c:val>
          <c:smooth val="0"/>
          <c:extLst>
            <c:ext xmlns:c16="http://schemas.microsoft.com/office/drawing/2014/chart" uri="{C3380CC4-5D6E-409C-BE32-E72D297353CC}">
              <c16:uniqueId val="{00000004-ED19-48B1-92E8-4612C7ED3A33}"/>
            </c:ext>
          </c:extLst>
        </c:ser>
        <c:ser>
          <c:idx val="2"/>
          <c:order val="2"/>
          <c:tx>
            <c:strRef>
              <c:f>TimeofDay!$L$2</c:f>
              <c:strCache>
                <c:ptCount val="1"/>
                <c:pt idx="0">
                  <c:v>Non-Fatal Injury</c:v>
                </c:pt>
              </c:strCache>
            </c:strRef>
          </c:tx>
          <c:spPr>
            <a:ln w="28575" cap="rnd">
              <a:solidFill>
                <a:schemeClr val="accent1"/>
              </a:solidFill>
              <a:prstDash val="sysDash"/>
              <a:round/>
            </a:ln>
            <a:effectLst/>
          </c:spPr>
          <c:marker>
            <c:symbol val="none"/>
          </c:marker>
          <c:val>
            <c:numRef>
              <c:f>TimeofDay!$L$3:$L$26</c:f>
              <c:numCache>
                <c:formatCode>General</c:formatCode>
                <c:ptCount val="24"/>
                <c:pt idx="0">
                  <c:v>0</c:v>
                </c:pt>
                <c:pt idx="1">
                  <c:v>0</c:v>
                </c:pt>
                <c:pt idx="2">
                  <c:v>0</c:v>
                </c:pt>
                <c:pt idx="3">
                  <c:v>0</c:v>
                </c:pt>
                <c:pt idx="4">
                  <c:v>0</c:v>
                </c:pt>
                <c:pt idx="5">
                  <c:v>0</c:v>
                </c:pt>
                <c:pt idx="6">
                  <c:v>1</c:v>
                </c:pt>
                <c:pt idx="7">
                  <c:v>6</c:v>
                </c:pt>
                <c:pt idx="8">
                  <c:v>3</c:v>
                </c:pt>
                <c:pt idx="9">
                  <c:v>10</c:v>
                </c:pt>
                <c:pt idx="10">
                  <c:v>5</c:v>
                </c:pt>
                <c:pt idx="11">
                  <c:v>18</c:v>
                </c:pt>
                <c:pt idx="12">
                  <c:v>9</c:v>
                </c:pt>
                <c:pt idx="13">
                  <c:v>8</c:v>
                </c:pt>
                <c:pt idx="14">
                  <c:v>11</c:v>
                </c:pt>
                <c:pt idx="15">
                  <c:v>7</c:v>
                </c:pt>
                <c:pt idx="16">
                  <c:v>6</c:v>
                </c:pt>
                <c:pt idx="17">
                  <c:v>11</c:v>
                </c:pt>
                <c:pt idx="18">
                  <c:v>1</c:v>
                </c:pt>
                <c:pt idx="19">
                  <c:v>1</c:v>
                </c:pt>
                <c:pt idx="20">
                  <c:v>1</c:v>
                </c:pt>
                <c:pt idx="21">
                  <c:v>0</c:v>
                </c:pt>
                <c:pt idx="22">
                  <c:v>0</c:v>
                </c:pt>
                <c:pt idx="23">
                  <c:v>1</c:v>
                </c:pt>
              </c:numCache>
            </c:numRef>
          </c:val>
          <c:smooth val="0"/>
          <c:extLst>
            <c:ext xmlns:c16="http://schemas.microsoft.com/office/drawing/2014/chart" uri="{C3380CC4-5D6E-409C-BE32-E72D297353CC}">
              <c16:uniqueId val="{00000001-76DB-455B-BB54-30D24EADBC3D}"/>
            </c:ext>
          </c:extLst>
        </c:ser>
        <c:ser>
          <c:idx val="1"/>
          <c:order val="3"/>
          <c:tx>
            <c:strRef>
              <c:f>TimeofDay!$I$2</c:f>
              <c:strCache>
                <c:ptCount val="1"/>
                <c:pt idx="0">
                  <c:v>Fatal</c:v>
                </c:pt>
              </c:strCache>
            </c:strRef>
          </c:tx>
          <c:spPr>
            <a:ln w="28575" cap="rnd">
              <a:solidFill>
                <a:srgbClr val="FF0000"/>
              </a:solidFill>
              <a:prstDash val="sysDot"/>
              <a:round/>
            </a:ln>
            <a:effectLst/>
          </c:spPr>
          <c:marker>
            <c:symbol val="none"/>
          </c:marker>
          <c:cat>
            <c:numRef>
              <c:f>TimeofDay!$G$3:$G$26</c:f>
              <c:numCache>
                <c:formatCode>h:mm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TimeofDay!$I$3:$I$26</c:f>
              <c:numCache>
                <c:formatCode>General</c:formatCode>
                <c:ptCount val="24"/>
                <c:pt idx="0">
                  <c:v>0</c:v>
                </c:pt>
                <c:pt idx="1">
                  <c:v>0</c:v>
                </c:pt>
                <c:pt idx="2">
                  <c:v>0</c:v>
                </c:pt>
                <c:pt idx="3">
                  <c:v>0</c:v>
                </c:pt>
                <c:pt idx="4">
                  <c:v>0</c:v>
                </c:pt>
                <c:pt idx="5">
                  <c:v>0</c:v>
                </c:pt>
                <c:pt idx="6">
                  <c:v>0</c:v>
                </c:pt>
                <c:pt idx="7">
                  <c:v>1</c:v>
                </c:pt>
                <c:pt idx="8">
                  <c:v>2</c:v>
                </c:pt>
                <c:pt idx="9">
                  <c:v>2</c:v>
                </c:pt>
                <c:pt idx="10">
                  <c:v>2</c:v>
                </c:pt>
                <c:pt idx="11">
                  <c:v>1</c:v>
                </c:pt>
                <c:pt idx="12">
                  <c:v>0</c:v>
                </c:pt>
                <c:pt idx="13">
                  <c:v>2</c:v>
                </c:pt>
                <c:pt idx="14">
                  <c:v>1</c:v>
                </c:pt>
                <c:pt idx="15">
                  <c:v>0</c:v>
                </c:pt>
                <c:pt idx="16">
                  <c:v>1</c:v>
                </c:pt>
                <c:pt idx="17">
                  <c:v>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ED19-48B1-92E8-4612C7ED3A33}"/>
            </c:ext>
          </c:extLst>
        </c:ser>
        <c:dLbls>
          <c:showLegendKey val="0"/>
          <c:showVal val="0"/>
          <c:showCatName val="0"/>
          <c:showSerName val="0"/>
          <c:showPercent val="0"/>
          <c:showBubbleSize val="0"/>
        </c:dLbls>
        <c:smooth val="0"/>
        <c:axId val="560249656"/>
        <c:axId val="571824064"/>
      </c:lineChart>
      <c:catAx>
        <c:axId val="560249656"/>
        <c:scaling>
          <c:orientation val="minMax"/>
        </c:scaling>
        <c:delete val="0"/>
        <c:axPos val="b"/>
        <c:numFmt formatCode="h:mm" sourceLinked="1"/>
        <c:majorTickMark val="out"/>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24064"/>
        <c:crosses val="autoZero"/>
        <c:auto val="1"/>
        <c:lblAlgn val="ctr"/>
        <c:lblOffset val="100"/>
        <c:noMultiLvlLbl val="0"/>
      </c:catAx>
      <c:valAx>
        <c:axId val="571824064"/>
        <c:scaling>
          <c:orientation val="minMax"/>
          <c:max val="3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49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Moon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812107494660339E-2"/>
          <c:y val="0.17171296296296296"/>
          <c:w val="0.89222927093627469"/>
          <c:h val="0.72088764946048411"/>
        </c:manualLayout>
      </c:layout>
      <c:barChart>
        <c:barDir val="col"/>
        <c:grouping val="clustered"/>
        <c:varyColors val="0"/>
        <c:ser>
          <c:idx val="0"/>
          <c:order val="0"/>
          <c:tx>
            <c:strRef>
              <c:f>'Moon Phase'!$AD$8</c:f>
              <c:strCache>
                <c:ptCount val="1"/>
                <c:pt idx="0">
                  <c:v>Non-Injury</c:v>
                </c:pt>
              </c:strCache>
            </c:strRef>
          </c:tx>
          <c:spPr>
            <a:pattFill prst="pct25">
              <a:fgClr>
                <a:srgbClr val="00B050"/>
              </a:fgClr>
              <a:bgClr>
                <a:schemeClr val="bg1"/>
              </a:bgClr>
            </a:pattFill>
            <a:ln>
              <a:solidFill>
                <a:srgbClr val="669900"/>
              </a:solidFill>
            </a:ln>
            <a:effectLst/>
          </c:spPr>
          <c:invertIfNegative val="0"/>
          <c:cat>
            <c:strRef>
              <c:f>'Moon Phase'!$AC$9:$AC$13</c:f>
              <c:strCache>
                <c:ptCount val="5"/>
                <c:pt idx="0">
                  <c:v>Full</c:v>
                </c:pt>
                <c:pt idx="1">
                  <c:v>Gibbous</c:v>
                </c:pt>
                <c:pt idx="2">
                  <c:v>Half</c:v>
                </c:pt>
                <c:pt idx="3">
                  <c:v>Crescent</c:v>
                </c:pt>
                <c:pt idx="4">
                  <c:v>New</c:v>
                </c:pt>
              </c:strCache>
            </c:strRef>
          </c:cat>
          <c:val>
            <c:numRef>
              <c:f>'Moon Phase'!$AD$9:$AD$13</c:f>
              <c:numCache>
                <c:formatCode>General</c:formatCode>
                <c:ptCount val="5"/>
                <c:pt idx="0">
                  <c:v>18</c:v>
                </c:pt>
                <c:pt idx="1">
                  <c:v>28</c:v>
                </c:pt>
                <c:pt idx="2">
                  <c:v>5</c:v>
                </c:pt>
                <c:pt idx="3">
                  <c:v>14</c:v>
                </c:pt>
                <c:pt idx="4">
                  <c:v>14</c:v>
                </c:pt>
              </c:numCache>
            </c:numRef>
          </c:val>
          <c:extLst>
            <c:ext xmlns:c16="http://schemas.microsoft.com/office/drawing/2014/chart" uri="{C3380CC4-5D6E-409C-BE32-E72D297353CC}">
              <c16:uniqueId val="{00000000-26A7-43B7-B30A-3964F9A6D393}"/>
            </c:ext>
          </c:extLst>
        </c:ser>
        <c:ser>
          <c:idx val="1"/>
          <c:order val="1"/>
          <c:tx>
            <c:strRef>
              <c:f>'Moon Phase'!$AE$8</c:f>
              <c:strCache>
                <c:ptCount val="1"/>
                <c:pt idx="0">
                  <c:v>Non-Fatal Injury</c:v>
                </c:pt>
              </c:strCache>
            </c:strRef>
          </c:tx>
          <c:spPr>
            <a:solidFill>
              <a:schemeClr val="accent1"/>
            </a:solidFill>
            <a:ln>
              <a:solidFill>
                <a:schemeClr val="accent1"/>
              </a:solidFill>
            </a:ln>
            <a:effectLst/>
          </c:spPr>
          <c:invertIfNegative val="0"/>
          <c:cat>
            <c:strRef>
              <c:f>'Moon Phase'!$AC$9:$AC$13</c:f>
              <c:strCache>
                <c:ptCount val="5"/>
                <c:pt idx="0">
                  <c:v>Full</c:v>
                </c:pt>
                <c:pt idx="1">
                  <c:v>Gibbous</c:v>
                </c:pt>
                <c:pt idx="2">
                  <c:v>Half</c:v>
                </c:pt>
                <c:pt idx="3">
                  <c:v>Crescent</c:v>
                </c:pt>
                <c:pt idx="4">
                  <c:v>New</c:v>
                </c:pt>
              </c:strCache>
            </c:strRef>
          </c:cat>
          <c:val>
            <c:numRef>
              <c:f>'Moon Phase'!$AE$9:$AE$13</c:f>
              <c:numCache>
                <c:formatCode>General</c:formatCode>
                <c:ptCount val="5"/>
                <c:pt idx="0">
                  <c:v>21</c:v>
                </c:pt>
                <c:pt idx="1">
                  <c:v>22</c:v>
                </c:pt>
                <c:pt idx="2">
                  <c:v>8</c:v>
                </c:pt>
                <c:pt idx="3">
                  <c:v>32</c:v>
                </c:pt>
                <c:pt idx="4">
                  <c:v>24</c:v>
                </c:pt>
              </c:numCache>
            </c:numRef>
          </c:val>
          <c:extLst>
            <c:ext xmlns:c16="http://schemas.microsoft.com/office/drawing/2014/chart" uri="{C3380CC4-5D6E-409C-BE32-E72D297353CC}">
              <c16:uniqueId val="{00000001-26A7-43B7-B30A-3964F9A6D393}"/>
            </c:ext>
          </c:extLst>
        </c:ser>
        <c:ser>
          <c:idx val="2"/>
          <c:order val="2"/>
          <c:tx>
            <c:strRef>
              <c:f>'Moon Phase'!$AF$8</c:f>
              <c:strCache>
                <c:ptCount val="1"/>
                <c:pt idx="0">
                  <c:v>Fatality</c:v>
                </c:pt>
              </c:strCache>
            </c:strRef>
          </c:tx>
          <c:spPr>
            <a:pattFill prst="wdDnDiag">
              <a:fgClr>
                <a:srgbClr val="FF0000"/>
              </a:fgClr>
              <a:bgClr>
                <a:schemeClr val="bg1"/>
              </a:bgClr>
            </a:pattFill>
            <a:ln>
              <a:solidFill>
                <a:srgbClr val="FF0000"/>
              </a:solidFill>
            </a:ln>
            <a:effectLst/>
          </c:spPr>
          <c:invertIfNegative val="0"/>
          <c:cat>
            <c:strRef>
              <c:f>'Moon Phase'!$AC$9:$AC$13</c:f>
              <c:strCache>
                <c:ptCount val="5"/>
                <c:pt idx="0">
                  <c:v>Full</c:v>
                </c:pt>
                <c:pt idx="1">
                  <c:v>Gibbous</c:v>
                </c:pt>
                <c:pt idx="2">
                  <c:v>Half</c:v>
                </c:pt>
                <c:pt idx="3">
                  <c:v>Crescent</c:v>
                </c:pt>
                <c:pt idx="4">
                  <c:v>New</c:v>
                </c:pt>
              </c:strCache>
            </c:strRef>
          </c:cat>
          <c:val>
            <c:numRef>
              <c:f>'Moon Phase'!$AF$9:$AF$13</c:f>
              <c:numCache>
                <c:formatCode>General</c:formatCode>
                <c:ptCount val="5"/>
                <c:pt idx="0">
                  <c:v>2</c:v>
                </c:pt>
                <c:pt idx="1">
                  <c:v>6</c:v>
                </c:pt>
                <c:pt idx="2">
                  <c:v>3</c:v>
                </c:pt>
                <c:pt idx="3">
                  <c:v>1</c:v>
                </c:pt>
                <c:pt idx="4">
                  <c:v>3</c:v>
                </c:pt>
              </c:numCache>
            </c:numRef>
          </c:val>
          <c:extLst>
            <c:ext xmlns:c16="http://schemas.microsoft.com/office/drawing/2014/chart" uri="{C3380CC4-5D6E-409C-BE32-E72D297353CC}">
              <c16:uniqueId val="{00000002-26A7-43B7-B30A-3964F9A6D393}"/>
            </c:ext>
          </c:extLst>
        </c:ser>
        <c:dLbls>
          <c:showLegendKey val="0"/>
          <c:showVal val="0"/>
          <c:showCatName val="0"/>
          <c:showSerName val="0"/>
          <c:showPercent val="0"/>
          <c:showBubbleSize val="0"/>
        </c:dLbls>
        <c:gapWidth val="219"/>
        <c:overlap val="-27"/>
        <c:axId val="646946688"/>
        <c:axId val="646944064"/>
      </c:barChart>
      <c:catAx>
        <c:axId val="64694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46944064"/>
        <c:crosses val="autoZero"/>
        <c:auto val="1"/>
        <c:lblAlgn val="ctr"/>
        <c:lblOffset val="100"/>
        <c:noMultiLvlLbl val="0"/>
      </c:catAx>
      <c:valAx>
        <c:axId val="646944064"/>
        <c:scaling>
          <c:orientation val="minMax"/>
          <c:max val="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46946688"/>
        <c:crosses val="autoZero"/>
        <c:crossBetween val="between"/>
      </c:valAx>
      <c:spPr>
        <a:noFill/>
        <a:ln>
          <a:noFill/>
        </a:ln>
        <a:effectLst/>
      </c:spPr>
    </c:plotArea>
    <c:legend>
      <c:legendPos val="r"/>
      <c:layout>
        <c:manualLayout>
          <c:xMode val="edge"/>
          <c:yMode val="edge"/>
          <c:x val="0.11604152719776424"/>
          <c:y val="0.18670050541203012"/>
          <c:w val="0.26414421881475342"/>
          <c:h val="0.22593436151059629"/>
        </c:manualLayout>
      </c:layout>
      <c:overlay val="0"/>
      <c:spPr>
        <a:solidFill>
          <a:schemeClr val="bg1"/>
        </a:solidFill>
        <a:ln>
          <a:solidFill>
            <a:schemeClr val="tx1"/>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18</xdr:col>
      <xdr:colOff>200816</xdr:colOff>
      <xdr:row>0</xdr:row>
      <xdr:rowOff>178594</xdr:rowOff>
    </xdr:from>
    <xdr:to>
      <xdr:col>28</xdr:col>
      <xdr:colOff>168672</xdr:colOff>
      <xdr:row>19</xdr:row>
      <xdr:rowOff>119062</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575686</xdr:colOff>
      <xdr:row>21</xdr:row>
      <xdr:rowOff>141683</xdr:rowOff>
    </xdr:from>
    <xdr:to>
      <xdr:col>28</xdr:col>
      <xdr:colOff>596621</xdr:colOff>
      <xdr:row>44</xdr:row>
      <xdr:rowOff>10467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1</xdr:row>
      <xdr:rowOff>0</xdr:rowOff>
    </xdr:from>
    <xdr:to>
      <xdr:col>38</xdr:col>
      <xdr:colOff>573089</xdr:colOff>
      <xdr:row>19</xdr:row>
      <xdr:rowOff>138906</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266699</xdr:colOff>
      <xdr:row>0</xdr:row>
      <xdr:rowOff>157161</xdr:rowOff>
    </xdr:from>
    <xdr:to>
      <xdr:col>38</xdr:col>
      <xdr:colOff>57150</xdr:colOff>
      <xdr:row>21</xdr:row>
      <xdr:rowOff>47625</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585787</xdr:colOff>
      <xdr:row>16</xdr:row>
      <xdr:rowOff>195262</xdr:rowOff>
    </xdr:from>
    <xdr:to>
      <xdr:col>10</xdr:col>
      <xdr:colOff>395287</xdr:colOff>
      <xdr:row>28</xdr:row>
      <xdr:rowOff>195262</xdr:rowOff>
    </xdr:to>
    <xdr:graphicFrame macro="">
      <xdr:nvGraphicFramePr>
        <xdr:cNvPr id="2" name="Chart 1">
          <a:extLst>
            <a:ext uri="{FF2B5EF4-FFF2-40B4-BE49-F238E27FC236}">
              <a16:creationId xmlns:a16="http://schemas.microsoft.com/office/drawing/2014/main" id="{15813276-3393-467A-96A0-FDF848C25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119062</xdr:colOff>
      <xdr:row>2</xdr:row>
      <xdr:rowOff>161925</xdr:rowOff>
    </xdr:from>
    <xdr:to>
      <xdr:col>21</xdr:col>
      <xdr:colOff>342900</xdr:colOff>
      <xdr:row>18</xdr:row>
      <xdr:rowOff>123825</xdr:rowOff>
    </xdr:to>
    <xdr:graphicFrame macro="">
      <xdr:nvGraphicFramePr>
        <xdr:cNvPr id="3" name="Chart 2">
          <a:extLst>
            <a:ext uri="{FF2B5EF4-FFF2-40B4-BE49-F238E27FC236}">
              <a16:creationId xmlns:a16="http://schemas.microsoft.com/office/drawing/2014/main" id="{AADA2DC7-74BB-4256-A6A2-56CD9DCC6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34</xdr:col>
      <xdr:colOff>123825</xdr:colOff>
      <xdr:row>0</xdr:row>
      <xdr:rowOff>152399</xdr:rowOff>
    </xdr:from>
    <xdr:to>
      <xdr:col>41</xdr:col>
      <xdr:colOff>561975</xdr:colOff>
      <xdr:row>18</xdr:row>
      <xdr:rowOff>9524</xdr:rowOff>
    </xdr:to>
    <xdr:graphicFrame macro="">
      <xdr:nvGraphicFramePr>
        <xdr:cNvPr id="3" name="Chart 2">
          <a:extLst>
            <a:ext uri="{FF2B5EF4-FFF2-40B4-BE49-F238E27FC236}">
              <a16:creationId xmlns:a16="http://schemas.microsoft.com/office/drawing/2014/main" id="{A199AC03-F555-405B-B35D-354BF04B3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goretz/Sharks/AttackDatabase/SharkAtta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acks_1950_2017"/>
      <sheetName val="InjuryTypes"/>
      <sheetName val="Mode"/>
      <sheetName val="County"/>
      <sheetName val="SRF_Online"/>
      <sheetName val="GSAF"/>
      <sheetName val="GSAF_Filtered"/>
    </sheetNames>
    <sheetDataSet>
      <sheetData sheetId="0"/>
      <sheetData sheetId="1">
        <row r="1">
          <cell r="A1" t="str">
            <v>Fatal</v>
          </cell>
        </row>
        <row r="2">
          <cell r="A2" t="str">
            <v>Major</v>
          </cell>
        </row>
        <row r="3">
          <cell r="A3" t="str">
            <v>Minor</v>
          </cell>
        </row>
        <row r="4">
          <cell r="A4" t="str">
            <v>None</v>
          </cell>
        </row>
        <row r="5">
          <cell r="A5" t="str">
            <v>No Data</v>
          </cell>
        </row>
      </sheetData>
      <sheetData sheetId="2">
        <row r="1">
          <cell r="A1" t="str">
            <v>Freediving</v>
          </cell>
        </row>
        <row r="2">
          <cell r="A2" t="str">
            <v>Hookah</v>
          </cell>
        </row>
        <row r="3">
          <cell r="A3" t="str">
            <v>Kayaking</v>
          </cell>
        </row>
        <row r="4">
          <cell r="A4" t="str">
            <v>Long board</v>
          </cell>
        </row>
        <row r="5">
          <cell r="A5" t="str">
            <v>Scooter</v>
          </cell>
        </row>
        <row r="6">
          <cell r="A6" t="str">
            <v>Scuba</v>
          </cell>
        </row>
        <row r="7">
          <cell r="A7" t="str">
            <v>Surfing</v>
          </cell>
        </row>
        <row r="8">
          <cell r="A8" t="str">
            <v>Swimming</v>
          </cell>
        </row>
        <row r="9">
          <cell r="A9" t="str">
            <v>Wading</v>
          </cell>
        </row>
        <row r="10">
          <cell r="A10" t="str">
            <v>Windsurfing</v>
          </cell>
        </row>
      </sheetData>
      <sheetData sheetId="3">
        <row r="1">
          <cell r="A1" t="str">
            <v>Alameda</v>
          </cell>
        </row>
        <row r="2">
          <cell r="A2" t="str">
            <v>Contra Costa</v>
          </cell>
        </row>
        <row r="3">
          <cell r="A3" t="str">
            <v>Del Norte</v>
          </cell>
        </row>
        <row r="4">
          <cell r="A4" t="str">
            <v>Humboldt</v>
          </cell>
        </row>
        <row r="5">
          <cell r="A5" t="str">
            <v>Los Angeles</v>
          </cell>
        </row>
        <row r="6">
          <cell r="A6" t="str">
            <v>Marin</v>
          </cell>
        </row>
        <row r="7">
          <cell r="A7" t="str">
            <v>Mendocino</v>
          </cell>
        </row>
        <row r="8">
          <cell r="A8" t="str">
            <v>Monterey</v>
          </cell>
        </row>
        <row r="9">
          <cell r="A9" t="str">
            <v>Napa</v>
          </cell>
        </row>
        <row r="10">
          <cell r="A10" t="str">
            <v>Orange</v>
          </cell>
        </row>
        <row r="11">
          <cell r="A11" t="str">
            <v>San Diego</v>
          </cell>
        </row>
        <row r="12">
          <cell r="A12" t="str">
            <v>San Francisco</v>
          </cell>
        </row>
        <row r="13">
          <cell r="A13" t="str">
            <v>San Luis Obispo</v>
          </cell>
        </row>
        <row r="14">
          <cell r="A14" t="str">
            <v>San Mateo</v>
          </cell>
        </row>
        <row r="15">
          <cell r="A15" t="str">
            <v>Santa Barbara</v>
          </cell>
        </row>
        <row r="16">
          <cell r="A16" t="str">
            <v>Santa Clara</v>
          </cell>
        </row>
        <row r="17">
          <cell r="A17" t="str">
            <v>Santa Cruz</v>
          </cell>
        </row>
        <row r="18">
          <cell r="A18" t="str">
            <v>Sonoma</v>
          </cell>
        </row>
        <row r="19">
          <cell r="A19" t="str">
            <v>Ventura</v>
          </cell>
        </row>
      </sheetData>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goretz, John@Wildlife" refreshedDate="44477.531195138887" createdVersion="7" refreshedVersion="7" minRefreshableVersion="3" recordCount="198" xr:uid="{9BD029D9-D117-40C1-9809-8BD949D09185}">
  <cacheSource type="worksheet">
    <worksheetSource ref="A1:A1048576" sheet="Month"/>
  </cacheSource>
  <cacheFields count="1">
    <cacheField name="MonthDay" numFmtId="0">
      <sharedItems containsString="0" containsBlank="1" containsNumber="1" containsInteger="1" minValue="108" maxValue="1230" count="141">
        <n v="108"/>
        <n v="111"/>
        <n v="112"/>
        <n v="114"/>
        <n v="118"/>
        <n v="122"/>
        <n v="126"/>
        <n v="206"/>
        <n v="207"/>
        <n v="218"/>
        <n v="307"/>
        <n v="311"/>
        <n v="312"/>
        <n v="318"/>
        <n v="327"/>
        <n v="406"/>
        <n v="424"/>
        <n v="425"/>
        <n v="428"/>
        <n v="429"/>
        <n v="501"/>
        <n v="506"/>
        <n v="507"/>
        <n v="509"/>
        <n v="512"/>
        <n v="519"/>
        <n v="521"/>
        <n v="525"/>
        <n v="526"/>
        <n v="527"/>
        <n v="528"/>
        <n v="529"/>
        <n v="531"/>
        <n v="606"/>
        <n v="614"/>
        <n v="617"/>
        <n v="619"/>
        <n v="621"/>
        <n v="624"/>
        <n v="625"/>
        <n v="626"/>
        <n v="630"/>
        <n v="701"/>
        <n v="702"/>
        <n v="705"/>
        <n v="707"/>
        <n v="710"/>
        <n v="711"/>
        <n v="717"/>
        <n v="719"/>
        <n v="720"/>
        <n v="721"/>
        <n v="722"/>
        <n v="723"/>
        <n v="724"/>
        <n v="726"/>
        <n v="727"/>
        <n v="728"/>
        <n v="731"/>
        <n v="802"/>
        <n v="805"/>
        <n v="809"/>
        <n v="811"/>
        <n v="812"/>
        <n v="813"/>
        <n v="814"/>
        <n v="815"/>
        <n v="817"/>
        <n v="818"/>
        <n v="819"/>
        <n v="820"/>
        <n v="824"/>
        <n v="825"/>
        <n v="826"/>
        <n v="828"/>
        <n v="829"/>
        <n v="830"/>
        <n v="831"/>
        <n v="901"/>
        <n v="902"/>
        <n v="903"/>
        <n v="905"/>
        <n v="906"/>
        <n v="908"/>
        <n v="909"/>
        <n v="911"/>
        <n v="913"/>
        <n v="914"/>
        <n v="915"/>
        <n v="917"/>
        <n v="919"/>
        <n v="920"/>
        <n v="921"/>
        <n v="924"/>
        <n v="925"/>
        <n v="927"/>
        <n v="928"/>
        <n v="929"/>
        <n v="930"/>
        <n v="1001"/>
        <n v="1002"/>
        <n v="1003"/>
        <n v="1004"/>
        <n v="1005"/>
        <n v="1006"/>
        <n v="1007"/>
        <n v="1008"/>
        <n v="1009"/>
        <n v="1010"/>
        <n v="1012"/>
        <n v="1017"/>
        <n v="1018"/>
        <n v="1019"/>
        <n v="1021"/>
        <n v="1022"/>
        <n v="1023"/>
        <n v="1024"/>
        <n v="1026"/>
        <n v="1029"/>
        <n v="1030"/>
        <n v="1102"/>
        <n v="1103"/>
        <n v="1104"/>
        <n v="1105"/>
        <n v="1110"/>
        <n v="1111"/>
        <n v="1114"/>
        <n v="1115"/>
        <n v="1122"/>
        <n v="1128"/>
        <n v="1129"/>
        <n v="1204"/>
        <n v="1206"/>
        <n v="1207"/>
        <n v="1209"/>
        <n v="1210"/>
        <n v="1219"/>
        <n v="1221"/>
        <n v="1228"/>
        <n v="123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r>
  <r>
    <x v="1"/>
  </r>
  <r>
    <x v="2"/>
  </r>
  <r>
    <x v="3"/>
  </r>
  <r>
    <x v="4"/>
  </r>
  <r>
    <x v="5"/>
  </r>
  <r>
    <x v="6"/>
  </r>
  <r>
    <x v="7"/>
  </r>
  <r>
    <x v="8"/>
  </r>
  <r>
    <x v="9"/>
  </r>
  <r>
    <x v="10"/>
  </r>
  <r>
    <x v="11"/>
  </r>
  <r>
    <x v="12"/>
  </r>
  <r>
    <x v="13"/>
  </r>
  <r>
    <x v="14"/>
  </r>
  <r>
    <x v="15"/>
  </r>
  <r>
    <x v="16"/>
  </r>
  <r>
    <x v="16"/>
  </r>
  <r>
    <x v="17"/>
  </r>
  <r>
    <x v="18"/>
  </r>
  <r>
    <x v="19"/>
  </r>
  <r>
    <x v="20"/>
  </r>
  <r>
    <x v="21"/>
  </r>
  <r>
    <x v="22"/>
  </r>
  <r>
    <x v="23"/>
  </r>
  <r>
    <x v="24"/>
  </r>
  <r>
    <x v="25"/>
  </r>
  <r>
    <x v="26"/>
  </r>
  <r>
    <x v="27"/>
  </r>
  <r>
    <x v="28"/>
  </r>
  <r>
    <x v="28"/>
  </r>
  <r>
    <x v="29"/>
  </r>
  <r>
    <x v="30"/>
  </r>
  <r>
    <x v="30"/>
  </r>
  <r>
    <x v="31"/>
  </r>
  <r>
    <x v="32"/>
  </r>
  <r>
    <x v="33"/>
  </r>
  <r>
    <x v="34"/>
  </r>
  <r>
    <x v="35"/>
  </r>
  <r>
    <x v="36"/>
  </r>
  <r>
    <x v="37"/>
  </r>
  <r>
    <x v="38"/>
  </r>
  <r>
    <x v="38"/>
  </r>
  <r>
    <x v="39"/>
  </r>
  <r>
    <x v="39"/>
  </r>
  <r>
    <x v="40"/>
  </r>
  <r>
    <x v="40"/>
  </r>
  <r>
    <x v="41"/>
  </r>
  <r>
    <x v="41"/>
  </r>
  <r>
    <x v="41"/>
  </r>
  <r>
    <x v="42"/>
  </r>
  <r>
    <x v="43"/>
  </r>
  <r>
    <x v="43"/>
  </r>
  <r>
    <x v="44"/>
  </r>
  <r>
    <x v="44"/>
  </r>
  <r>
    <x v="45"/>
  </r>
  <r>
    <x v="46"/>
  </r>
  <r>
    <x v="47"/>
  </r>
  <r>
    <x v="48"/>
  </r>
  <r>
    <x v="49"/>
  </r>
  <r>
    <x v="49"/>
  </r>
  <r>
    <x v="50"/>
  </r>
  <r>
    <x v="50"/>
  </r>
  <r>
    <x v="51"/>
  </r>
  <r>
    <x v="52"/>
  </r>
  <r>
    <x v="52"/>
  </r>
  <r>
    <x v="53"/>
  </r>
  <r>
    <x v="54"/>
  </r>
  <r>
    <x v="55"/>
  </r>
  <r>
    <x v="56"/>
  </r>
  <r>
    <x v="57"/>
  </r>
  <r>
    <x v="57"/>
  </r>
  <r>
    <x v="58"/>
  </r>
  <r>
    <x v="59"/>
  </r>
  <r>
    <x v="60"/>
  </r>
  <r>
    <x v="60"/>
  </r>
  <r>
    <x v="61"/>
  </r>
  <r>
    <x v="62"/>
  </r>
  <r>
    <x v="63"/>
  </r>
  <r>
    <x v="63"/>
  </r>
  <r>
    <x v="64"/>
  </r>
  <r>
    <x v="65"/>
  </r>
  <r>
    <x v="65"/>
  </r>
  <r>
    <x v="65"/>
  </r>
  <r>
    <x v="66"/>
  </r>
  <r>
    <x v="66"/>
  </r>
  <r>
    <x v="67"/>
  </r>
  <r>
    <x v="68"/>
  </r>
  <r>
    <x v="68"/>
  </r>
  <r>
    <x v="69"/>
  </r>
  <r>
    <x v="70"/>
  </r>
  <r>
    <x v="70"/>
  </r>
  <r>
    <x v="71"/>
  </r>
  <r>
    <x v="71"/>
  </r>
  <r>
    <x v="71"/>
  </r>
  <r>
    <x v="72"/>
  </r>
  <r>
    <x v="73"/>
  </r>
  <r>
    <x v="74"/>
  </r>
  <r>
    <x v="74"/>
  </r>
  <r>
    <x v="74"/>
  </r>
  <r>
    <x v="75"/>
  </r>
  <r>
    <x v="76"/>
  </r>
  <r>
    <x v="77"/>
  </r>
  <r>
    <x v="78"/>
  </r>
  <r>
    <x v="78"/>
  </r>
  <r>
    <x v="79"/>
  </r>
  <r>
    <x v="79"/>
  </r>
  <r>
    <x v="80"/>
  </r>
  <r>
    <x v="81"/>
  </r>
  <r>
    <x v="81"/>
  </r>
  <r>
    <x v="82"/>
  </r>
  <r>
    <x v="82"/>
  </r>
  <r>
    <x v="83"/>
  </r>
  <r>
    <x v="83"/>
  </r>
  <r>
    <x v="84"/>
  </r>
  <r>
    <x v="85"/>
  </r>
  <r>
    <x v="86"/>
  </r>
  <r>
    <x v="87"/>
  </r>
  <r>
    <x v="88"/>
  </r>
  <r>
    <x v="89"/>
  </r>
  <r>
    <x v="89"/>
  </r>
  <r>
    <x v="90"/>
  </r>
  <r>
    <x v="91"/>
  </r>
  <r>
    <x v="92"/>
  </r>
  <r>
    <x v="93"/>
  </r>
  <r>
    <x v="94"/>
  </r>
  <r>
    <x v="95"/>
  </r>
  <r>
    <x v="96"/>
  </r>
  <r>
    <x v="96"/>
  </r>
  <r>
    <x v="96"/>
  </r>
  <r>
    <x v="97"/>
  </r>
  <r>
    <x v="97"/>
  </r>
  <r>
    <x v="98"/>
  </r>
  <r>
    <x v="98"/>
  </r>
  <r>
    <x v="99"/>
  </r>
  <r>
    <x v="100"/>
  </r>
  <r>
    <x v="100"/>
  </r>
  <r>
    <x v="100"/>
  </r>
  <r>
    <x v="101"/>
  </r>
  <r>
    <x v="101"/>
  </r>
  <r>
    <x v="101"/>
  </r>
  <r>
    <x v="101"/>
  </r>
  <r>
    <x v="102"/>
  </r>
  <r>
    <x v="103"/>
  </r>
  <r>
    <x v="103"/>
  </r>
  <r>
    <x v="103"/>
  </r>
  <r>
    <x v="104"/>
  </r>
  <r>
    <x v="105"/>
  </r>
  <r>
    <x v="105"/>
  </r>
  <r>
    <x v="106"/>
  </r>
  <r>
    <x v="107"/>
  </r>
  <r>
    <x v="108"/>
  </r>
  <r>
    <x v="108"/>
  </r>
  <r>
    <x v="109"/>
  </r>
  <r>
    <x v="110"/>
  </r>
  <r>
    <x v="111"/>
  </r>
  <r>
    <x v="111"/>
  </r>
  <r>
    <x v="112"/>
  </r>
  <r>
    <x v="112"/>
  </r>
  <r>
    <x v="113"/>
  </r>
  <r>
    <x v="114"/>
  </r>
  <r>
    <x v="114"/>
  </r>
  <r>
    <x v="114"/>
  </r>
  <r>
    <x v="115"/>
  </r>
  <r>
    <x v="116"/>
  </r>
  <r>
    <x v="116"/>
  </r>
  <r>
    <x v="117"/>
  </r>
  <r>
    <x v="118"/>
  </r>
  <r>
    <x v="118"/>
  </r>
  <r>
    <x v="119"/>
  </r>
  <r>
    <x v="119"/>
  </r>
  <r>
    <x v="120"/>
  </r>
  <r>
    <x v="120"/>
  </r>
  <r>
    <x v="121"/>
  </r>
  <r>
    <x v="122"/>
  </r>
  <r>
    <x v="123"/>
  </r>
  <r>
    <x v="124"/>
  </r>
  <r>
    <x v="125"/>
  </r>
  <r>
    <x v="125"/>
  </r>
  <r>
    <x v="125"/>
  </r>
  <r>
    <x v="126"/>
  </r>
  <r>
    <x v="127"/>
  </r>
  <r>
    <x v="128"/>
  </r>
  <r>
    <x v="129"/>
  </r>
  <r>
    <x v="130"/>
  </r>
  <r>
    <x v="130"/>
  </r>
  <r>
    <x v="131"/>
  </r>
  <r>
    <x v="132"/>
  </r>
  <r>
    <x v="132"/>
  </r>
  <r>
    <x v="133"/>
  </r>
  <r>
    <x v="134"/>
  </r>
  <r>
    <x v="135"/>
  </r>
  <r>
    <x v="136"/>
  </r>
  <r>
    <x v="137"/>
  </r>
  <r>
    <x v="138"/>
  </r>
  <r>
    <x v="139"/>
  </r>
  <r>
    <x v="139"/>
  </r>
  <r>
    <x v="1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78FD5F-DF79-45B9-A720-41E012C820F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L18:M160" firstHeaderRow="1" firstDataRow="1" firstDataCol="1"/>
  <pivotFields count="1">
    <pivotField axis="axisRow" dataField="1" showAll="0" countASubtotal="1">
      <items count="1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countA"/>
      </items>
    </pivotField>
  </pivotFields>
  <rowFields count="1">
    <field x="0"/>
  </rowFields>
  <rowItems count="1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t="grand">
      <x/>
    </i>
  </rowItems>
  <colItems count="1">
    <i/>
  </colItems>
  <dataFields count="1">
    <dataField name="Count of MonthDay" fld="0" subtotal="count" baseField="0" baseItem="0"/>
  </dataFields>
  <chartFormats count="14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0" format="50" series="1">
      <pivotArea type="data" outline="0" fieldPosition="0">
        <references count="2">
          <reference field="4294967294" count="1" selected="0">
            <x v="0"/>
          </reference>
          <reference field="0" count="1" selected="0">
            <x v="50"/>
          </reference>
        </references>
      </pivotArea>
    </chartFormat>
    <chartFormat chart="0" format="51" series="1">
      <pivotArea type="data" outline="0" fieldPosition="0">
        <references count="2">
          <reference field="4294967294" count="1" selected="0">
            <x v="0"/>
          </reference>
          <reference field="0" count="1" selected="0">
            <x v="51"/>
          </reference>
        </references>
      </pivotArea>
    </chartFormat>
    <chartFormat chart="0" format="52" series="1">
      <pivotArea type="data" outline="0" fieldPosition="0">
        <references count="2">
          <reference field="4294967294" count="1" selected="0">
            <x v="0"/>
          </reference>
          <reference field="0" count="1" selected="0">
            <x v="52"/>
          </reference>
        </references>
      </pivotArea>
    </chartFormat>
    <chartFormat chart="0" format="53" series="1">
      <pivotArea type="data" outline="0" fieldPosition="0">
        <references count="2">
          <reference field="4294967294" count="1" selected="0">
            <x v="0"/>
          </reference>
          <reference field="0" count="1" selected="0">
            <x v="53"/>
          </reference>
        </references>
      </pivotArea>
    </chartFormat>
    <chartFormat chart="0" format="54" series="1">
      <pivotArea type="data" outline="0" fieldPosition="0">
        <references count="2">
          <reference field="4294967294" count="1" selected="0">
            <x v="0"/>
          </reference>
          <reference field="0" count="1" selected="0">
            <x v="54"/>
          </reference>
        </references>
      </pivotArea>
    </chartFormat>
    <chartFormat chart="0" format="55" series="1">
      <pivotArea type="data" outline="0" fieldPosition="0">
        <references count="2">
          <reference field="4294967294" count="1" selected="0">
            <x v="0"/>
          </reference>
          <reference field="0" count="1" selected="0">
            <x v="55"/>
          </reference>
        </references>
      </pivotArea>
    </chartFormat>
    <chartFormat chart="0" format="56" series="1">
      <pivotArea type="data" outline="0" fieldPosition="0">
        <references count="2">
          <reference field="4294967294" count="1" selected="0">
            <x v="0"/>
          </reference>
          <reference field="0" count="1" selected="0">
            <x v="56"/>
          </reference>
        </references>
      </pivotArea>
    </chartFormat>
    <chartFormat chart="0" format="57" series="1">
      <pivotArea type="data" outline="0" fieldPosition="0">
        <references count="2">
          <reference field="4294967294" count="1" selected="0">
            <x v="0"/>
          </reference>
          <reference field="0" count="1" selected="0">
            <x v="57"/>
          </reference>
        </references>
      </pivotArea>
    </chartFormat>
    <chartFormat chart="0" format="58" series="1">
      <pivotArea type="data" outline="0" fieldPosition="0">
        <references count="2">
          <reference field="4294967294" count="1" selected="0">
            <x v="0"/>
          </reference>
          <reference field="0" count="1" selected="0">
            <x v="58"/>
          </reference>
        </references>
      </pivotArea>
    </chartFormat>
    <chartFormat chart="0" format="59" series="1">
      <pivotArea type="data" outline="0" fieldPosition="0">
        <references count="2">
          <reference field="4294967294" count="1" selected="0">
            <x v="0"/>
          </reference>
          <reference field="0" count="1" selected="0">
            <x v="59"/>
          </reference>
        </references>
      </pivotArea>
    </chartFormat>
    <chartFormat chart="0" format="60" series="1">
      <pivotArea type="data" outline="0" fieldPosition="0">
        <references count="2">
          <reference field="4294967294" count="1" selected="0">
            <x v="0"/>
          </reference>
          <reference field="0" count="1" selected="0">
            <x v="60"/>
          </reference>
        </references>
      </pivotArea>
    </chartFormat>
    <chartFormat chart="0" format="61" series="1">
      <pivotArea type="data" outline="0" fieldPosition="0">
        <references count="2">
          <reference field="4294967294" count="1" selected="0">
            <x v="0"/>
          </reference>
          <reference field="0" count="1" selected="0">
            <x v="61"/>
          </reference>
        </references>
      </pivotArea>
    </chartFormat>
    <chartFormat chart="0" format="62" series="1">
      <pivotArea type="data" outline="0" fieldPosition="0">
        <references count="2">
          <reference field="4294967294" count="1" selected="0">
            <x v="0"/>
          </reference>
          <reference field="0" count="1" selected="0">
            <x v="62"/>
          </reference>
        </references>
      </pivotArea>
    </chartFormat>
    <chartFormat chart="0" format="63" series="1">
      <pivotArea type="data" outline="0" fieldPosition="0">
        <references count="2">
          <reference field="4294967294" count="1" selected="0">
            <x v="0"/>
          </reference>
          <reference field="0" count="1" selected="0">
            <x v="63"/>
          </reference>
        </references>
      </pivotArea>
    </chartFormat>
    <chartFormat chart="0" format="64" series="1">
      <pivotArea type="data" outline="0" fieldPosition="0">
        <references count="2">
          <reference field="4294967294" count="1" selected="0">
            <x v="0"/>
          </reference>
          <reference field="0" count="1" selected="0">
            <x v="64"/>
          </reference>
        </references>
      </pivotArea>
    </chartFormat>
    <chartFormat chart="0" format="65" series="1">
      <pivotArea type="data" outline="0" fieldPosition="0">
        <references count="2">
          <reference field="4294967294" count="1" selected="0">
            <x v="0"/>
          </reference>
          <reference field="0" count="1" selected="0">
            <x v="65"/>
          </reference>
        </references>
      </pivotArea>
    </chartFormat>
    <chartFormat chart="0" format="66" series="1">
      <pivotArea type="data" outline="0" fieldPosition="0">
        <references count="2">
          <reference field="4294967294" count="1" selected="0">
            <x v="0"/>
          </reference>
          <reference field="0" count="1" selected="0">
            <x v="66"/>
          </reference>
        </references>
      </pivotArea>
    </chartFormat>
    <chartFormat chart="0" format="67" series="1">
      <pivotArea type="data" outline="0" fieldPosition="0">
        <references count="2">
          <reference field="4294967294" count="1" selected="0">
            <x v="0"/>
          </reference>
          <reference field="0" count="1" selected="0">
            <x v="67"/>
          </reference>
        </references>
      </pivotArea>
    </chartFormat>
    <chartFormat chart="0" format="68" series="1">
      <pivotArea type="data" outline="0" fieldPosition="0">
        <references count="2">
          <reference field="4294967294" count="1" selected="0">
            <x v="0"/>
          </reference>
          <reference field="0" count="1" selected="0">
            <x v="68"/>
          </reference>
        </references>
      </pivotArea>
    </chartFormat>
    <chartFormat chart="0" format="69" series="1">
      <pivotArea type="data" outline="0" fieldPosition="0">
        <references count="2">
          <reference field="4294967294" count="1" selected="0">
            <x v="0"/>
          </reference>
          <reference field="0" count="1" selected="0">
            <x v="69"/>
          </reference>
        </references>
      </pivotArea>
    </chartFormat>
    <chartFormat chart="0" format="70" series="1">
      <pivotArea type="data" outline="0" fieldPosition="0">
        <references count="2">
          <reference field="4294967294" count="1" selected="0">
            <x v="0"/>
          </reference>
          <reference field="0" count="1" selected="0">
            <x v="70"/>
          </reference>
        </references>
      </pivotArea>
    </chartFormat>
    <chartFormat chart="0" format="71" series="1">
      <pivotArea type="data" outline="0" fieldPosition="0">
        <references count="2">
          <reference field="4294967294" count="1" selected="0">
            <x v="0"/>
          </reference>
          <reference field="0" count="1" selected="0">
            <x v="71"/>
          </reference>
        </references>
      </pivotArea>
    </chartFormat>
    <chartFormat chart="0" format="72" series="1">
      <pivotArea type="data" outline="0" fieldPosition="0">
        <references count="2">
          <reference field="4294967294" count="1" selected="0">
            <x v="0"/>
          </reference>
          <reference field="0" count="1" selected="0">
            <x v="72"/>
          </reference>
        </references>
      </pivotArea>
    </chartFormat>
    <chartFormat chart="0" format="73" series="1">
      <pivotArea type="data" outline="0" fieldPosition="0">
        <references count="2">
          <reference field="4294967294" count="1" selected="0">
            <x v="0"/>
          </reference>
          <reference field="0" count="1" selected="0">
            <x v="73"/>
          </reference>
        </references>
      </pivotArea>
    </chartFormat>
    <chartFormat chart="0" format="74" series="1">
      <pivotArea type="data" outline="0" fieldPosition="0">
        <references count="2">
          <reference field="4294967294" count="1" selected="0">
            <x v="0"/>
          </reference>
          <reference field="0" count="1" selected="0">
            <x v="74"/>
          </reference>
        </references>
      </pivotArea>
    </chartFormat>
    <chartFormat chart="0" format="75" series="1">
      <pivotArea type="data" outline="0" fieldPosition="0">
        <references count="2">
          <reference field="4294967294" count="1" selected="0">
            <x v="0"/>
          </reference>
          <reference field="0" count="1" selected="0">
            <x v="75"/>
          </reference>
        </references>
      </pivotArea>
    </chartFormat>
    <chartFormat chart="0" format="76" series="1">
      <pivotArea type="data" outline="0" fieldPosition="0">
        <references count="2">
          <reference field="4294967294" count="1" selected="0">
            <x v="0"/>
          </reference>
          <reference field="0" count="1" selected="0">
            <x v="76"/>
          </reference>
        </references>
      </pivotArea>
    </chartFormat>
    <chartFormat chart="0" format="77" series="1">
      <pivotArea type="data" outline="0" fieldPosition="0">
        <references count="2">
          <reference field="4294967294" count="1" selected="0">
            <x v="0"/>
          </reference>
          <reference field="0" count="1" selected="0">
            <x v="77"/>
          </reference>
        </references>
      </pivotArea>
    </chartFormat>
    <chartFormat chart="0" format="78" series="1">
      <pivotArea type="data" outline="0" fieldPosition="0">
        <references count="2">
          <reference field="4294967294" count="1" selected="0">
            <x v="0"/>
          </reference>
          <reference field="0" count="1" selected="0">
            <x v="78"/>
          </reference>
        </references>
      </pivotArea>
    </chartFormat>
    <chartFormat chart="0" format="79" series="1">
      <pivotArea type="data" outline="0" fieldPosition="0">
        <references count="2">
          <reference field="4294967294" count="1" selected="0">
            <x v="0"/>
          </reference>
          <reference field="0" count="1" selected="0">
            <x v="79"/>
          </reference>
        </references>
      </pivotArea>
    </chartFormat>
    <chartFormat chart="0" format="80" series="1">
      <pivotArea type="data" outline="0" fieldPosition="0">
        <references count="2">
          <reference field="4294967294" count="1" selected="0">
            <x v="0"/>
          </reference>
          <reference field="0" count="1" selected="0">
            <x v="80"/>
          </reference>
        </references>
      </pivotArea>
    </chartFormat>
    <chartFormat chart="0" format="81" series="1">
      <pivotArea type="data" outline="0" fieldPosition="0">
        <references count="2">
          <reference field="4294967294" count="1" selected="0">
            <x v="0"/>
          </reference>
          <reference field="0" count="1" selected="0">
            <x v="81"/>
          </reference>
        </references>
      </pivotArea>
    </chartFormat>
    <chartFormat chart="0" format="82" series="1">
      <pivotArea type="data" outline="0" fieldPosition="0">
        <references count="2">
          <reference field="4294967294" count="1" selected="0">
            <x v="0"/>
          </reference>
          <reference field="0" count="1" selected="0">
            <x v="82"/>
          </reference>
        </references>
      </pivotArea>
    </chartFormat>
    <chartFormat chart="0" format="83" series="1">
      <pivotArea type="data" outline="0" fieldPosition="0">
        <references count="2">
          <reference field="4294967294" count="1" selected="0">
            <x v="0"/>
          </reference>
          <reference field="0" count="1" selected="0">
            <x v="83"/>
          </reference>
        </references>
      </pivotArea>
    </chartFormat>
    <chartFormat chart="0" format="84" series="1">
      <pivotArea type="data" outline="0" fieldPosition="0">
        <references count="2">
          <reference field="4294967294" count="1" selected="0">
            <x v="0"/>
          </reference>
          <reference field="0" count="1" selected="0">
            <x v="84"/>
          </reference>
        </references>
      </pivotArea>
    </chartFormat>
    <chartFormat chart="0" format="85" series="1">
      <pivotArea type="data" outline="0" fieldPosition="0">
        <references count="2">
          <reference field="4294967294" count="1" selected="0">
            <x v="0"/>
          </reference>
          <reference field="0" count="1" selected="0">
            <x v="85"/>
          </reference>
        </references>
      </pivotArea>
    </chartFormat>
    <chartFormat chart="0" format="86" series="1">
      <pivotArea type="data" outline="0" fieldPosition="0">
        <references count="2">
          <reference field="4294967294" count="1" selected="0">
            <x v="0"/>
          </reference>
          <reference field="0" count="1" selected="0">
            <x v="86"/>
          </reference>
        </references>
      </pivotArea>
    </chartFormat>
    <chartFormat chart="0" format="87" series="1">
      <pivotArea type="data" outline="0" fieldPosition="0">
        <references count="2">
          <reference field="4294967294" count="1" selected="0">
            <x v="0"/>
          </reference>
          <reference field="0" count="1" selected="0">
            <x v="87"/>
          </reference>
        </references>
      </pivotArea>
    </chartFormat>
    <chartFormat chart="0" format="88" series="1">
      <pivotArea type="data" outline="0" fieldPosition="0">
        <references count="2">
          <reference field="4294967294" count="1" selected="0">
            <x v="0"/>
          </reference>
          <reference field="0" count="1" selected="0">
            <x v="88"/>
          </reference>
        </references>
      </pivotArea>
    </chartFormat>
    <chartFormat chart="0" format="89" series="1">
      <pivotArea type="data" outline="0" fieldPosition="0">
        <references count="2">
          <reference field="4294967294" count="1" selected="0">
            <x v="0"/>
          </reference>
          <reference field="0" count="1" selected="0">
            <x v="89"/>
          </reference>
        </references>
      </pivotArea>
    </chartFormat>
    <chartFormat chart="0" format="90" series="1">
      <pivotArea type="data" outline="0" fieldPosition="0">
        <references count="2">
          <reference field="4294967294" count="1" selected="0">
            <x v="0"/>
          </reference>
          <reference field="0" count="1" selected="0">
            <x v="90"/>
          </reference>
        </references>
      </pivotArea>
    </chartFormat>
    <chartFormat chart="0" format="91" series="1">
      <pivotArea type="data" outline="0" fieldPosition="0">
        <references count="2">
          <reference field="4294967294" count="1" selected="0">
            <x v="0"/>
          </reference>
          <reference field="0" count="1" selected="0">
            <x v="91"/>
          </reference>
        </references>
      </pivotArea>
    </chartFormat>
    <chartFormat chart="0" format="92" series="1">
      <pivotArea type="data" outline="0" fieldPosition="0">
        <references count="2">
          <reference field="4294967294" count="1" selected="0">
            <x v="0"/>
          </reference>
          <reference field="0" count="1" selected="0">
            <x v="92"/>
          </reference>
        </references>
      </pivotArea>
    </chartFormat>
    <chartFormat chart="0" format="93" series="1">
      <pivotArea type="data" outline="0" fieldPosition="0">
        <references count="2">
          <reference field="4294967294" count="1" selected="0">
            <x v="0"/>
          </reference>
          <reference field="0" count="1" selected="0">
            <x v="93"/>
          </reference>
        </references>
      </pivotArea>
    </chartFormat>
    <chartFormat chart="0" format="94" series="1">
      <pivotArea type="data" outline="0" fieldPosition="0">
        <references count="2">
          <reference field="4294967294" count="1" selected="0">
            <x v="0"/>
          </reference>
          <reference field="0" count="1" selected="0">
            <x v="94"/>
          </reference>
        </references>
      </pivotArea>
    </chartFormat>
    <chartFormat chart="0" format="95" series="1">
      <pivotArea type="data" outline="0" fieldPosition="0">
        <references count="2">
          <reference field="4294967294" count="1" selected="0">
            <x v="0"/>
          </reference>
          <reference field="0" count="1" selected="0">
            <x v="95"/>
          </reference>
        </references>
      </pivotArea>
    </chartFormat>
    <chartFormat chart="0" format="96" series="1">
      <pivotArea type="data" outline="0" fieldPosition="0">
        <references count="2">
          <reference field="4294967294" count="1" selected="0">
            <x v="0"/>
          </reference>
          <reference field="0" count="1" selected="0">
            <x v="96"/>
          </reference>
        </references>
      </pivotArea>
    </chartFormat>
    <chartFormat chart="0" format="97" series="1">
      <pivotArea type="data" outline="0" fieldPosition="0">
        <references count="2">
          <reference field="4294967294" count="1" selected="0">
            <x v="0"/>
          </reference>
          <reference field="0" count="1" selected="0">
            <x v="97"/>
          </reference>
        </references>
      </pivotArea>
    </chartFormat>
    <chartFormat chart="0" format="98" series="1">
      <pivotArea type="data" outline="0" fieldPosition="0">
        <references count="2">
          <reference field="4294967294" count="1" selected="0">
            <x v="0"/>
          </reference>
          <reference field="0" count="1" selected="0">
            <x v="98"/>
          </reference>
        </references>
      </pivotArea>
    </chartFormat>
    <chartFormat chart="0" format="99" series="1">
      <pivotArea type="data" outline="0" fieldPosition="0">
        <references count="2">
          <reference field="4294967294" count="1" selected="0">
            <x v="0"/>
          </reference>
          <reference field="0" count="1" selected="0">
            <x v="99"/>
          </reference>
        </references>
      </pivotArea>
    </chartFormat>
    <chartFormat chart="0" format="100" series="1">
      <pivotArea type="data" outline="0" fieldPosition="0">
        <references count="2">
          <reference field="4294967294" count="1" selected="0">
            <x v="0"/>
          </reference>
          <reference field="0" count="1" selected="0">
            <x v="100"/>
          </reference>
        </references>
      </pivotArea>
    </chartFormat>
    <chartFormat chart="0" format="101" series="1">
      <pivotArea type="data" outline="0" fieldPosition="0">
        <references count="2">
          <reference field="4294967294" count="1" selected="0">
            <x v="0"/>
          </reference>
          <reference field="0" count="1" selected="0">
            <x v="101"/>
          </reference>
        </references>
      </pivotArea>
    </chartFormat>
    <chartFormat chart="0" format="102" series="1">
      <pivotArea type="data" outline="0" fieldPosition="0">
        <references count="2">
          <reference field="4294967294" count="1" selected="0">
            <x v="0"/>
          </reference>
          <reference field="0" count="1" selected="0">
            <x v="102"/>
          </reference>
        </references>
      </pivotArea>
    </chartFormat>
    <chartFormat chart="0" format="103" series="1">
      <pivotArea type="data" outline="0" fieldPosition="0">
        <references count="2">
          <reference field="4294967294" count="1" selected="0">
            <x v="0"/>
          </reference>
          <reference field="0" count="1" selected="0">
            <x v="103"/>
          </reference>
        </references>
      </pivotArea>
    </chartFormat>
    <chartFormat chart="0" format="104" series="1">
      <pivotArea type="data" outline="0" fieldPosition="0">
        <references count="2">
          <reference field="4294967294" count="1" selected="0">
            <x v="0"/>
          </reference>
          <reference field="0" count="1" selected="0">
            <x v="104"/>
          </reference>
        </references>
      </pivotArea>
    </chartFormat>
    <chartFormat chart="0" format="105" series="1">
      <pivotArea type="data" outline="0" fieldPosition="0">
        <references count="2">
          <reference field="4294967294" count="1" selected="0">
            <x v="0"/>
          </reference>
          <reference field="0" count="1" selected="0">
            <x v="105"/>
          </reference>
        </references>
      </pivotArea>
    </chartFormat>
    <chartFormat chart="0" format="106" series="1">
      <pivotArea type="data" outline="0" fieldPosition="0">
        <references count="2">
          <reference field="4294967294" count="1" selected="0">
            <x v="0"/>
          </reference>
          <reference field="0" count="1" selected="0">
            <x v="106"/>
          </reference>
        </references>
      </pivotArea>
    </chartFormat>
    <chartFormat chart="0" format="107" series="1">
      <pivotArea type="data" outline="0" fieldPosition="0">
        <references count="2">
          <reference field="4294967294" count="1" selected="0">
            <x v="0"/>
          </reference>
          <reference field="0" count="1" selected="0">
            <x v="107"/>
          </reference>
        </references>
      </pivotArea>
    </chartFormat>
    <chartFormat chart="0" format="108" series="1">
      <pivotArea type="data" outline="0" fieldPosition="0">
        <references count="2">
          <reference field="4294967294" count="1" selected="0">
            <x v="0"/>
          </reference>
          <reference field="0" count="1" selected="0">
            <x v="108"/>
          </reference>
        </references>
      </pivotArea>
    </chartFormat>
    <chartFormat chart="0" format="109" series="1">
      <pivotArea type="data" outline="0" fieldPosition="0">
        <references count="2">
          <reference field="4294967294" count="1" selected="0">
            <x v="0"/>
          </reference>
          <reference field="0" count="1" selected="0">
            <x v="109"/>
          </reference>
        </references>
      </pivotArea>
    </chartFormat>
    <chartFormat chart="0" format="110" series="1">
      <pivotArea type="data" outline="0" fieldPosition="0">
        <references count="2">
          <reference field="4294967294" count="1" selected="0">
            <x v="0"/>
          </reference>
          <reference field="0" count="1" selected="0">
            <x v="110"/>
          </reference>
        </references>
      </pivotArea>
    </chartFormat>
    <chartFormat chart="0" format="111" series="1">
      <pivotArea type="data" outline="0" fieldPosition="0">
        <references count="2">
          <reference field="4294967294" count="1" selected="0">
            <x v="0"/>
          </reference>
          <reference field="0" count="1" selected="0">
            <x v="111"/>
          </reference>
        </references>
      </pivotArea>
    </chartFormat>
    <chartFormat chart="0" format="112" series="1">
      <pivotArea type="data" outline="0" fieldPosition="0">
        <references count="2">
          <reference field="4294967294" count="1" selected="0">
            <x v="0"/>
          </reference>
          <reference field="0" count="1" selected="0">
            <x v="112"/>
          </reference>
        </references>
      </pivotArea>
    </chartFormat>
    <chartFormat chart="0" format="113" series="1">
      <pivotArea type="data" outline="0" fieldPosition="0">
        <references count="2">
          <reference field="4294967294" count="1" selected="0">
            <x v="0"/>
          </reference>
          <reference field="0" count="1" selected="0">
            <x v="113"/>
          </reference>
        </references>
      </pivotArea>
    </chartFormat>
    <chartFormat chart="0" format="114" series="1">
      <pivotArea type="data" outline="0" fieldPosition="0">
        <references count="2">
          <reference field="4294967294" count="1" selected="0">
            <x v="0"/>
          </reference>
          <reference field="0" count="1" selected="0">
            <x v="114"/>
          </reference>
        </references>
      </pivotArea>
    </chartFormat>
    <chartFormat chart="0" format="115" series="1">
      <pivotArea type="data" outline="0" fieldPosition="0">
        <references count="2">
          <reference field="4294967294" count="1" selected="0">
            <x v="0"/>
          </reference>
          <reference field="0" count="1" selected="0">
            <x v="115"/>
          </reference>
        </references>
      </pivotArea>
    </chartFormat>
    <chartFormat chart="0" format="116" series="1">
      <pivotArea type="data" outline="0" fieldPosition="0">
        <references count="2">
          <reference field="4294967294" count="1" selected="0">
            <x v="0"/>
          </reference>
          <reference field="0" count="1" selected="0">
            <x v="116"/>
          </reference>
        </references>
      </pivotArea>
    </chartFormat>
    <chartFormat chart="0" format="117" series="1">
      <pivotArea type="data" outline="0" fieldPosition="0">
        <references count="2">
          <reference field="4294967294" count="1" selected="0">
            <x v="0"/>
          </reference>
          <reference field="0" count="1" selected="0">
            <x v="117"/>
          </reference>
        </references>
      </pivotArea>
    </chartFormat>
    <chartFormat chart="0" format="118" series="1">
      <pivotArea type="data" outline="0" fieldPosition="0">
        <references count="2">
          <reference field="4294967294" count="1" selected="0">
            <x v="0"/>
          </reference>
          <reference field="0" count="1" selected="0">
            <x v="118"/>
          </reference>
        </references>
      </pivotArea>
    </chartFormat>
    <chartFormat chart="0" format="119" series="1">
      <pivotArea type="data" outline="0" fieldPosition="0">
        <references count="2">
          <reference field="4294967294" count="1" selected="0">
            <x v="0"/>
          </reference>
          <reference field="0" count="1" selected="0">
            <x v="119"/>
          </reference>
        </references>
      </pivotArea>
    </chartFormat>
    <chartFormat chart="0" format="120" series="1">
      <pivotArea type="data" outline="0" fieldPosition="0">
        <references count="2">
          <reference field="4294967294" count="1" selected="0">
            <x v="0"/>
          </reference>
          <reference field="0" count="1" selected="0">
            <x v="120"/>
          </reference>
        </references>
      </pivotArea>
    </chartFormat>
    <chartFormat chart="0" format="121" series="1">
      <pivotArea type="data" outline="0" fieldPosition="0">
        <references count="2">
          <reference field="4294967294" count="1" selected="0">
            <x v="0"/>
          </reference>
          <reference field="0" count="1" selected="0">
            <x v="121"/>
          </reference>
        </references>
      </pivotArea>
    </chartFormat>
    <chartFormat chart="0" format="122" series="1">
      <pivotArea type="data" outline="0" fieldPosition="0">
        <references count="2">
          <reference field="4294967294" count="1" selected="0">
            <x v="0"/>
          </reference>
          <reference field="0" count="1" selected="0">
            <x v="122"/>
          </reference>
        </references>
      </pivotArea>
    </chartFormat>
    <chartFormat chart="0" format="123" series="1">
      <pivotArea type="data" outline="0" fieldPosition="0">
        <references count="2">
          <reference field="4294967294" count="1" selected="0">
            <x v="0"/>
          </reference>
          <reference field="0" count="1" selected="0">
            <x v="123"/>
          </reference>
        </references>
      </pivotArea>
    </chartFormat>
    <chartFormat chart="0" format="124" series="1">
      <pivotArea type="data" outline="0" fieldPosition="0">
        <references count="2">
          <reference field="4294967294" count="1" selected="0">
            <x v="0"/>
          </reference>
          <reference field="0" count="1" selected="0">
            <x v="124"/>
          </reference>
        </references>
      </pivotArea>
    </chartFormat>
    <chartFormat chart="0" format="125" series="1">
      <pivotArea type="data" outline="0" fieldPosition="0">
        <references count="2">
          <reference field="4294967294" count="1" selected="0">
            <x v="0"/>
          </reference>
          <reference field="0" count="1" selected="0">
            <x v="125"/>
          </reference>
        </references>
      </pivotArea>
    </chartFormat>
    <chartFormat chart="0" format="126" series="1">
      <pivotArea type="data" outline="0" fieldPosition="0">
        <references count="2">
          <reference field="4294967294" count="1" selected="0">
            <x v="0"/>
          </reference>
          <reference field="0" count="1" selected="0">
            <x v="126"/>
          </reference>
        </references>
      </pivotArea>
    </chartFormat>
    <chartFormat chart="0" format="127" series="1">
      <pivotArea type="data" outline="0" fieldPosition="0">
        <references count="2">
          <reference field="4294967294" count="1" selected="0">
            <x v="0"/>
          </reference>
          <reference field="0" count="1" selected="0">
            <x v="127"/>
          </reference>
        </references>
      </pivotArea>
    </chartFormat>
    <chartFormat chart="0" format="128" series="1">
      <pivotArea type="data" outline="0" fieldPosition="0">
        <references count="2">
          <reference field="4294967294" count="1" selected="0">
            <x v="0"/>
          </reference>
          <reference field="0" count="1" selected="0">
            <x v="128"/>
          </reference>
        </references>
      </pivotArea>
    </chartFormat>
    <chartFormat chart="0" format="129" series="1">
      <pivotArea type="data" outline="0" fieldPosition="0">
        <references count="2">
          <reference field="4294967294" count="1" selected="0">
            <x v="0"/>
          </reference>
          <reference field="0" count="1" selected="0">
            <x v="129"/>
          </reference>
        </references>
      </pivotArea>
    </chartFormat>
    <chartFormat chart="0" format="130" series="1">
      <pivotArea type="data" outline="0" fieldPosition="0">
        <references count="2">
          <reference field="4294967294" count="1" selected="0">
            <x v="0"/>
          </reference>
          <reference field="0" count="1" selected="0">
            <x v="130"/>
          </reference>
        </references>
      </pivotArea>
    </chartFormat>
    <chartFormat chart="0" format="131" series="1">
      <pivotArea type="data" outline="0" fieldPosition="0">
        <references count="2">
          <reference field="4294967294" count="1" selected="0">
            <x v="0"/>
          </reference>
          <reference field="0" count="1" selected="0">
            <x v="131"/>
          </reference>
        </references>
      </pivotArea>
    </chartFormat>
    <chartFormat chart="0" format="132" series="1">
      <pivotArea type="data" outline="0" fieldPosition="0">
        <references count="2">
          <reference field="4294967294" count="1" selected="0">
            <x v="0"/>
          </reference>
          <reference field="0" count="1" selected="0">
            <x v="132"/>
          </reference>
        </references>
      </pivotArea>
    </chartFormat>
    <chartFormat chart="0" format="133" series="1">
      <pivotArea type="data" outline="0" fieldPosition="0">
        <references count="2">
          <reference field="4294967294" count="1" selected="0">
            <x v="0"/>
          </reference>
          <reference field="0" count="1" selected="0">
            <x v="133"/>
          </reference>
        </references>
      </pivotArea>
    </chartFormat>
    <chartFormat chart="0" format="134" series="1">
      <pivotArea type="data" outline="0" fieldPosition="0">
        <references count="2">
          <reference field="4294967294" count="1" selected="0">
            <x v="0"/>
          </reference>
          <reference field="0" count="1" selected="0">
            <x v="134"/>
          </reference>
        </references>
      </pivotArea>
    </chartFormat>
    <chartFormat chart="0" format="135" series="1">
      <pivotArea type="data" outline="0" fieldPosition="0">
        <references count="2">
          <reference field="4294967294" count="1" selected="0">
            <x v="0"/>
          </reference>
          <reference field="0" count="1" selected="0">
            <x v="135"/>
          </reference>
        </references>
      </pivotArea>
    </chartFormat>
    <chartFormat chart="0" format="136" series="1">
      <pivotArea type="data" outline="0" fieldPosition="0">
        <references count="2">
          <reference field="4294967294" count="1" selected="0">
            <x v="0"/>
          </reference>
          <reference field="0" count="1" selected="0">
            <x v="136"/>
          </reference>
        </references>
      </pivotArea>
    </chartFormat>
    <chartFormat chart="0" format="137" series="1">
      <pivotArea type="data" outline="0" fieldPosition="0">
        <references count="2">
          <reference field="4294967294" count="1" selected="0">
            <x v="0"/>
          </reference>
          <reference field="0" count="1" selected="0">
            <x v="137"/>
          </reference>
        </references>
      </pivotArea>
    </chartFormat>
    <chartFormat chart="0" format="138" series="1">
      <pivotArea type="data" outline="0" fieldPosition="0">
        <references count="2">
          <reference field="4294967294" count="1" selected="0">
            <x v="0"/>
          </reference>
          <reference field="0" count="1" selected="0">
            <x v="138"/>
          </reference>
        </references>
      </pivotArea>
    </chartFormat>
    <chartFormat chart="0" format="139" series="1">
      <pivotArea type="data" outline="0" fieldPosition="0">
        <references count="2">
          <reference field="4294967294" count="1" selected="0">
            <x v="0"/>
          </reference>
          <reference field="0" count="1" selected="0">
            <x v="139"/>
          </reference>
        </references>
      </pivotArea>
    </chartFormat>
    <chartFormat chart="0" format="140" series="1">
      <pivotArea type="data" outline="0" fieldPosition="0">
        <references count="2">
          <reference field="4294967294" count="1" selected="0">
            <x v="0"/>
          </reference>
          <reference field="0" count="1" selected="0">
            <x v="1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3"/>
  <sheetViews>
    <sheetView tabSelected="1" zoomScale="98" zoomScaleNormal="98" workbookViewId="0">
      <pane xSplit="2" ySplit="1" topLeftCell="C200" activePane="bottomRight" state="frozen"/>
      <selection pane="topRight" activeCell="C1" sqref="C1"/>
      <selection pane="bottomLeft" activeCell="A2" sqref="A2"/>
      <selection pane="bottomRight" activeCell="A213" sqref="A213"/>
    </sheetView>
  </sheetViews>
  <sheetFormatPr defaultRowHeight="15" x14ac:dyDescent="0.25"/>
  <cols>
    <col min="1" max="1" width="18.28515625" bestFit="1" customWidth="1"/>
    <col min="2" max="3" width="15.140625" customWidth="1"/>
    <col min="4" max="4" width="23" customWidth="1"/>
    <col min="5" max="5" width="39.7109375" style="175" bestFit="1" customWidth="1"/>
    <col min="6" max="6" width="22.42578125" customWidth="1"/>
    <col min="7" max="7" width="7.42578125" customWidth="1"/>
    <col min="8" max="8" width="12.5703125" customWidth="1"/>
    <col min="9" max="9" width="15" customWidth="1"/>
    <col min="10" max="10" width="153.85546875" bestFit="1" customWidth="1"/>
    <col min="11" max="11" width="16.28515625" bestFit="1" customWidth="1"/>
    <col min="12" max="12" width="15.5703125" bestFit="1" customWidth="1"/>
    <col min="13" max="13" width="74.28515625" customWidth="1"/>
    <col min="14" max="14" width="17" style="103" bestFit="1" customWidth="1"/>
  </cols>
  <sheetData>
    <row r="1" spans="1:14" ht="15.75" x14ac:dyDescent="0.25">
      <c r="A1" s="14" t="s">
        <v>440</v>
      </c>
      <c r="B1" s="159" t="s">
        <v>0</v>
      </c>
      <c r="C1" s="159" t="s">
        <v>522</v>
      </c>
      <c r="D1" s="160" t="s">
        <v>1</v>
      </c>
      <c r="E1" s="160" t="s">
        <v>2</v>
      </c>
      <c r="F1" s="160" t="s">
        <v>3</v>
      </c>
      <c r="G1" s="160" t="s">
        <v>4</v>
      </c>
      <c r="H1" s="160" t="s">
        <v>5</v>
      </c>
      <c r="I1" s="160" t="s">
        <v>6</v>
      </c>
      <c r="J1" s="161" t="s">
        <v>7</v>
      </c>
      <c r="K1" s="162" t="s">
        <v>8</v>
      </c>
      <c r="L1" s="163" t="s">
        <v>9</v>
      </c>
      <c r="M1" s="160" t="s">
        <v>10</v>
      </c>
      <c r="N1" s="14" t="s">
        <v>597</v>
      </c>
    </row>
    <row r="2" spans="1:14" ht="15.75" x14ac:dyDescent="0.25">
      <c r="A2" s="18">
        <v>1</v>
      </c>
      <c r="B2" s="19">
        <v>18544</v>
      </c>
      <c r="C2" s="127">
        <v>0.5</v>
      </c>
      <c r="D2" s="3" t="s">
        <v>11</v>
      </c>
      <c r="E2" s="3" t="s">
        <v>12</v>
      </c>
      <c r="F2" s="3" t="s">
        <v>13</v>
      </c>
      <c r="G2" s="3" t="s">
        <v>14</v>
      </c>
      <c r="H2" s="3" t="s">
        <v>15</v>
      </c>
      <c r="I2" s="3" t="s">
        <v>16</v>
      </c>
      <c r="J2" s="18" t="s">
        <v>17</v>
      </c>
      <c r="K2" s="21">
        <v>-117.14666666666666</v>
      </c>
      <c r="L2" s="21">
        <v>32.588333333333331</v>
      </c>
      <c r="M2" s="3" t="s">
        <v>654</v>
      </c>
      <c r="N2" s="190"/>
    </row>
    <row r="3" spans="1:14" ht="15.75" x14ac:dyDescent="0.25">
      <c r="A3" s="18">
        <v>2</v>
      </c>
      <c r="B3" s="19">
        <v>19141</v>
      </c>
      <c r="C3" s="127">
        <v>0.58333333333333337</v>
      </c>
      <c r="D3" s="3" t="s">
        <v>11</v>
      </c>
      <c r="E3" s="3" t="s">
        <v>12</v>
      </c>
      <c r="F3" s="3" t="s">
        <v>13</v>
      </c>
      <c r="G3" s="3" t="s">
        <v>19</v>
      </c>
      <c r="H3" s="3" t="s">
        <v>15</v>
      </c>
      <c r="I3" s="3" t="s">
        <v>16</v>
      </c>
      <c r="J3" s="23" t="s">
        <v>20</v>
      </c>
      <c r="K3" s="21">
        <v>-117.24666666666666</v>
      </c>
      <c r="L3" s="21">
        <v>32.588333333333331</v>
      </c>
      <c r="M3" s="23" t="s">
        <v>21</v>
      </c>
      <c r="N3" s="190"/>
    </row>
    <row r="4" spans="1:14" ht="15.75" x14ac:dyDescent="0.25">
      <c r="A4" s="18">
        <v>3</v>
      </c>
      <c r="B4" s="19">
        <v>19335</v>
      </c>
      <c r="C4" s="127">
        <v>0.58333333333333337</v>
      </c>
      <c r="D4" s="3" t="s">
        <v>22</v>
      </c>
      <c r="E4" s="3" t="s">
        <v>656</v>
      </c>
      <c r="F4" s="3" t="s">
        <v>13</v>
      </c>
      <c r="G4" s="3" t="s">
        <v>23</v>
      </c>
      <c r="H4" s="3" t="s">
        <v>15</v>
      </c>
      <c r="I4" s="3" t="s">
        <v>16</v>
      </c>
      <c r="J4" s="18" t="s">
        <v>24</v>
      </c>
      <c r="K4" s="21">
        <v>-122.05</v>
      </c>
      <c r="L4" s="21">
        <v>36.626666666666665</v>
      </c>
      <c r="M4" s="3" t="s">
        <v>534</v>
      </c>
      <c r="N4" s="190"/>
    </row>
    <row r="5" spans="1:14" ht="15.75" x14ac:dyDescent="0.25">
      <c r="A5" s="18">
        <v>4</v>
      </c>
      <c r="B5" s="19">
        <v>20126</v>
      </c>
      <c r="C5" s="127">
        <v>0.5</v>
      </c>
      <c r="D5" s="3" t="s">
        <v>22</v>
      </c>
      <c r="E5" s="3" t="s">
        <v>25</v>
      </c>
      <c r="F5" s="3" t="s">
        <v>26</v>
      </c>
      <c r="G5" s="3" t="s">
        <v>19</v>
      </c>
      <c r="H5" s="3" t="s">
        <v>15</v>
      </c>
      <c r="I5" s="3" t="s">
        <v>16</v>
      </c>
      <c r="J5" s="18" t="s">
        <v>27</v>
      </c>
      <c r="K5" s="21">
        <v>-122.15</v>
      </c>
      <c r="L5" s="21">
        <v>36.626666666666665</v>
      </c>
      <c r="M5" s="3" t="s">
        <v>535</v>
      </c>
      <c r="N5" s="190"/>
    </row>
    <row r="6" spans="1:14" ht="15.75" x14ac:dyDescent="0.25">
      <c r="A6" s="18">
        <v>5</v>
      </c>
      <c r="B6" s="19">
        <v>20681</v>
      </c>
      <c r="C6" s="127">
        <v>0.6875</v>
      </c>
      <c r="D6" s="3" t="s">
        <v>28</v>
      </c>
      <c r="E6" s="3" t="s">
        <v>29</v>
      </c>
      <c r="F6" s="3" t="s">
        <v>13</v>
      </c>
      <c r="G6" s="3" t="s">
        <v>14</v>
      </c>
      <c r="H6" s="3" t="s">
        <v>15</v>
      </c>
      <c r="I6" s="3" t="s">
        <v>16</v>
      </c>
      <c r="J6" s="18" t="s">
        <v>30</v>
      </c>
      <c r="K6" s="21">
        <v>-120.64666666666666</v>
      </c>
      <c r="L6" s="21">
        <v>35.138333333333335</v>
      </c>
      <c r="M6" s="3" t="s">
        <v>665</v>
      </c>
      <c r="N6" s="190"/>
    </row>
    <row r="7" spans="1:14" ht="15.75" x14ac:dyDescent="0.25">
      <c r="A7" s="18">
        <v>6</v>
      </c>
      <c r="B7" s="19">
        <v>20938</v>
      </c>
      <c r="C7" s="127">
        <v>0.5625</v>
      </c>
      <c r="D7" s="3" t="s">
        <v>28</v>
      </c>
      <c r="E7" s="3" t="s">
        <v>31</v>
      </c>
      <c r="F7" s="3" t="s">
        <v>13</v>
      </c>
      <c r="G7" s="3" t="s">
        <v>23</v>
      </c>
      <c r="H7" s="3" t="s">
        <v>15</v>
      </c>
      <c r="I7" s="3" t="s">
        <v>16</v>
      </c>
      <c r="J7" s="18" t="s">
        <v>32</v>
      </c>
      <c r="K7" s="21">
        <v>-120.875</v>
      </c>
      <c r="L7" s="21">
        <v>35.403333333333336</v>
      </c>
      <c r="M7" s="3" t="s">
        <v>536</v>
      </c>
      <c r="N7" s="190"/>
    </row>
    <row r="8" spans="1:14" ht="15.75" x14ac:dyDescent="0.25">
      <c r="A8" s="18">
        <v>7</v>
      </c>
      <c r="B8" s="19">
        <v>21470</v>
      </c>
      <c r="C8" s="127" t="s">
        <v>102</v>
      </c>
      <c r="D8" s="3" t="s">
        <v>11</v>
      </c>
      <c r="E8" s="3" t="s">
        <v>33</v>
      </c>
      <c r="F8" s="3" t="s">
        <v>13</v>
      </c>
      <c r="G8" s="3" t="s">
        <v>14</v>
      </c>
      <c r="H8" s="3" t="s">
        <v>15</v>
      </c>
      <c r="I8" s="3" t="s">
        <v>16</v>
      </c>
      <c r="J8" s="18" t="s">
        <v>34</v>
      </c>
      <c r="K8" s="21">
        <v>-117.21666666666667</v>
      </c>
      <c r="L8" s="21">
        <v>32.685000000000002</v>
      </c>
      <c r="M8" s="3" t="s">
        <v>534</v>
      </c>
      <c r="N8" s="190"/>
    </row>
    <row r="9" spans="1:14" ht="15.75" x14ac:dyDescent="0.25">
      <c r="A9" s="18">
        <v>8</v>
      </c>
      <c r="B9" s="19">
        <v>21677</v>
      </c>
      <c r="C9" s="127">
        <v>0.72916666666666663</v>
      </c>
      <c r="D9" s="3" t="s">
        <v>35</v>
      </c>
      <c r="E9" s="3" t="s">
        <v>36</v>
      </c>
      <c r="F9" s="3" t="s">
        <v>13</v>
      </c>
      <c r="G9" s="3" t="s">
        <v>23</v>
      </c>
      <c r="H9" s="3" t="s">
        <v>15</v>
      </c>
      <c r="I9" s="3" t="s">
        <v>16</v>
      </c>
      <c r="J9" s="18" t="s">
        <v>37</v>
      </c>
      <c r="K9" s="21">
        <v>-122.4836</v>
      </c>
      <c r="L9" s="21">
        <v>37.793599999999998</v>
      </c>
      <c r="M9" s="3" t="s">
        <v>535</v>
      </c>
      <c r="N9" s="190"/>
    </row>
    <row r="10" spans="1:14" ht="15.75" x14ac:dyDescent="0.25">
      <c r="A10" s="18">
        <v>9</v>
      </c>
      <c r="B10" s="19">
        <v>21715</v>
      </c>
      <c r="C10" s="127">
        <v>0.70833333333333337</v>
      </c>
      <c r="D10" s="3" t="s">
        <v>11</v>
      </c>
      <c r="E10" s="3" t="s">
        <v>38</v>
      </c>
      <c r="F10" s="3" t="s">
        <v>26</v>
      </c>
      <c r="G10" s="3" t="s">
        <v>23</v>
      </c>
      <c r="H10" s="3" t="s">
        <v>15</v>
      </c>
      <c r="I10" s="3" t="s">
        <v>16</v>
      </c>
      <c r="J10" s="18" t="s">
        <v>39</v>
      </c>
      <c r="K10" s="21">
        <v>-117.28</v>
      </c>
      <c r="L10" s="21">
        <v>32.854999999999997</v>
      </c>
      <c r="M10" s="3" t="s">
        <v>537</v>
      </c>
      <c r="N10" s="190"/>
    </row>
    <row r="11" spans="1:14" ht="15.75" x14ac:dyDescent="0.25">
      <c r="A11" s="89">
        <v>10</v>
      </c>
      <c r="B11" s="82">
        <v>21759</v>
      </c>
      <c r="C11" s="128">
        <v>0.8125</v>
      </c>
      <c r="D11" s="81" t="s">
        <v>11</v>
      </c>
      <c r="E11" s="81" t="s">
        <v>38</v>
      </c>
      <c r="F11" s="81" t="s">
        <v>26</v>
      </c>
      <c r="G11" s="81" t="s">
        <v>19</v>
      </c>
      <c r="H11" s="81" t="s">
        <v>15</v>
      </c>
      <c r="I11" s="81" t="s">
        <v>40</v>
      </c>
      <c r="J11" s="164" t="s">
        <v>41</v>
      </c>
      <c r="K11" s="21">
        <v>-117.38</v>
      </c>
      <c r="L11" s="21">
        <v>32.854999999999997</v>
      </c>
      <c r="M11" s="3" t="s">
        <v>538</v>
      </c>
      <c r="N11" s="190"/>
    </row>
    <row r="12" spans="1:14" ht="15.75" x14ac:dyDescent="0.25">
      <c r="A12" s="18">
        <v>11</v>
      </c>
      <c r="B12" s="19">
        <v>21827</v>
      </c>
      <c r="C12" s="127">
        <v>0.625</v>
      </c>
      <c r="D12" s="3" t="s">
        <v>42</v>
      </c>
      <c r="E12" s="3" t="s">
        <v>43</v>
      </c>
      <c r="F12" s="3" t="s">
        <v>26</v>
      </c>
      <c r="G12" s="3" t="s">
        <v>44</v>
      </c>
      <c r="H12" s="3" t="s">
        <v>15</v>
      </c>
      <c r="I12" s="3" t="s">
        <v>16</v>
      </c>
      <c r="J12" s="18" t="s">
        <v>45</v>
      </c>
      <c r="K12" s="21">
        <v>-123.04666666666667</v>
      </c>
      <c r="L12" s="21">
        <v>38.295000000000002</v>
      </c>
      <c r="M12" s="3" t="s">
        <v>539</v>
      </c>
      <c r="N12" s="190"/>
    </row>
    <row r="13" spans="1:14" ht="15.75" x14ac:dyDescent="0.25">
      <c r="A13" s="89">
        <v>12</v>
      </c>
      <c r="B13" s="80">
        <v>21864</v>
      </c>
      <c r="C13" s="129">
        <v>0.4375</v>
      </c>
      <c r="D13" s="81" t="s">
        <v>46</v>
      </c>
      <c r="E13" s="81" t="s">
        <v>47</v>
      </c>
      <c r="F13" s="81" t="s">
        <v>26</v>
      </c>
      <c r="G13" s="81" t="s">
        <v>19</v>
      </c>
      <c r="H13" s="81" t="s">
        <v>15</v>
      </c>
      <c r="I13" s="81" t="s">
        <v>48</v>
      </c>
      <c r="J13" s="87" t="s">
        <v>49</v>
      </c>
      <c r="K13" s="21">
        <v>-118.78333333333333</v>
      </c>
      <c r="L13" s="21">
        <v>34.018333333333331</v>
      </c>
      <c r="M13" s="3" t="s">
        <v>540</v>
      </c>
      <c r="N13" s="190"/>
    </row>
    <row r="14" spans="1:14" ht="15.75" x14ac:dyDescent="0.25">
      <c r="A14" s="18">
        <v>13</v>
      </c>
      <c r="B14" s="19">
        <v>22030</v>
      </c>
      <c r="C14" s="127">
        <v>0.58333333333333337</v>
      </c>
      <c r="D14" s="3" t="s">
        <v>50</v>
      </c>
      <c r="E14" s="3" t="s">
        <v>429</v>
      </c>
      <c r="F14" s="3" t="s">
        <v>26</v>
      </c>
      <c r="G14" s="3" t="s">
        <v>19</v>
      </c>
      <c r="H14" s="3" t="s">
        <v>15</v>
      </c>
      <c r="I14" s="3" t="s">
        <v>16</v>
      </c>
      <c r="J14" s="18" t="s">
        <v>51</v>
      </c>
      <c r="K14" s="21">
        <v>-122.965</v>
      </c>
      <c r="L14" s="21">
        <v>38.181666666666665</v>
      </c>
      <c r="M14" s="3" t="s">
        <v>535</v>
      </c>
      <c r="N14" s="190"/>
    </row>
    <row r="15" spans="1:14" ht="15.75" x14ac:dyDescent="0.25">
      <c r="A15" s="18">
        <v>14</v>
      </c>
      <c r="B15" s="19">
        <v>22055</v>
      </c>
      <c r="C15" s="127">
        <v>0.54166666666666663</v>
      </c>
      <c r="D15" s="3" t="s">
        <v>52</v>
      </c>
      <c r="E15" s="3" t="s">
        <v>53</v>
      </c>
      <c r="F15" s="3" t="s">
        <v>13</v>
      </c>
      <c r="G15" s="3" t="s">
        <v>14</v>
      </c>
      <c r="H15" s="3" t="s">
        <v>15</v>
      </c>
      <c r="I15" s="3" t="s">
        <v>16</v>
      </c>
      <c r="J15" s="18" t="s">
        <v>54</v>
      </c>
      <c r="K15" s="21">
        <v>-122.095</v>
      </c>
      <c r="L15" s="21">
        <v>36.96</v>
      </c>
      <c r="M15" s="3" t="s">
        <v>538</v>
      </c>
      <c r="N15" s="190"/>
    </row>
    <row r="16" spans="1:14" ht="15.75" x14ac:dyDescent="0.25">
      <c r="A16" s="18">
        <v>15</v>
      </c>
      <c r="B16" s="19">
        <v>22422</v>
      </c>
      <c r="C16" s="127">
        <v>0.35416666666666669</v>
      </c>
      <c r="D16" s="3" t="s">
        <v>50</v>
      </c>
      <c r="E16" s="3" t="s">
        <v>429</v>
      </c>
      <c r="F16" s="3" t="s">
        <v>26</v>
      </c>
      <c r="G16" s="3" t="s">
        <v>44</v>
      </c>
      <c r="H16" s="4">
        <v>25</v>
      </c>
      <c r="I16" s="3" t="s">
        <v>16</v>
      </c>
      <c r="J16" s="18" t="s">
        <v>55</v>
      </c>
      <c r="K16" s="21">
        <v>-123.065</v>
      </c>
      <c r="L16" s="21">
        <v>38.181666666666665</v>
      </c>
      <c r="M16" s="3" t="s">
        <v>666</v>
      </c>
      <c r="N16" s="190"/>
    </row>
    <row r="17" spans="1:14" ht="15.75" x14ac:dyDescent="0.25">
      <c r="A17" s="18">
        <v>16</v>
      </c>
      <c r="B17" s="19">
        <v>22513</v>
      </c>
      <c r="C17" s="127">
        <v>0.39583333333333331</v>
      </c>
      <c r="D17" s="3" t="s">
        <v>42</v>
      </c>
      <c r="E17" s="3" t="s">
        <v>56</v>
      </c>
      <c r="F17" s="3" t="s">
        <v>13</v>
      </c>
      <c r="G17" s="3" t="s">
        <v>14</v>
      </c>
      <c r="H17" s="3" t="s">
        <v>15</v>
      </c>
      <c r="I17" s="3" t="s">
        <v>16</v>
      </c>
      <c r="J17" s="18" t="s">
        <v>57</v>
      </c>
      <c r="K17" s="21">
        <v>-123.07666666666667</v>
      </c>
      <c r="L17" s="21">
        <v>38.358333333333334</v>
      </c>
      <c r="M17" s="3" t="s">
        <v>535</v>
      </c>
      <c r="N17" s="190"/>
    </row>
    <row r="18" spans="1:14" ht="15.75" x14ac:dyDescent="0.25">
      <c r="A18" s="18">
        <v>17</v>
      </c>
      <c r="B18" s="19">
        <v>22660</v>
      </c>
      <c r="C18" s="127">
        <v>0.4375</v>
      </c>
      <c r="D18" s="3" t="s">
        <v>58</v>
      </c>
      <c r="E18" s="3" t="s">
        <v>59</v>
      </c>
      <c r="F18" s="3" t="s">
        <v>60</v>
      </c>
      <c r="G18" s="3" t="s">
        <v>14</v>
      </c>
      <c r="H18" s="3" t="s">
        <v>15</v>
      </c>
      <c r="I18" s="3" t="s">
        <v>16</v>
      </c>
      <c r="J18" s="18" t="s">
        <v>61</v>
      </c>
      <c r="K18" s="21">
        <v>-123.03166666666667</v>
      </c>
      <c r="L18" s="21">
        <v>37.72</v>
      </c>
      <c r="M18" s="3" t="s">
        <v>535</v>
      </c>
      <c r="N18" s="190"/>
    </row>
    <row r="19" spans="1:14" ht="15.75" x14ac:dyDescent="0.25">
      <c r="A19" s="18">
        <v>18</v>
      </c>
      <c r="B19" s="19">
        <v>22961</v>
      </c>
      <c r="C19" s="127">
        <v>0.53125</v>
      </c>
      <c r="D19" s="3" t="s">
        <v>58</v>
      </c>
      <c r="E19" s="3" t="s">
        <v>59</v>
      </c>
      <c r="F19" s="3" t="s">
        <v>60</v>
      </c>
      <c r="G19" s="3" t="s">
        <v>14</v>
      </c>
      <c r="H19" s="3" t="s">
        <v>15</v>
      </c>
      <c r="I19" s="3" t="s">
        <v>16</v>
      </c>
      <c r="J19" s="18" t="s">
        <v>62</v>
      </c>
      <c r="K19" s="21">
        <v>-123.13166666666666</v>
      </c>
      <c r="L19" s="21">
        <v>37.72</v>
      </c>
      <c r="M19" s="3" t="s">
        <v>535</v>
      </c>
      <c r="N19" s="190"/>
    </row>
    <row r="20" spans="1:14" ht="15.75" x14ac:dyDescent="0.25">
      <c r="A20" s="18">
        <v>19</v>
      </c>
      <c r="B20" s="19">
        <v>23387</v>
      </c>
      <c r="C20" s="127">
        <v>0.5</v>
      </c>
      <c r="D20" s="3" t="s">
        <v>58</v>
      </c>
      <c r="E20" s="3" t="s">
        <v>59</v>
      </c>
      <c r="F20" s="3" t="s">
        <v>60</v>
      </c>
      <c r="G20" s="3" t="s">
        <v>14</v>
      </c>
      <c r="H20" s="3" t="s">
        <v>15</v>
      </c>
      <c r="I20" s="3" t="s">
        <v>16</v>
      </c>
      <c r="J20" s="18" t="s">
        <v>63</v>
      </c>
      <c r="K20" s="21">
        <v>-123.23166666666665</v>
      </c>
      <c r="L20" s="21">
        <v>37.72</v>
      </c>
      <c r="M20" s="3" t="s">
        <v>539</v>
      </c>
      <c r="N20" s="190"/>
    </row>
    <row r="21" spans="1:14" ht="15.75" x14ac:dyDescent="0.25">
      <c r="A21" s="18">
        <v>20</v>
      </c>
      <c r="B21" s="19">
        <v>24129</v>
      </c>
      <c r="C21" s="127">
        <v>0.45833333333333331</v>
      </c>
      <c r="D21" s="3" t="s">
        <v>22</v>
      </c>
      <c r="E21" s="3" t="s">
        <v>430</v>
      </c>
      <c r="F21" s="3" t="s">
        <v>26</v>
      </c>
      <c r="G21" s="3" t="s">
        <v>14</v>
      </c>
      <c r="H21" s="3" t="s">
        <v>15</v>
      </c>
      <c r="I21" s="3" t="s">
        <v>16</v>
      </c>
      <c r="J21" s="18" t="s">
        <v>64</v>
      </c>
      <c r="K21" s="21">
        <v>-122.0423722</v>
      </c>
      <c r="L21" s="21">
        <v>36.583333333333336</v>
      </c>
      <c r="M21" s="3" t="s">
        <v>535</v>
      </c>
      <c r="N21" s="190"/>
    </row>
    <row r="22" spans="1:14" ht="15.75" x14ac:dyDescent="0.25">
      <c r="A22" s="18">
        <v>21</v>
      </c>
      <c r="B22" s="19">
        <v>25046</v>
      </c>
      <c r="C22" s="127">
        <v>0.45833333333333331</v>
      </c>
      <c r="D22" s="3" t="s">
        <v>42</v>
      </c>
      <c r="E22" s="3" t="s">
        <v>43</v>
      </c>
      <c r="F22" s="3" t="s">
        <v>26</v>
      </c>
      <c r="G22" s="3" t="s">
        <v>14</v>
      </c>
      <c r="H22" s="4">
        <v>20</v>
      </c>
      <c r="I22" s="3" t="s">
        <v>16</v>
      </c>
      <c r="J22" s="18" t="s">
        <v>65</v>
      </c>
      <c r="K22" s="21">
        <v>-123.14666666666666</v>
      </c>
      <c r="L22" s="21">
        <v>38.295000000000002</v>
      </c>
      <c r="M22" s="3" t="s">
        <v>542</v>
      </c>
      <c r="N22" s="190"/>
    </row>
    <row r="23" spans="1:14" ht="15.75" x14ac:dyDescent="0.25">
      <c r="A23" s="114" t="s">
        <v>465</v>
      </c>
      <c r="B23" s="135">
        <v>25404</v>
      </c>
      <c r="C23" s="136"/>
      <c r="D23" s="117" t="s">
        <v>66</v>
      </c>
      <c r="E23" s="117" t="s">
        <v>431</v>
      </c>
      <c r="F23" s="117" t="s">
        <v>26</v>
      </c>
      <c r="G23" s="117" t="s">
        <v>472</v>
      </c>
      <c r="H23" s="117" t="s">
        <v>473</v>
      </c>
      <c r="I23" s="117" t="s">
        <v>531</v>
      </c>
      <c r="J23" s="114" t="s">
        <v>529</v>
      </c>
      <c r="K23" s="137">
        <v>-122.40833333333333</v>
      </c>
      <c r="L23" s="137">
        <v>37.19166666666667</v>
      </c>
      <c r="M23" s="117" t="s">
        <v>530</v>
      </c>
      <c r="N23" s="190"/>
    </row>
    <row r="24" spans="1:14" ht="15.75" x14ac:dyDescent="0.25">
      <c r="A24" s="18">
        <v>23</v>
      </c>
      <c r="B24" s="19">
        <v>25452</v>
      </c>
      <c r="C24" s="127">
        <v>0.47222222222222227</v>
      </c>
      <c r="D24" s="3" t="s">
        <v>50</v>
      </c>
      <c r="E24" s="3" t="s">
        <v>429</v>
      </c>
      <c r="F24" s="3" t="s">
        <v>26</v>
      </c>
      <c r="G24" s="3" t="s">
        <v>14</v>
      </c>
      <c r="H24" s="3" t="s">
        <v>15</v>
      </c>
      <c r="I24" s="3" t="s">
        <v>16</v>
      </c>
      <c r="J24" s="18" t="s">
        <v>68</v>
      </c>
      <c r="K24" s="21">
        <v>-123.16499999999999</v>
      </c>
      <c r="L24" s="21">
        <v>38.181666666666665</v>
      </c>
      <c r="M24" s="3" t="s">
        <v>540</v>
      </c>
      <c r="N24" s="190"/>
    </row>
    <row r="25" spans="1:14" ht="15.75" x14ac:dyDescent="0.25">
      <c r="A25" s="18">
        <v>24</v>
      </c>
      <c r="B25" s="19">
        <v>26133</v>
      </c>
      <c r="C25" s="127" t="s">
        <v>102</v>
      </c>
      <c r="D25" s="3" t="s">
        <v>69</v>
      </c>
      <c r="E25" s="3" t="s">
        <v>70</v>
      </c>
      <c r="F25" s="3" t="s">
        <v>71</v>
      </c>
      <c r="G25" s="3" t="s">
        <v>14</v>
      </c>
      <c r="H25" s="4">
        <v>20</v>
      </c>
      <c r="I25" s="3" t="s">
        <v>16</v>
      </c>
      <c r="J25" s="18" t="s">
        <v>667</v>
      </c>
      <c r="K25" s="21">
        <v>-120.64166666666667</v>
      </c>
      <c r="L25" s="21">
        <v>34.758333333333333</v>
      </c>
      <c r="M25" s="3" t="s">
        <v>668</v>
      </c>
      <c r="N25" s="190"/>
    </row>
    <row r="26" spans="1:14" ht="15.75" x14ac:dyDescent="0.25">
      <c r="A26" s="18">
        <v>25</v>
      </c>
      <c r="B26" s="19">
        <v>26208</v>
      </c>
      <c r="C26" s="127">
        <v>0.58333333333333337</v>
      </c>
      <c r="D26" s="3" t="s">
        <v>42</v>
      </c>
      <c r="E26" s="3" t="s">
        <v>73</v>
      </c>
      <c r="F26" s="3" t="s">
        <v>60</v>
      </c>
      <c r="G26" s="3" t="s">
        <v>14</v>
      </c>
      <c r="H26" s="4">
        <v>15</v>
      </c>
      <c r="I26" s="3" t="s">
        <v>16</v>
      </c>
      <c r="J26" s="18" t="s">
        <v>74</v>
      </c>
      <c r="K26" s="21">
        <v>-123.43</v>
      </c>
      <c r="L26" s="21">
        <v>38.666666666666664</v>
      </c>
      <c r="M26" s="3" t="s">
        <v>669</v>
      </c>
      <c r="N26" s="190"/>
    </row>
    <row r="27" spans="1:14" ht="15.75" x14ac:dyDescent="0.25">
      <c r="A27" s="18">
        <v>26</v>
      </c>
      <c r="B27" s="19">
        <v>26447</v>
      </c>
      <c r="C27" s="127">
        <v>0.5625</v>
      </c>
      <c r="D27" s="3" t="s">
        <v>50</v>
      </c>
      <c r="E27" s="3" t="s">
        <v>429</v>
      </c>
      <c r="F27" s="3" t="s">
        <v>26</v>
      </c>
      <c r="G27" s="3" t="s">
        <v>14</v>
      </c>
      <c r="H27" s="3" t="s">
        <v>15</v>
      </c>
      <c r="I27" s="3" t="s">
        <v>16</v>
      </c>
      <c r="J27" s="18" t="s">
        <v>75</v>
      </c>
      <c r="K27" s="21">
        <v>-123.26499999999999</v>
      </c>
      <c r="L27" s="21">
        <v>38.181666666666665</v>
      </c>
      <c r="M27" s="3" t="s">
        <v>540</v>
      </c>
      <c r="N27" s="190"/>
    </row>
    <row r="28" spans="1:14" ht="15.75" x14ac:dyDescent="0.25">
      <c r="A28" s="114" t="s">
        <v>465</v>
      </c>
      <c r="B28" s="135">
        <v>26551</v>
      </c>
      <c r="C28" s="136"/>
      <c r="D28" s="117" t="s">
        <v>22</v>
      </c>
      <c r="E28" s="117" t="s">
        <v>85</v>
      </c>
      <c r="F28" s="117" t="s">
        <v>76</v>
      </c>
      <c r="G28" s="117" t="s">
        <v>533</v>
      </c>
      <c r="H28" s="117" t="s">
        <v>473</v>
      </c>
      <c r="I28" s="117" t="s">
        <v>531</v>
      </c>
      <c r="J28" s="114" t="s">
        <v>526</v>
      </c>
      <c r="K28" s="137">
        <v>-121.89666666666666</v>
      </c>
      <c r="L28" s="137">
        <v>36.313333333333333</v>
      </c>
      <c r="M28" s="117" t="s">
        <v>532</v>
      </c>
      <c r="N28" s="190"/>
    </row>
    <row r="29" spans="1:14" ht="15.75" x14ac:dyDescent="0.25">
      <c r="A29" s="18">
        <v>28</v>
      </c>
      <c r="B29" s="19">
        <v>27175</v>
      </c>
      <c r="C29" s="127">
        <v>0.47916666666666669</v>
      </c>
      <c r="D29" s="3" t="s">
        <v>50</v>
      </c>
      <c r="E29" s="3" t="s">
        <v>429</v>
      </c>
      <c r="F29" s="3" t="s">
        <v>26</v>
      </c>
      <c r="G29" s="3" t="s">
        <v>14</v>
      </c>
      <c r="H29" s="3" t="s">
        <v>15</v>
      </c>
      <c r="I29" s="3" t="s">
        <v>16</v>
      </c>
      <c r="J29" s="18" t="s">
        <v>77</v>
      </c>
      <c r="K29" s="21">
        <v>-123.36499999999998</v>
      </c>
      <c r="L29" s="21">
        <v>38.181666666666665</v>
      </c>
      <c r="M29" s="3" t="s">
        <v>678</v>
      </c>
      <c r="N29" s="190"/>
    </row>
    <row r="30" spans="1:14" ht="15.75" x14ac:dyDescent="0.25">
      <c r="A30" s="18">
        <v>29</v>
      </c>
      <c r="B30" s="19">
        <v>27236</v>
      </c>
      <c r="C30" s="127" t="s">
        <v>102</v>
      </c>
      <c r="D30" s="3" t="s">
        <v>78</v>
      </c>
      <c r="E30" s="3" t="s">
        <v>79</v>
      </c>
      <c r="F30" s="3" t="s">
        <v>26</v>
      </c>
      <c r="G30" s="3" t="s">
        <v>19</v>
      </c>
      <c r="H30" s="4">
        <v>25</v>
      </c>
      <c r="I30" s="3" t="s">
        <v>16</v>
      </c>
      <c r="J30" s="18" t="s">
        <v>80</v>
      </c>
      <c r="K30" s="21">
        <v>-123.77666666666667</v>
      </c>
      <c r="L30" s="21">
        <v>39.228333333333332</v>
      </c>
      <c r="M30" s="3" t="s">
        <v>541</v>
      </c>
      <c r="N30" s="190"/>
    </row>
    <row r="31" spans="1:14" ht="15.75" x14ac:dyDescent="0.25">
      <c r="A31" s="18">
        <v>30</v>
      </c>
      <c r="B31" s="19">
        <v>27246</v>
      </c>
      <c r="C31" s="127" t="s">
        <v>102</v>
      </c>
      <c r="D31" s="3" t="s">
        <v>66</v>
      </c>
      <c r="E31" s="3" t="s">
        <v>81</v>
      </c>
      <c r="F31" s="3" t="s">
        <v>76</v>
      </c>
      <c r="G31" s="3" t="s">
        <v>19</v>
      </c>
      <c r="H31" s="3" t="s">
        <v>15</v>
      </c>
      <c r="I31" s="3" t="s">
        <v>16</v>
      </c>
      <c r="J31" s="18" t="s">
        <v>82</v>
      </c>
      <c r="K31" s="21">
        <v>-122.40833333333333</v>
      </c>
      <c r="L31" s="21">
        <v>37.323333333333331</v>
      </c>
      <c r="M31" s="3" t="s">
        <v>541</v>
      </c>
      <c r="N31" s="190"/>
    </row>
    <row r="32" spans="1:14" ht="15.75" x14ac:dyDescent="0.25">
      <c r="A32" s="18">
        <v>31</v>
      </c>
      <c r="B32" s="19">
        <v>27274</v>
      </c>
      <c r="C32" s="127">
        <v>0.72916666666666663</v>
      </c>
      <c r="D32" s="3" t="s">
        <v>66</v>
      </c>
      <c r="E32" s="3" t="s">
        <v>432</v>
      </c>
      <c r="F32" s="3" t="s">
        <v>60</v>
      </c>
      <c r="G32" s="3" t="s">
        <v>19</v>
      </c>
      <c r="H32" s="3" t="s">
        <v>15</v>
      </c>
      <c r="I32" s="3" t="s">
        <v>16</v>
      </c>
      <c r="J32" s="18" t="s">
        <v>83</v>
      </c>
      <c r="K32" s="21">
        <v>-122.36666666666666</v>
      </c>
      <c r="L32" s="21">
        <v>37.15</v>
      </c>
      <c r="M32" s="3" t="s">
        <v>541</v>
      </c>
      <c r="N32" s="190"/>
    </row>
    <row r="33" spans="1:14" ht="15.75" x14ac:dyDescent="0.25">
      <c r="A33" s="18">
        <v>32</v>
      </c>
      <c r="B33" s="19">
        <v>27274</v>
      </c>
      <c r="C33" s="127">
        <v>0.72916666666666663</v>
      </c>
      <c r="D33" s="5" t="s">
        <v>66</v>
      </c>
      <c r="E33" s="5" t="s">
        <v>432</v>
      </c>
      <c r="F33" s="5" t="s">
        <v>60</v>
      </c>
      <c r="G33" s="5" t="s">
        <v>19</v>
      </c>
      <c r="H33" s="5" t="s">
        <v>15</v>
      </c>
      <c r="I33" s="3" t="s">
        <v>16</v>
      </c>
      <c r="J33" s="18" t="s">
        <v>83</v>
      </c>
      <c r="K33" s="21">
        <v>-122.46666666666665</v>
      </c>
      <c r="L33" s="21">
        <v>37.15</v>
      </c>
      <c r="M33" s="3" t="s">
        <v>541</v>
      </c>
      <c r="N33" s="190"/>
    </row>
    <row r="34" spans="1:14" ht="15.75" x14ac:dyDescent="0.25">
      <c r="A34" s="18">
        <v>33</v>
      </c>
      <c r="B34" s="19">
        <v>27286</v>
      </c>
      <c r="C34" s="127">
        <v>0.56597222222222221</v>
      </c>
      <c r="D34" s="3" t="s">
        <v>58</v>
      </c>
      <c r="E34" s="3" t="s">
        <v>59</v>
      </c>
      <c r="F34" s="3" t="s">
        <v>71</v>
      </c>
      <c r="G34" s="3" t="s">
        <v>14</v>
      </c>
      <c r="H34" s="4">
        <v>28</v>
      </c>
      <c r="I34" s="3" t="s">
        <v>16</v>
      </c>
      <c r="J34" s="18" t="s">
        <v>84</v>
      </c>
      <c r="K34" s="21">
        <v>-123.33166666666665</v>
      </c>
      <c r="L34" s="21">
        <v>37.72</v>
      </c>
      <c r="M34" s="3" t="s">
        <v>543</v>
      </c>
      <c r="N34" s="190"/>
    </row>
    <row r="35" spans="1:14" ht="15.75" x14ac:dyDescent="0.25">
      <c r="A35" s="18">
        <v>34</v>
      </c>
      <c r="B35" s="19">
        <v>27300</v>
      </c>
      <c r="C35" s="127">
        <v>0.3125</v>
      </c>
      <c r="D35" s="3" t="s">
        <v>22</v>
      </c>
      <c r="E35" s="3" t="s">
        <v>85</v>
      </c>
      <c r="F35" s="3" t="s">
        <v>76</v>
      </c>
      <c r="G35" s="3" t="s">
        <v>14</v>
      </c>
      <c r="H35" s="3" t="s">
        <v>15</v>
      </c>
      <c r="I35" s="3" t="s">
        <v>16</v>
      </c>
      <c r="J35" s="18" t="s">
        <v>86</v>
      </c>
      <c r="K35" s="21">
        <v>-121.99666666666666</v>
      </c>
      <c r="L35" s="21">
        <v>36.313333333333333</v>
      </c>
      <c r="M35" s="3" t="s">
        <v>535</v>
      </c>
      <c r="N35" s="190"/>
    </row>
    <row r="36" spans="1:14" ht="15.75" x14ac:dyDescent="0.25">
      <c r="A36" s="18">
        <v>35</v>
      </c>
      <c r="B36" s="19">
        <v>27594</v>
      </c>
      <c r="C36" s="127">
        <v>0.5625</v>
      </c>
      <c r="D36" s="3" t="s">
        <v>69</v>
      </c>
      <c r="E36" s="3" t="s">
        <v>87</v>
      </c>
      <c r="F36" s="3" t="s">
        <v>71</v>
      </c>
      <c r="G36" s="3" t="s">
        <v>44</v>
      </c>
      <c r="H36" s="4">
        <v>30</v>
      </c>
      <c r="I36" s="3" t="s">
        <v>16</v>
      </c>
      <c r="J36" s="18" t="s">
        <v>88</v>
      </c>
      <c r="K36" s="21">
        <v>-120.47499999999999</v>
      </c>
      <c r="L36" s="21">
        <v>34.450000000000003</v>
      </c>
      <c r="M36" s="3" t="s">
        <v>541</v>
      </c>
      <c r="N36" s="190"/>
    </row>
    <row r="37" spans="1:14" ht="15.75" x14ac:dyDescent="0.25">
      <c r="A37" s="18">
        <v>36</v>
      </c>
      <c r="B37" s="19">
        <v>27598</v>
      </c>
      <c r="C37" s="127">
        <v>0.60416666666666663</v>
      </c>
      <c r="D37" s="3" t="s">
        <v>69</v>
      </c>
      <c r="E37" s="3" t="s">
        <v>89</v>
      </c>
      <c r="F37" s="3" t="s">
        <v>60</v>
      </c>
      <c r="G37" s="3" t="s">
        <v>14</v>
      </c>
      <c r="H37" s="3" t="s">
        <v>15</v>
      </c>
      <c r="I37" s="3" t="s">
        <v>16</v>
      </c>
      <c r="J37" s="18" t="s">
        <v>90</v>
      </c>
      <c r="K37" s="21">
        <v>-120.575</v>
      </c>
      <c r="L37" s="21">
        <v>34.450000000000003</v>
      </c>
      <c r="M37" s="3" t="s">
        <v>535</v>
      </c>
      <c r="N37" s="190"/>
    </row>
    <row r="38" spans="1:14" ht="15.75" x14ac:dyDescent="0.25">
      <c r="A38" s="18">
        <v>37</v>
      </c>
      <c r="B38" s="19">
        <v>27615</v>
      </c>
      <c r="C38" s="127">
        <v>0.5625</v>
      </c>
      <c r="D38" s="3" t="s">
        <v>78</v>
      </c>
      <c r="E38" s="3" t="s">
        <v>91</v>
      </c>
      <c r="F38" s="3" t="s">
        <v>26</v>
      </c>
      <c r="G38" s="3" t="s">
        <v>14</v>
      </c>
      <c r="H38" s="4">
        <v>19</v>
      </c>
      <c r="I38" s="3" t="s">
        <v>16</v>
      </c>
      <c r="J38" s="18" t="s">
        <v>92</v>
      </c>
      <c r="K38" s="21">
        <v>-123.85666666666667</v>
      </c>
      <c r="L38" s="21">
        <v>39.82</v>
      </c>
      <c r="M38" s="3" t="s">
        <v>535</v>
      </c>
      <c r="N38" s="190"/>
    </row>
    <row r="39" spans="1:14" ht="15.75" x14ac:dyDescent="0.25">
      <c r="A39" s="18">
        <v>38</v>
      </c>
      <c r="B39" s="19">
        <v>27734</v>
      </c>
      <c r="C39" s="127">
        <v>0.5</v>
      </c>
      <c r="D39" s="3" t="s">
        <v>58</v>
      </c>
      <c r="E39" s="3" t="s">
        <v>59</v>
      </c>
      <c r="F39" s="3" t="s">
        <v>60</v>
      </c>
      <c r="G39" s="3" t="s">
        <v>14</v>
      </c>
      <c r="H39" s="4">
        <v>20</v>
      </c>
      <c r="I39" s="3" t="s">
        <v>16</v>
      </c>
      <c r="J39" s="18" t="s">
        <v>93</v>
      </c>
      <c r="K39" s="21">
        <v>-123.43166666666664</v>
      </c>
      <c r="L39" s="21">
        <v>37.72</v>
      </c>
      <c r="M39" s="3" t="s">
        <v>540</v>
      </c>
      <c r="N39" s="190"/>
    </row>
    <row r="40" spans="1:14" ht="15.75" x14ac:dyDescent="0.25">
      <c r="A40" s="18">
        <v>39</v>
      </c>
      <c r="B40" s="19">
        <v>28051</v>
      </c>
      <c r="C40" s="127">
        <v>0.60416666666666663</v>
      </c>
      <c r="D40" s="3" t="s">
        <v>97</v>
      </c>
      <c r="E40" s="3" t="s">
        <v>98</v>
      </c>
      <c r="F40" s="3" t="s">
        <v>76</v>
      </c>
      <c r="G40" s="3" t="s">
        <v>19</v>
      </c>
      <c r="H40" s="3" t="s">
        <v>15</v>
      </c>
      <c r="I40" s="3" t="s">
        <v>16</v>
      </c>
      <c r="J40" s="18" t="s">
        <v>99</v>
      </c>
      <c r="K40" s="21">
        <v>-124.11166666666666</v>
      </c>
      <c r="L40" s="21">
        <v>41.024999999999999</v>
      </c>
      <c r="M40" s="3" t="s">
        <v>543</v>
      </c>
      <c r="N40" s="190"/>
    </row>
    <row r="41" spans="1:14" ht="15.75" x14ac:dyDescent="0.25">
      <c r="A41" s="18">
        <v>40</v>
      </c>
      <c r="B41" s="19">
        <v>28051</v>
      </c>
      <c r="C41" s="127">
        <v>0.375</v>
      </c>
      <c r="D41" s="3" t="s">
        <v>94</v>
      </c>
      <c r="E41" s="3" t="s">
        <v>95</v>
      </c>
      <c r="F41" s="3" t="s">
        <v>71</v>
      </c>
      <c r="G41" s="3" t="s">
        <v>14</v>
      </c>
      <c r="H41" s="4">
        <v>18</v>
      </c>
      <c r="I41" s="3" t="s">
        <v>16</v>
      </c>
      <c r="J41" s="18" t="s">
        <v>96</v>
      </c>
      <c r="K41" s="21">
        <v>-120.43666666666667</v>
      </c>
      <c r="L41" s="21">
        <v>34.04</v>
      </c>
      <c r="M41" s="3" t="s">
        <v>544</v>
      </c>
      <c r="N41" s="190"/>
    </row>
    <row r="42" spans="1:14" ht="15.75" x14ac:dyDescent="0.25">
      <c r="A42" s="18">
        <v>41</v>
      </c>
      <c r="B42" s="19">
        <v>28351</v>
      </c>
      <c r="C42" s="127" t="s">
        <v>102</v>
      </c>
      <c r="D42" s="3" t="s">
        <v>50</v>
      </c>
      <c r="E42" s="3" t="s">
        <v>429</v>
      </c>
      <c r="F42" s="3" t="s">
        <v>26</v>
      </c>
      <c r="G42" s="3" t="s">
        <v>14</v>
      </c>
      <c r="H42" s="3" t="s">
        <v>15</v>
      </c>
      <c r="I42" s="3" t="s">
        <v>16</v>
      </c>
      <c r="J42" s="18" t="s">
        <v>100</v>
      </c>
      <c r="K42" s="21">
        <v>-123.46499999999997</v>
      </c>
      <c r="L42" s="21">
        <v>38.181666666666665</v>
      </c>
      <c r="M42" s="3" t="s">
        <v>545</v>
      </c>
      <c r="N42" s="190"/>
    </row>
    <row r="43" spans="1:14" ht="15.75" x14ac:dyDescent="0.25">
      <c r="A43" s="89">
        <v>42</v>
      </c>
      <c r="B43" s="80">
        <v>28707</v>
      </c>
      <c r="C43" s="129">
        <v>0.53125</v>
      </c>
      <c r="D43" s="81" t="s">
        <v>52</v>
      </c>
      <c r="E43" s="81" t="s">
        <v>101</v>
      </c>
      <c r="F43" s="81" t="s">
        <v>13</v>
      </c>
      <c r="G43" s="81" t="s">
        <v>19</v>
      </c>
      <c r="H43" s="81" t="s">
        <v>15</v>
      </c>
      <c r="I43" s="81" t="s">
        <v>102</v>
      </c>
      <c r="J43" s="87" t="s">
        <v>103</v>
      </c>
      <c r="K43" s="21">
        <v>-121.81</v>
      </c>
      <c r="L43" s="21">
        <v>36.86</v>
      </c>
      <c r="M43" s="3" t="s">
        <v>541</v>
      </c>
      <c r="N43" s="190"/>
    </row>
    <row r="44" spans="1:14" ht="15.75" x14ac:dyDescent="0.25">
      <c r="A44" s="18">
        <v>43</v>
      </c>
      <c r="B44" s="19">
        <v>28925</v>
      </c>
      <c r="C44" s="127">
        <v>0.41666666666666669</v>
      </c>
      <c r="D44" s="3" t="s">
        <v>66</v>
      </c>
      <c r="E44" s="3" t="s">
        <v>104</v>
      </c>
      <c r="F44" s="3" t="s">
        <v>60</v>
      </c>
      <c r="G44" s="3" t="s">
        <v>44</v>
      </c>
      <c r="H44" s="4">
        <v>20</v>
      </c>
      <c r="I44" s="3" t="s">
        <v>16</v>
      </c>
      <c r="J44" s="18" t="s">
        <v>105</v>
      </c>
      <c r="K44" s="21">
        <v>-122.34333333333333</v>
      </c>
      <c r="L44" s="21">
        <v>37.108333333333334</v>
      </c>
      <c r="M44" s="3" t="s">
        <v>669</v>
      </c>
      <c r="N44" s="190"/>
    </row>
    <row r="45" spans="1:14" ht="15.75" x14ac:dyDescent="0.25">
      <c r="A45" s="18">
        <v>44</v>
      </c>
      <c r="B45" s="19">
        <v>29511</v>
      </c>
      <c r="C45" s="127">
        <v>0.39583333333333331</v>
      </c>
      <c r="D45" s="3" t="s">
        <v>97</v>
      </c>
      <c r="E45" s="3" t="s">
        <v>98</v>
      </c>
      <c r="F45" s="3" t="s">
        <v>76</v>
      </c>
      <c r="G45" s="3" t="s">
        <v>44</v>
      </c>
      <c r="H45" s="3" t="s">
        <v>15</v>
      </c>
      <c r="I45" s="3" t="s">
        <v>16</v>
      </c>
      <c r="J45" s="18" t="s">
        <v>106</v>
      </c>
      <c r="K45" s="21">
        <v>-124.21166666666666</v>
      </c>
      <c r="L45" s="21">
        <v>41.024999999999999</v>
      </c>
      <c r="M45" s="3" t="s">
        <v>546</v>
      </c>
      <c r="N45" s="190"/>
    </row>
    <row r="46" spans="1:14" ht="15.75" x14ac:dyDescent="0.25">
      <c r="A46" s="18">
        <v>45</v>
      </c>
      <c r="B46" s="19">
        <v>29939</v>
      </c>
      <c r="C46" s="127" t="s">
        <v>102</v>
      </c>
      <c r="D46" s="3" t="s">
        <v>22</v>
      </c>
      <c r="E46" s="3" t="s">
        <v>107</v>
      </c>
      <c r="F46" s="3" t="s">
        <v>76</v>
      </c>
      <c r="G46" s="3" t="s">
        <v>23</v>
      </c>
      <c r="H46" s="3" t="s">
        <v>15</v>
      </c>
      <c r="I46" s="3" t="s">
        <v>16</v>
      </c>
      <c r="J46" s="18" t="s">
        <v>108</v>
      </c>
      <c r="K46" s="21">
        <v>-122.25</v>
      </c>
      <c r="L46" s="21">
        <v>36.626666666666665</v>
      </c>
      <c r="M46" s="3" t="s">
        <v>546</v>
      </c>
      <c r="N46" s="190"/>
    </row>
    <row r="47" spans="1:14" ht="15.75" x14ac:dyDescent="0.25">
      <c r="A47" s="18">
        <v>46</v>
      </c>
      <c r="B47" s="19">
        <v>29989</v>
      </c>
      <c r="C47" s="127">
        <v>0.45833333333333331</v>
      </c>
      <c r="D47" s="3" t="s">
        <v>42</v>
      </c>
      <c r="E47" s="3" t="s">
        <v>109</v>
      </c>
      <c r="F47" s="3" t="s">
        <v>60</v>
      </c>
      <c r="G47" s="3" t="s">
        <v>14</v>
      </c>
      <c r="H47" s="4">
        <v>40</v>
      </c>
      <c r="I47" s="3" t="s">
        <v>16</v>
      </c>
      <c r="J47" s="18" t="s">
        <v>110</v>
      </c>
      <c r="K47" s="21">
        <v>-123.30500000000001</v>
      </c>
      <c r="L47" s="21">
        <v>38.543333333333337</v>
      </c>
      <c r="M47" s="3" t="s">
        <v>547</v>
      </c>
      <c r="N47" s="190"/>
    </row>
    <row r="48" spans="1:14" ht="15.75" x14ac:dyDescent="0.25">
      <c r="A48" s="18">
        <v>47</v>
      </c>
      <c r="B48" s="19">
        <v>30156</v>
      </c>
      <c r="C48" s="127">
        <v>0.45833333333333331</v>
      </c>
      <c r="D48" s="3" t="s">
        <v>28</v>
      </c>
      <c r="E48" s="3" t="s">
        <v>111</v>
      </c>
      <c r="F48" s="3" t="s">
        <v>112</v>
      </c>
      <c r="G48" s="3" t="s">
        <v>44</v>
      </c>
      <c r="H48" s="3" t="s">
        <v>15</v>
      </c>
      <c r="I48" s="3" t="s">
        <v>16</v>
      </c>
      <c r="J48" s="18" t="s">
        <v>113</v>
      </c>
      <c r="K48" s="21">
        <v>-120.90666666666667</v>
      </c>
      <c r="L48" s="21">
        <v>35.236666666666665</v>
      </c>
      <c r="M48" s="3" t="s">
        <v>548</v>
      </c>
      <c r="N48" s="190"/>
    </row>
    <row r="49" spans="1:14" ht="15.75" x14ac:dyDescent="0.25">
      <c r="A49" s="18">
        <v>48</v>
      </c>
      <c r="B49" s="19">
        <v>30213</v>
      </c>
      <c r="C49" s="127" t="s">
        <v>102</v>
      </c>
      <c r="D49" s="3" t="s">
        <v>78</v>
      </c>
      <c r="E49" s="3" t="s">
        <v>114</v>
      </c>
      <c r="F49" s="3" t="s">
        <v>26</v>
      </c>
      <c r="G49" s="3" t="s">
        <v>14</v>
      </c>
      <c r="H49" s="4">
        <v>12</v>
      </c>
      <c r="I49" s="3" t="s">
        <v>16</v>
      </c>
      <c r="J49" s="18" t="s">
        <v>115</v>
      </c>
      <c r="K49" s="21">
        <v>-123.93333333333334</v>
      </c>
      <c r="L49" s="21">
        <v>39.93333333333333</v>
      </c>
      <c r="M49" s="3" t="s">
        <v>684</v>
      </c>
      <c r="N49" s="190"/>
    </row>
    <row r="50" spans="1:14" ht="15.75" x14ac:dyDescent="0.25">
      <c r="A50" s="18">
        <v>49</v>
      </c>
      <c r="B50" s="19">
        <v>30219</v>
      </c>
      <c r="C50" s="127">
        <v>0.33333333333333331</v>
      </c>
      <c r="D50" s="3" t="s">
        <v>22</v>
      </c>
      <c r="E50" s="3" t="s">
        <v>657</v>
      </c>
      <c r="F50" s="3" t="s">
        <v>60</v>
      </c>
      <c r="G50" s="3" t="s">
        <v>19</v>
      </c>
      <c r="H50" s="4">
        <v>40</v>
      </c>
      <c r="I50" s="3" t="s">
        <v>16</v>
      </c>
      <c r="J50" s="23" t="s">
        <v>117</v>
      </c>
      <c r="K50" s="21">
        <v>-121.92666666666666</v>
      </c>
      <c r="L50" s="21">
        <v>36.526666666666664</v>
      </c>
      <c r="M50" s="18" t="s">
        <v>550</v>
      </c>
      <c r="N50" s="190"/>
    </row>
    <row r="51" spans="1:14" ht="15.75" x14ac:dyDescent="0.25">
      <c r="A51" s="18">
        <v>50</v>
      </c>
      <c r="B51" s="19">
        <v>30940</v>
      </c>
      <c r="C51" s="127">
        <v>0.35416666666666669</v>
      </c>
      <c r="D51" s="3" t="s">
        <v>66</v>
      </c>
      <c r="E51" s="3" t="s">
        <v>431</v>
      </c>
      <c r="F51" s="3" t="s">
        <v>26</v>
      </c>
      <c r="G51" s="3" t="s">
        <v>23</v>
      </c>
      <c r="H51" s="3" t="s">
        <v>15</v>
      </c>
      <c r="I51" s="3" t="s">
        <v>16</v>
      </c>
      <c r="J51" s="18" t="s">
        <v>118</v>
      </c>
      <c r="K51" s="21">
        <v>-122.50833333333333</v>
      </c>
      <c r="L51" s="21">
        <v>37.19166666666667</v>
      </c>
      <c r="M51" s="3" t="s">
        <v>551</v>
      </c>
      <c r="N51" s="190"/>
    </row>
    <row r="52" spans="1:14" ht="15.75" x14ac:dyDescent="0.25">
      <c r="A52" s="89">
        <v>51</v>
      </c>
      <c r="B52" s="80">
        <v>30942</v>
      </c>
      <c r="C52" s="129">
        <v>0.64583333333333337</v>
      </c>
      <c r="D52" s="81" t="s">
        <v>11</v>
      </c>
      <c r="E52" s="81" t="s">
        <v>119</v>
      </c>
      <c r="F52" s="81" t="s">
        <v>13</v>
      </c>
      <c r="G52" s="81" t="s">
        <v>19</v>
      </c>
      <c r="H52" s="81" t="s">
        <v>15</v>
      </c>
      <c r="I52" s="81" t="s">
        <v>48</v>
      </c>
      <c r="J52" s="87" t="s">
        <v>120</v>
      </c>
      <c r="K52" s="21">
        <v>-117.25666666666666</v>
      </c>
      <c r="L52" s="21">
        <v>32.784999999999997</v>
      </c>
      <c r="M52" s="3" t="s">
        <v>549</v>
      </c>
      <c r="N52" s="190"/>
    </row>
    <row r="53" spans="1:14" ht="15.75" x14ac:dyDescent="0.25">
      <c r="A53" s="18">
        <v>52</v>
      </c>
      <c r="B53" s="19">
        <v>30955</v>
      </c>
      <c r="C53" s="127">
        <v>0.41666666666666669</v>
      </c>
      <c r="D53" s="3" t="s">
        <v>50</v>
      </c>
      <c r="E53" s="3" t="s">
        <v>429</v>
      </c>
      <c r="F53" s="3" t="s">
        <v>26</v>
      </c>
      <c r="G53" s="3" t="s">
        <v>14</v>
      </c>
      <c r="H53" s="4">
        <v>10</v>
      </c>
      <c r="I53" s="3" t="s">
        <v>16</v>
      </c>
      <c r="J53" s="18" t="s">
        <v>121</v>
      </c>
      <c r="K53" s="21">
        <v>-123.56499999999997</v>
      </c>
      <c r="L53" s="21">
        <v>38.181666666666665</v>
      </c>
      <c r="M53" s="3" t="s">
        <v>552</v>
      </c>
      <c r="N53" s="190"/>
    </row>
    <row r="54" spans="1:14" ht="15.75" x14ac:dyDescent="0.25">
      <c r="A54" s="18">
        <v>53</v>
      </c>
      <c r="B54" s="19">
        <v>31096</v>
      </c>
      <c r="C54" s="127" t="s">
        <v>102</v>
      </c>
      <c r="D54" s="3" t="s">
        <v>94</v>
      </c>
      <c r="E54" s="3" t="s">
        <v>95</v>
      </c>
      <c r="F54" s="3" t="s">
        <v>60</v>
      </c>
      <c r="G54" s="3" t="s">
        <v>19</v>
      </c>
      <c r="H54" s="3" t="s">
        <v>15</v>
      </c>
      <c r="I54" s="3" t="s">
        <v>16</v>
      </c>
      <c r="J54" s="18" t="s">
        <v>122</v>
      </c>
      <c r="K54" s="21">
        <v>-120.53666666666666</v>
      </c>
      <c r="L54" s="21">
        <v>34.04</v>
      </c>
      <c r="M54" s="3" t="s">
        <v>18</v>
      </c>
      <c r="N54" s="190"/>
    </row>
    <row r="55" spans="1:14" ht="15.75" x14ac:dyDescent="0.25">
      <c r="A55" s="89">
        <v>54</v>
      </c>
      <c r="B55" s="80">
        <v>31193</v>
      </c>
      <c r="C55" s="129">
        <v>0.45833333333333331</v>
      </c>
      <c r="D55" s="81" t="s">
        <v>123</v>
      </c>
      <c r="E55" s="81" t="s">
        <v>124</v>
      </c>
      <c r="F55" s="81" t="s">
        <v>76</v>
      </c>
      <c r="G55" s="81" t="s">
        <v>19</v>
      </c>
      <c r="H55" s="81" t="s">
        <v>15</v>
      </c>
      <c r="I55" s="81" t="s">
        <v>102</v>
      </c>
      <c r="J55" s="87" t="s">
        <v>125</v>
      </c>
      <c r="K55" s="21">
        <v>-118.1</v>
      </c>
      <c r="L55" s="21">
        <v>33.75</v>
      </c>
      <c r="M55" s="3" t="s">
        <v>18</v>
      </c>
      <c r="N55" s="190"/>
    </row>
    <row r="56" spans="1:14" ht="15.75" x14ac:dyDescent="0.25">
      <c r="A56" s="18">
        <v>55</v>
      </c>
      <c r="B56" s="19">
        <v>31318</v>
      </c>
      <c r="C56" s="127" t="s">
        <v>102</v>
      </c>
      <c r="D56" s="3" t="s">
        <v>50</v>
      </c>
      <c r="E56" s="3" t="s">
        <v>433</v>
      </c>
      <c r="F56" s="3" t="s">
        <v>26</v>
      </c>
      <c r="G56" s="3" t="s">
        <v>44</v>
      </c>
      <c r="H56" s="4">
        <v>14</v>
      </c>
      <c r="I56" s="3" t="s">
        <v>16</v>
      </c>
      <c r="J56" s="18" t="s">
        <v>126</v>
      </c>
      <c r="K56" s="21">
        <v>-123.66499999999996</v>
      </c>
      <c r="L56" s="21">
        <v>38.181666666666665</v>
      </c>
      <c r="M56" s="3" t="s">
        <v>18</v>
      </c>
      <c r="N56" s="190"/>
    </row>
    <row r="57" spans="1:14" ht="15.75" x14ac:dyDescent="0.25">
      <c r="A57" s="89">
        <v>56</v>
      </c>
      <c r="B57" s="80">
        <v>31342</v>
      </c>
      <c r="C57" s="129">
        <v>0.66666666666666663</v>
      </c>
      <c r="D57" s="81" t="s">
        <v>69</v>
      </c>
      <c r="E57" s="81" t="s">
        <v>89</v>
      </c>
      <c r="F57" s="81" t="s">
        <v>71</v>
      </c>
      <c r="G57" s="81" t="s">
        <v>19</v>
      </c>
      <c r="H57" s="85">
        <v>15</v>
      </c>
      <c r="I57" s="85" t="s">
        <v>102</v>
      </c>
      <c r="J57" s="81" t="s">
        <v>127</v>
      </c>
      <c r="K57" s="21">
        <v>-120.675</v>
      </c>
      <c r="L57" s="21">
        <v>34.450000000000003</v>
      </c>
      <c r="M57" s="18" t="s">
        <v>128</v>
      </c>
      <c r="N57" s="190"/>
    </row>
    <row r="58" spans="1:14" ht="15.75" x14ac:dyDescent="0.25">
      <c r="A58" s="18">
        <v>57</v>
      </c>
      <c r="B58" s="19">
        <v>31752</v>
      </c>
      <c r="C58" s="127">
        <v>0.375</v>
      </c>
      <c r="D58" s="3" t="s">
        <v>22</v>
      </c>
      <c r="E58" s="3" t="s">
        <v>657</v>
      </c>
      <c r="F58" s="3" t="s">
        <v>26</v>
      </c>
      <c r="G58" s="3" t="s">
        <v>14</v>
      </c>
      <c r="H58" s="3">
        <v>38</v>
      </c>
      <c r="I58" s="3" t="s">
        <v>16</v>
      </c>
      <c r="J58" s="18" t="s">
        <v>129</v>
      </c>
      <c r="K58" s="21">
        <v>-122.12666666666701</v>
      </c>
      <c r="L58" s="21">
        <v>36.526666666666664</v>
      </c>
      <c r="M58" s="3" t="s">
        <v>553</v>
      </c>
      <c r="N58" s="190"/>
    </row>
    <row r="59" spans="1:14" ht="15.75" x14ac:dyDescent="0.25">
      <c r="A59" s="18">
        <v>58</v>
      </c>
      <c r="B59" s="19">
        <v>32004</v>
      </c>
      <c r="C59" s="127">
        <v>0.3125</v>
      </c>
      <c r="D59" s="3" t="s">
        <v>66</v>
      </c>
      <c r="E59" s="3" t="s">
        <v>130</v>
      </c>
      <c r="F59" s="3" t="s">
        <v>76</v>
      </c>
      <c r="G59" s="3" t="s">
        <v>19</v>
      </c>
      <c r="H59" s="3" t="s">
        <v>15</v>
      </c>
      <c r="I59" s="3" t="s">
        <v>16</v>
      </c>
      <c r="J59" s="18" t="s">
        <v>131</v>
      </c>
      <c r="K59" s="21">
        <v>-122.499</v>
      </c>
      <c r="L59" s="21">
        <v>37.491999999999997</v>
      </c>
      <c r="M59" s="3" t="s">
        <v>554</v>
      </c>
      <c r="N59" s="190"/>
    </row>
    <row r="60" spans="1:14" ht="15.75" x14ac:dyDescent="0.25">
      <c r="A60" s="18">
        <v>59</v>
      </c>
      <c r="B60" s="19">
        <v>32076</v>
      </c>
      <c r="C60" s="127">
        <v>0.70833333333333337</v>
      </c>
      <c r="D60" s="3" t="s">
        <v>52</v>
      </c>
      <c r="E60" s="3" t="s">
        <v>132</v>
      </c>
      <c r="F60" s="3" t="s">
        <v>76</v>
      </c>
      <c r="G60" s="3" t="s">
        <v>19</v>
      </c>
      <c r="H60" s="3" t="s">
        <v>15</v>
      </c>
      <c r="I60" s="3" t="s">
        <v>16</v>
      </c>
      <c r="J60" s="3" t="s">
        <v>133</v>
      </c>
      <c r="K60" s="21">
        <v>-122.25333333333333</v>
      </c>
      <c r="L60" s="21">
        <v>37.049999999999997</v>
      </c>
      <c r="M60" s="18" t="s">
        <v>683</v>
      </c>
      <c r="N60" s="190"/>
    </row>
    <row r="61" spans="1:14" ht="15.75" x14ac:dyDescent="0.25">
      <c r="A61" s="18">
        <v>60</v>
      </c>
      <c r="B61" s="19">
        <v>32257</v>
      </c>
      <c r="C61" s="127" t="s">
        <v>102</v>
      </c>
      <c r="D61" s="3" t="s">
        <v>28</v>
      </c>
      <c r="E61" s="3" t="s">
        <v>134</v>
      </c>
      <c r="F61" s="3" t="s">
        <v>76</v>
      </c>
      <c r="G61" s="3" t="s">
        <v>44</v>
      </c>
      <c r="H61" s="3" t="s">
        <v>15</v>
      </c>
      <c r="I61" s="3" t="s">
        <v>16</v>
      </c>
      <c r="J61" s="18" t="s">
        <v>135</v>
      </c>
      <c r="K61" s="21">
        <v>-120.97499999999999</v>
      </c>
      <c r="L61" s="21">
        <v>35.403333333333336</v>
      </c>
      <c r="M61" s="3" t="s">
        <v>18</v>
      </c>
      <c r="N61" s="190"/>
    </row>
    <row r="62" spans="1:14" ht="15.75" x14ac:dyDescent="0.25">
      <c r="A62" s="18">
        <v>61</v>
      </c>
      <c r="B62" s="19">
        <v>32366</v>
      </c>
      <c r="C62" s="127">
        <v>0.375</v>
      </c>
      <c r="D62" s="3" t="s">
        <v>136</v>
      </c>
      <c r="E62" s="3" t="s">
        <v>137</v>
      </c>
      <c r="F62" s="3" t="s">
        <v>76</v>
      </c>
      <c r="G62" s="3" t="s">
        <v>19</v>
      </c>
      <c r="H62" s="3" t="s">
        <v>15</v>
      </c>
      <c r="I62" s="3" t="s">
        <v>16</v>
      </c>
      <c r="J62" s="18" t="s">
        <v>138</v>
      </c>
      <c r="K62" s="21">
        <v>-124.08833333333334</v>
      </c>
      <c r="L62" s="21">
        <v>41.561666666666667</v>
      </c>
      <c r="M62" s="3" t="s">
        <v>554</v>
      </c>
      <c r="N62" s="190"/>
    </row>
    <row r="63" spans="1:14" ht="15.75" x14ac:dyDescent="0.25">
      <c r="A63" s="18">
        <v>62</v>
      </c>
      <c r="B63" s="19">
        <v>32534</v>
      </c>
      <c r="C63" s="127">
        <v>0.42708333333333331</v>
      </c>
      <c r="D63" s="3" t="s">
        <v>46</v>
      </c>
      <c r="E63" s="3" t="s">
        <v>139</v>
      </c>
      <c r="F63" s="3" t="s">
        <v>140</v>
      </c>
      <c r="G63" s="3" t="s">
        <v>23</v>
      </c>
      <c r="H63" s="3" t="s">
        <v>15</v>
      </c>
      <c r="I63" s="3" t="s">
        <v>16</v>
      </c>
      <c r="J63" s="18" t="s">
        <v>141</v>
      </c>
      <c r="K63" s="21">
        <v>-118.88333333333333</v>
      </c>
      <c r="L63" s="21">
        <v>34.018333333333331</v>
      </c>
      <c r="M63" s="3" t="s">
        <v>554</v>
      </c>
      <c r="N63" s="190"/>
    </row>
    <row r="64" spans="1:14" ht="15.75" x14ac:dyDescent="0.25">
      <c r="A64" s="114" t="s">
        <v>465</v>
      </c>
      <c r="B64" s="135">
        <v>32755</v>
      </c>
      <c r="C64" s="136">
        <v>0.45833333333333331</v>
      </c>
      <c r="D64" s="117" t="s">
        <v>672</v>
      </c>
      <c r="E64" s="117" t="s">
        <v>673</v>
      </c>
      <c r="F64" s="117" t="s">
        <v>60</v>
      </c>
      <c r="G64" s="117" t="s">
        <v>533</v>
      </c>
      <c r="H64" s="117" t="s">
        <v>674</v>
      </c>
      <c r="I64" s="117" t="s">
        <v>675</v>
      </c>
      <c r="J64" s="114" t="s">
        <v>676</v>
      </c>
      <c r="K64" s="137"/>
      <c r="L64" s="137"/>
      <c r="M64" s="117" t="s">
        <v>677</v>
      </c>
      <c r="N64" s="191"/>
    </row>
    <row r="65" spans="1:14" ht="15.75" x14ac:dyDescent="0.25">
      <c r="A65" s="18">
        <v>63</v>
      </c>
      <c r="B65" s="19">
        <v>32760</v>
      </c>
      <c r="C65" s="127">
        <v>0.5</v>
      </c>
      <c r="D65" s="3" t="s">
        <v>58</v>
      </c>
      <c r="E65" s="3" t="s">
        <v>59</v>
      </c>
      <c r="F65" s="3" t="s">
        <v>71</v>
      </c>
      <c r="G65" s="3" t="s">
        <v>14</v>
      </c>
      <c r="H65" s="4">
        <v>25</v>
      </c>
      <c r="I65" s="3" t="s">
        <v>16</v>
      </c>
      <c r="J65" s="18" t="s">
        <v>142</v>
      </c>
      <c r="K65" s="21">
        <v>-123.53166666666664</v>
      </c>
      <c r="L65" s="21">
        <v>37.72</v>
      </c>
      <c r="M65" s="3" t="s">
        <v>554</v>
      </c>
      <c r="N65" s="190"/>
    </row>
    <row r="66" spans="1:14" ht="15.75" x14ac:dyDescent="0.25">
      <c r="A66" s="18">
        <v>64</v>
      </c>
      <c r="B66" s="19">
        <v>32885</v>
      </c>
      <c r="C66" s="127" t="s">
        <v>102</v>
      </c>
      <c r="D66" s="3" t="s">
        <v>66</v>
      </c>
      <c r="E66" s="3" t="s">
        <v>143</v>
      </c>
      <c r="F66" s="3" t="s">
        <v>76</v>
      </c>
      <c r="G66" s="3" t="s">
        <v>44</v>
      </c>
      <c r="H66" s="3" t="s">
        <v>15</v>
      </c>
      <c r="I66" s="3" t="s">
        <v>16</v>
      </c>
      <c r="J66" s="18" t="s">
        <v>144</v>
      </c>
      <c r="K66" s="21">
        <v>-122.51833333333333</v>
      </c>
      <c r="L66" s="21">
        <v>37.55833333333333</v>
      </c>
      <c r="M66" s="3" t="s">
        <v>680</v>
      </c>
      <c r="N66" s="190"/>
    </row>
    <row r="67" spans="1:14" ht="15.75" x14ac:dyDescent="0.25">
      <c r="A67" s="18">
        <v>65</v>
      </c>
      <c r="B67" s="19">
        <v>33113</v>
      </c>
      <c r="C67" s="127">
        <v>0.70833333333333337</v>
      </c>
      <c r="D67" s="3" t="s">
        <v>97</v>
      </c>
      <c r="E67" s="3" t="s">
        <v>145</v>
      </c>
      <c r="F67" s="3" t="s">
        <v>76</v>
      </c>
      <c r="G67" s="3" t="s">
        <v>19</v>
      </c>
      <c r="H67" s="3" t="s">
        <v>15</v>
      </c>
      <c r="I67" s="3" t="s">
        <v>16</v>
      </c>
      <c r="J67" s="18" t="s">
        <v>146</v>
      </c>
      <c r="K67" s="21">
        <v>-124.15</v>
      </c>
      <c r="L67" s="21">
        <v>41.05833333333333</v>
      </c>
      <c r="M67" s="3" t="s">
        <v>681</v>
      </c>
      <c r="N67" s="190"/>
    </row>
    <row r="68" spans="1:14" ht="15.75" x14ac:dyDescent="0.25">
      <c r="A68" s="18">
        <v>66</v>
      </c>
      <c r="B68" s="19">
        <v>33121</v>
      </c>
      <c r="C68" s="127">
        <v>0.70833333333333337</v>
      </c>
      <c r="D68" s="3" t="s">
        <v>97</v>
      </c>
      <c r="E68" s="3" t="s">
        <v>147</v>
      </c>
      <c r="F68" s="3" t="s">
        <v>140</v>
      </c>
      <c r="G68" s="3" t="s">
        <v>44</v>
      </c>
      <c r="H68" s="3" t="s">
        <v>15</v>
      </c>
      <c r="I68" s="3" t="s">
        <v>16</v>
      </c>
      <c r="J68" s="18" t="s">
        <v>148</v>
      </c>
      <c r="K68" s="21">
        <v>-124.25</v>
      </c>
      <c r="L68" s="21">
        <v>41.05833333333333</v>
      </c>
      <c r="M68" s="3" t="s">
        <v>682</v>
      </c>
      <c r="N68" s="190"/>
    </row>
    <row r="69" spans="1:14" ht="15.75" x14ac:dyDescent="0.25">
      <c r="A69" s="18">
        <v>67</v>
      </c>
      <c r="B69" s="19">
        <v>33124</v>
      </c>
      <c r="C69" s="127">
        <v>0.54166666666666663</v>
      </c>
      <c r="D69" s="3" t="s">
        <v>42</v>
      </c>
      <c r="E69" s="3" t="s">
        <v>149</v>
      </c>
      <c r="F69" s="3" t="s">
        <v>26</v>
      </c>
      <c r="G69" s="3" t="s">
        <v>14</v>
      </c>
      <c r="H69" s="3" t="s">
        <v>15</v>
      </c>
      <c r="I69" s="3" t="s">
        <v>16</v>
      </c>
      <c r="J69" s="18" t="s">
        <v>150</v>
      </c>
      <c r="K69" s="21">
        <v>-123.175</v>
      </c>
      <c r="L69" s="21">
        <v>38.475000000000001</v>
      </c>
      <c r="M69" s="3" t="s">
        <v>554</v>
      </c>
      <c r="N69" s="190"/>
    </row>
    <row r="70" spans="1:14" ht="15.75" x14ac:dyDescent="0.25">
      <c r="A70" s="18">
        <v>68</v>
      </c>
      <c r="B70" s="19">
        <v>33180</v>
      </c>
      <c r="C70" s="127">
        <v>0.625</v>
      </c>
      <c r="D70" s="3" t="s">
        <v>22</v>
      </c>
      <c r="E70" s="3" t="s">
        <v>657</v>
      </c>
      <c r="F70" s="3" t="s">
        <v>60</v>
      </c>
      <c r="G70" s="3" t="s">
        <v>14</v>
      </c>
      <c r="H70" s="3" t="s">
        <v>15</v>
      </c>
      <c r="I70" s="3" t="s">
        <v>16</v>
      </c>
      <c r="J70" s="18" t="s">
        <v>151</v>
      </c>
      <c r="K70" s="21">
        <v>-122.226666666667</v>
      </c>
      <c r="L70" s="21">
        <v>36.526666666666664</v>
      </c>
      <c r="M70" s="3" t="s">
        <v>554</v>
      </c>
      <c r="N70" s="190"/>
    </row>
    <row r="71" spans="1:14" ht="15.75" x14ac:dyDescent="0.25">
      <c r="A71" s="18">
        <v>69</v>
      </c>
      <c r="B71" s="19">
        <v>33420</v>
      </c>
      <c r="C71" s="127">
        <v>0.39583333333333331</v>
      </c>
      <c r="D71" s="3" t="s">
        <v>52</v>
      </c>
      <c r="E71" s="3" t="s">
        <v>152</v>
      </c>
      <c r="F71" s="3" t="s">
        <v>76</v>
      </c>
      <c r="G71" s="3" t="s">
        <v>14</v>
      </c>
      <c r="H71" s="3" t="s">
        <v>15</v>
      </c>
      <c r="I71" s="3" t="s">
        <v>16</v>
      </c>
      <c r="J71" s="18" t="s">
        <v>153</v>
      </c>
      <c r="K71" s="21">
        <v>-122.35333333333332</v>
      </c>
      <c r="L71" s="21">
        <v>37.049999999999997</v>
      </c>
      <c r="M71" s="3" t="s">
        <v>555</v>
      </c>
      <c r="N71" s="190"/>
    </row>
    <row r="72" spans="1:14" ht="15.75" x14ac:dyDescent="0.25">
      <c r="A72" s="18">
        <v>70</v>
      </c>
      <c r="B72" s="19">
        <v>33516</v>
      </c>
      <c r="C72" s="127">
        <v>0.3125</v>
      </c>
      <c r="D72" s="3" t="s">
        <v>52</v>
      </c>
      <c r="E72" s="3" t="s">
        <v>154</v>
      </c>
      <c r="F72" s="3" t="s">
        <v>76</v>
      </c>
      <c r="G72" s="3" t="s">
        <v>14</v>
      </c>
      <c r="H72" s="3" t="s">
        <v>15</v>
      </c>
      <c r="I72" s="3" t="s">
        <v>16</v>
      </c>
      <c r="J72" s="18" t="s">
        <v>155</v>
      </c>
      <c r="K72" s="21">
        <v>-122.45333333333332</v>
      </c>
      <c r="L72" s="21">
        <v>37.049999999999997</v>
      </c>
      <c r="M72" s="3" t="s">
        <v>556</v>
      </c>
      <c r="N72" s="190"/>
    </row>
    <row r="73" spans="1:14" ht="15.75" x14ac:dyDescent="0.25">
      <c r="A73" s="18">
        <v>71</v>
      </c>
      <c r="B73" s="19">
        <v>33520</v>
      </c>
      <c r="C73" s="127" t="s">
        <v>102</v>
      </c>
      <c r="D73" s="3" t="s">
        <v>50</v>
      </c>
      <c r="E73" s="3" t="s">
        <v>156</v>
      </c>
      <c r="F73" s="3" t="s">
        <v>71</v>
      </c>
      <c r="G73" s="3" t="s">
        <v>44</v>
      </c>
      <c r="H73" s="3">
        <v>25</v>
      </c>
      <c r="I73" s="3" t="s">
        <v>16</v>
      </c>
      <c r="J73" s="18" t="s">
        <v>157</v>
      </c>
      <c r="K73" s="21">
        <v>-122.99694</v>
      </c>
      <c r="L73" s="21">
        <v>37.982999999999997</v>
      </c>
      <c r="M73" s="3" t="s">
        <v>158</v>
      </c>
      <c r="N73" s="190"/>
    </row>
    <row r="74" spans="1:14" ht="15.75" x14ac:dyDescent="0.25">
      <c r="A74" s="18">
        <v>72</v>
      </c>
      <c r="B74" s="19">
        <v>33576</v>
      </c>
      <c r="C74" s="127">
        <v>0.625</v>
      </c>
      <c r="D74" s="3" t="s">
        <v>97</v>
      </c>
      <c r="E74" s="3" t="s">
        <v>159</v>
      </c>
      <c r="F74" s="3" t="s">
        <v>71</v>
      </c>
      <c r="G74" s="3" t="s">
        <v>44</v>
      </c>
      <c r="H74" s="3" t="s">
        <v>15</v>
      </c>
      <c r="I74" s="3" t="s">
        <v>16</v>
      </c>
      <c r="J74" s="18" t="s">
        <v>160</v>
      </c>
      <c r="K74" s="21">
        <v>-124.08333333333333</v>
      </c>
      <c r="L74" s="21">
        <v>40.028333333333336</v>
      </c>
      <c r="M74" s="3" t="s">
        <v>680</v>
      </c>
      <c r="N74" s="190"/>
    </row>
    <row r="75" spans="1:14" ht="15.75" x14ac:dyDescent="0.25">
      <c r="A75" s="18">
        <v>73</v>
      </c>
      <c r="B75" s="19">
        <v>33834</v>
      </c>
      <c r="C75" s="127">
        <v>0.84375</v>
      </c>
      <c r="D75" s="3" t="s">
        <v>136</v>
      </c>
      <c r="E75" s="3" t="s">
        <v>137</v>
      </c>
      <c r="F75" s="3" t="s">
        <v>76</v>
      </c>
      <c r="G75" s="3" t="s">
        <v>44</v>
      </c>
      <c r="H75" s="3" t="s">
        <v>15</v>
      </c>
      <c r="I75" s="3" t="s">
        <v>16</v>
      </c>
      <c r="J75" s="3" t="s">
        <v>161</v>
      </c>
      <c r="K75" s="21">
        <v>-124.18833333333333</v>
      </c>
      <c r="L75" s="21">
        <v>41.561666666666667</v>
      </c>
      <c r="M75" s="18" t="s">
        <v>557</v>
      </c>
      <c r="N75" s="190"/>
    </row>
    <row r="76" spans="1:14" ht="15.75" x14ac:dyDescent="0.25">
      <c r="A76" s="18">
        <v>74</v>
      </c>
      <c r="B76" s="19">
        <v>33906</v>
      </c>
      <c r="C76" s="127">
        <v>0.45833333333333331</v>
      </c>
      <c r="D76" s="3" t="s">
        <v>94</v>
      </c>
      <c r="E76" s="3" t="s">
        <v>658</v>
      </c>
      <c r="F76" s="3" t="s">
        <v>71</v>
      </c>
      <c r="G76" s="3" t="s">
        <v>19</v>
      </c>
      <c r="H76" s="4">
        <v>47</v>
      </c>
      <c r="I76" s="3" t="s">
        <v>16</v>
      </c>
      <c r="J76" s="18" t="s">
        <v>162</v>
      </c>
      <c r="K76" s="21">
        <v>-120.63666666666666</v>
      </c>
      <c r="L76" s="21">
        <v>34.04</v>
      </c>
      <c r="M76" s="3" t="s">
        <v>558</v>
      </c>
      <c r="N76" s="190"/>
    </row>
    <row r="77" spans="1:14" ht="15.75" x14ac:dyDescent="0.25">
      <c r="A77" s="89">
        <v>75</v>
      </c>
      <c r="B77" s="80">
        <v>33919</v>
      </c>
      <c r="C77" s="129">
        <v>0.58333333333333337</v>
      </c>
      <c r="D77" s="81" t="s">
        <v>163</v>
      </c>
      <c r="E77" s="81" t="s">
        <v>164</v>
      </c>
      <c r="F77" s="81" t="s">
        <v>60</v>
      </c>
      <c r="G77" s="81" t="s">
        <v>19</v>
      </c>
      <c r="H77" s="85">
        <v>72</v>
      </c>
      <c r="I77" s="85" t="s">
        <v>102</v>
      </c>
      <c r="J77" s="81" t="s">
        <v>165</v>
      </c>
      <c r="K77" s="21">
        <v>-119.53833333333333</v>
      </c>
      <c r="L77" s="21">
        <v>33.226666666666667</v>
      </c>
      <c r="M77" s="18" t="s">
        <v>128</v>
      </c>
      <c r="N77" s="190"/>
    </row>
    <row r="78" spans="1:14" ht="15.75" x14ac:dyDescent="0.25">
      <c r="A78" s="18">
        <v>76</v>
      </c>
      <c r="B78" s="19">
        <v>33922</v>
      </c>
      <c r="C78" s="127">
        <v>0.54166666666666663</v>
      </c>
      <c r="D78" s="3" t="s">
        <v>66</v>
      </c>
      <c r="E78" s="3" t="s">
        <v>166</v>
      </c>
      <c r="F78" s="3" t="s">
        <v>140</v>
      </c>
      <c r="G78" s="3" t="s">
        <v>44</v>
      </c>
      <c r="H78" s="3" t="s">
        <v>15</v>
      </c>
      <c r="I78" s="3" t="s">
        <v>16</v>
      </c>
      <c r="J78" s="18" t="s">
        <v>167</v>
      </c>
      <c r="K78" s="21">
        <v>-122.44333333333333</v>
      </c>
      <c r="L78" s="21">
        <v>37.108333333333334</v>
      </c>
      <c r="M78" s="3" t="s">
        <v>554</v>
      </c>
      <c r="N78" s="190"/>
    </row>
    <row r="79" spans="1:14" ht="15.75" x14ac:dyDescent="0.25">
      <c r="A79" s="89">
        <v>77</v>
      </c>
      <c r="B79" s="80">
        <v>33937</v>
      </c>
      <c r="C79" s="129">
        <v>0.64583333333333337</v>
      </c>
      <c r="D79" s="81" t="s">
        <v>11</v>
      </c>
      <c r="E79" s="81" t="s">
        <v>168</v>
      </c>
      <c r="F79" s="81" t="s">
        <v>26</v>
      </c>
      <c r="G79" s="81" t="s">
        <v>19</v>
      </c>
      <c r="H79" s="81" t="s">
        <v>15</v>
      </c>
      <c r="I79" s="81" t="s">
        <v>102</v>
      </c>
      <c r="J79" s="87" t="s">
        <v>169</v>
      </c>
      <c r="K79" s="21">
        <v>-117.6</v>
      </c>
      <c r="L79" s="21">
        <v>33.369999999999997</v>
      </c>
      <c r="M79" s="3" t="s">
        <v>559</v>
      </c>
      <c r="N79" s="190"/>
    </row>
    <row r="80" spans="1:14" ht="15.75" x14ac:dyDescent="0.25">
      <c r="A80" s="18">
        <v>78</v>
      </c>
      <c r="B80" s="19">
        <v>34040</v>
      </c>
      <c r="C80" s="127">
        <v>0.60416666666666663</v>
      </c>
      <c r="D80" s="3" t="s">
        <v>66</v>
      </c>
      <c r="E80" s="3" t="s">
        <v>434</v>
      </c>
      <c r="F80" s="3" t="s">
        <v>26</v>
      </c>
      <c r="G80" s="3" t="s">
        <v>44</v>
      </c>
      <c r="H80" s="4">
        <v>15</v>
      </c>
      <c r="I80" s="3" t="s">
        <v>16</v>
      </c>
      <c r="J80" s="18" t="s">
        <v>171</v>
      </c>
      <c r="K80" s="21">
        <v>-122.517</v>
      </c>
      <c r="L80" s="21">
        <v>37.596666666666664</v>
      </c>
      <c r="M80" s="3" t="s">
        <v>560</v>
      </c>
      <c r="N80" s="190"/>
    </row>
    <row r="81" spans="1:14" ht="15.75" x14ac:dyDescent="0.25">
      <c r="A81" s="18">
        <v>79</v>
      </c>
      <c r="B81" s="19">
        <v>34193</v>
      </c>
      <c r="C81" s="127">
        <v>0.58333333333333337</v>
      </c>
      <c r="D81" s="3" t="s">
        <v>78</v>
      </c>
      <c r="E81" s="3" t="s">
        <v>438</v>
      </c>
      <c r="F81" s="3" t="s">
        <v>26</v>
      </c>
      <c r="G81" s="3" t="s">
        <v>14</v>
      </c>
      <c r="H81" s="3">
        <v>5</v>
      </c>
      <c r="I81" s="3" t="s">
        <v>16</v>
      </c>
      <c r="J81" s="18" t="s">
        <v>172</v>
      </c>
      <c r="K81" s="21">
        <v>-123.785</v>
      </c>
      <c r="L81" s="21">
        <v>39.666666666666664</v>
      </c>
      <c r="M81" s="3" t="s">
        <v>554</v>
      </c>
      <c r="N81" s="190"/>
    </row>
    <row r="82" spans="1:14" ht="15.75" x14ac:dyDescent="0.25">
      <c r="A82" s="18">
        <v>80</v>
      </c>
      <c r="B82" s="19">
        <v>34252</v>
      </c>
      <c r="C82" s="127">
        <v>0.60416666666666663</v>
      </c>
      <c r="D82" s="3" t="s">
        <v>42</v>
      </c>
      <c r="E82" s="3" t="s">
        <v>173</v>
      </c>
      <c r="F82" s="3" t="s">
        <v>140</v>
      </c>
      <c r="G82" s="3" t="s">
        <v>44</v>
      </c>
      <c r="H82" s="3" t="s">
        <v>15</v>
      </c>
      <c r="I82" s="3" t="s">
        <v>16</v>
      </c>
      <c r="J82" s="18" t="s">
        <v>174</v>
      </c>
      <c r="K82" s="21">
        <v>-123.13333333333334</v>
      </c>
      <c r="L82" s="21">
        <v>38.436666666666667</v>
      </c>
      <c r="M82" s="3" t="s">
        <v>561</v>
      </c>
      <c r="N82" s="190"/>
    </row>
    <row r="83" spans="1:14" ht="15.75" x14ac:dyDescent="0.25">
      <c r="A83" s="18">
        <v>81</v>
      </c>
      <c r="B83" s="19">
        <v>34272</v>
      </c>
      <c r="C83" s="127">
        <v>0.6875</v>
      </c>
      <c r="D83" s="3" t="s">
        <v>97</v>
      </c>
      <c r="E83" s="3" t="s">
        <v>175</v>
      </c>
      <c r="F83" s="3" t="s">
        <v>76</v>
      </c>
      <c r="G83" s="3" t="s">
        <v>14</v>
      </c>
      <c r="H83" s="3" t="s">
        <v>15</v>
      </c>
      <c r="I83" s="3" t="s">
        <v>16</v>
      </c>
      <c r="J83" s="3" t="s">
        <v>176</v>
      </c>
      <c r="K83" s="21">
        <v>-124.22666666666667</v>
      </c>
      <c r="L83" s="21">
        <v>40.770000000000003</v>
      </c>
      <c r="M83" s="18" t="s">
        <v>128</v>
      </c>
      <c r="N83" s="190"/>
    </row>
    <row r="84" spans="1:14" ht="15.75" x14ac:dyDescent="0.25">
      <c r="A84" s="18">
        <v>82</v>
      </c>
      <c r="B84" s="19">
        <v>34677</v>
      </c>
      <c r="C84" s="127">
        <v>0.375</v>
      </c>
      <c r="D84" s="3" t="s">
        <v>94</v>
      </c>
      <c r="E84" s="3" t="s">
        <v>659</v>
      </c>
      <c r="F84" s="3" t="s">
        <v>71</v>
      </c>
      <c r="G84" s="3" t="s">
        <v>23</v>
      </c>
      <c r="H84" s="3" t="s">
        <v>177</v>
      </c>
      <c r="I84" s="3" t="s">
        <v>16</v>
      </c>
      <c r="J84" s="18" t="s">
        <v>178</v>
      </c>
      <c r="K84" s="21">
        <v>-120.73666666666665</v>
      </c>
      <c r="L84" s="21">
        <v>34.04</v>
      </c>
      <c r="M84" s="3" t="s">
        <v>554</v>
      </c>
      <c r="N84" s="190"/>
    </row>
    <row r="85" spans="1:14" ht="15.75" x14ac:dyDescent="0.25">
      <c r="A85" s="18">
        <v>83</v>
      </c>
      <c r="B85" s="19">
        <v>34874</v>
      </c>
      <c r="C85" s="127" t="s">
        <v>102</v>
      </c>
      <c r="D85" s="3" t="s">
        <v>11</v>
      </c>
      <c r="E85" s="3" t="s">
        <v>38</v>
      </c>
      <c r="F85" s="3" t="s">
        <v>140</v>
      </c>
      <c r="G85" s="3" t="s">
        <v>19</v>
      </c>
      <c r="H85" s="3" t="s">
        <v>15</v>
      </c>
      <c r="I85" s="3" t="s">
        <v>16</v>
      </c>
      <c r="J85" s="18" t="s">
        <v>179</v>
      </c>
      <c r="K85" s="21">
        <v>-117.48</v>
      </c>
      <c r="L85" s="21">
        <v>32.854999999999997</v>
      </c>
      <c r="M85" s="3" t="s">
        <v>562</v>
      </c>
      <c r="N85" s="190"/>
    </row>
    <row r="86" spans="1:14" ht="15.75" x14ac:dyDescent="0.25">
      <c r="A86" s="18">
        <v>84</v>
      </c>
      <c r="B86" s="19">
        <v>34880</v>
      </c>
      <c r="C86" s="127">
        <v>0.72916666666666663</v>
      </c>
      <c r="D86" s="3" t="s">
        <v>22</v>
      </c>
      <c r="E86" s="3" t="s">
        <v>439</v>
      </c>
      <c r="F86" s="3" t="s">
        <v>60</v>
      </c>
      <c r="G86" s="3" t="s">
        <v>14</v>
      </c>
      <c r="H86" s="4">
        <v>40</v>
      </c>
      <c r="I86" s="3" t="s">
        <v>16</v>
      </c>
      <c r="J86" s="18" t="s">
        <v>180</v>
      </c>
      <c r="K86" s="21">
        <v>-122.02666666666666</v>
      </c>
      <c r="L86" s="21">
        <v>36.526666666666664</v>
      </c>
      <c r="M86" s="3" t="s">
        <v>555</v>
      </c>
      <c r="N86" s="190"/>
    </row>
    <row r="87" spans="1:14" ht="15.75" x14ac:dyDescent="0.25">
      <c r="A87" s="18">
        <v>85</v>
      </c>
      <c r="B87" s="19">
        <v>34945</v>
      </c>
      <c r="C87" s="127">
        <v>0.66666666666666663</v>
      </c>
      <c r="D87" s="3" t="s">
        <v>97</v>
      </c>
      <c r="E87" s="3" t="s">
        <v>159</v>
      </c>
      <c r="F87" s="3" t="s">
        <v>26</v>
      </c>
      <c r="G87" s="3" t="s">
        <v>14</v>
      </c>
      <c r="H87" s="3" t="s">
        <v>15</v>
      </c>
      <c r="I87" s="3" t="s">
        <v>16</v>
      </c>
      <c r="J87" s="18" t="s">
        <v>181</v>
      </c>
      <c r="K87" s="21">
        <v>-124.18333333333332</v>
      </c>
      <c r="L87" s="21">
        <v>40.028333333333336</v>
      </c>
      <c r="M87" s="3" t="s">
        <v>555</v>
      </c>
      <c r="N87" s="190"/>
    </row>
    <row r="88" spans="1:14" ht="15.75" x14ac:dyDescent="0.25">
      <c r="A88" s="18">
        <v>86</v>
      </c>
      <c r="B88" s="19">
        <v>34970</v>
      </c>
      <c r="C88" s="127">
        <v>0.72916666666666663</v>
      </c>
      <c r="D88" s="3" t="s">
        <v>52</v>
      </c>
      <c r="E88" s="3" t="s">
        <v>182</v>
      </c>
      <c r="F88" s="3" t="s">
        <v>76</v>
      </c>
      <c r="G88" s="3" t="s">
        <v>19</v>
      </c>
      <c r="H88" s="3" t="s">
        <v>15</v>
      </c>
      <c r="I88" s="3" t="s">
        <v>16</v>
      </c>
      <c r="J88" s="18" t="s">
        <v>183</v>
      </c>
      <c r="K88" s="21">
        <v>-122.55333333333331</v>
      </c>
      <c r="L88" s="21">
        <v>37.049999999999997</v>
      </c>
      <c r="M88" s="3" t="s">
        <v>18</v>
      </c>
      <c r="N88" s="190"/>
    </row>
    <row r="89" spans="1:14" ht="15.75" x14ac:dyDescent="0.25">
      <c r="A89" s="18">
        <v>87</v>
      </c>
      <c r="B89" s="19">
        <v>35290</v>
      </c>
      <c r="C89" s="127">
        <v>0.46875</v>
      </c>
      <c r="D89" s="3" t="s">
        <v>50</v>
      </c>
      <c r="E89" s="3" t="s">
        <v>436</v>
      </c>
      <c r="F89" s="3" t="s">
        <v>26</v>
      </c>
      <c r="G89" s="3" t="s">
        <v>14</v>
      </c>
      <c r="H89" s="3">
        <v>18</v>
      </c>
      <c r="I89" s="3" t="s">
        <v>16</v>
      </c>
      <c r="J89" s="18" t="s">
        <v>184</v>
      </c>
      <c r="K89" s="21">
        <v>-123.76499999999996</v>
      </c>
      <c r="L89" s="21">
        <v>38.181666666666665</v>
      </c>
      <c r="M89" s="3" t="s">
        <v>555</v>
      </c>
      <c r="N89" s="190"/>
    </row>
    <row r="90" spans="1:14" ht="15.75" x14ac:dyDescent="0.25">
      <c r="A90" s="18">
        <v>88</v>
      </c>
      <c r="B90" s="19">
        <v>35341</v>
      </c>
      <c r="C90" s="127">
        <v>0.3125</v>
      </c>
      <c r="D90" s="3" t="s">
        <v>42</v>
      </c>
      <c r="E90" s="3" t="s">
        <v>56</v>
      </c>
      <c r="F90" s="3" t="s">
        <v>76</v>
      </c>
      <c r="G90" s="3" t="s">
        <v>44</v>
      </c>
      <c r="H90" s="3" t="s">
        <v>15</v>
      </c>
      <c r="I90" s="3" t="s">
        <v>16</v>
      </c>
      <c r="J90" s="3" t="s">
        <v>185</v>
      </c>
      <c r="K90" s="21">
        <v>-123.176666666667</v>
      </c>
      <c r="L90" s="21">
        <v>38.358333333333299</v>
      </c>
      <c r="M90" s="18" t="s">
        <v>563</v>
      </c>
      <c r="N90" s="190"/>
    </row>
    <row r="91" spans="1:14" ht="15.75" x14ac:dyDescent="0.25">
      <c r="A91" s="18">
        <v>89</v>
      </c>
      <c r="B91" s="19">
        <v>35343</v>
      </c>
      <c r="C91" s="127">
        <v>0.54166666666666663</v>
      </c>
      <c r="D91" s="3" t="s">
        <v>50</v>
      </c>
      <c r="E91" s="3" t="s">
        <v>186</v>
      </c>
      <c r="F91" s="3" t="s">
        <v>76</v>
      </c>
      <c r="G91" s="3" t="s">
        <v>14</v>
      </c>
      <c r="H91" s="3" t="s">
        <v>15</v>
      </c>
      <c r="I91" s="3" t="s">
        <v>16</v>
      </c>
      <c r="J91" s="18" t="s">
        <v>187</v>
      </c>
      <c r="K91" s="21">
        <v>-122.97166666666701</v>
      </c>
      <c r="L91" s="21">
        <v>38.25</v>
      </c>
      <c r="M91" s="3" t="s">
        <v>554</v>
      </c>
      <c r="N91" s="190"/>
    </row>
    <row r="92" spans="1:14" ht="15.75" x14ac:dyDescent="0.25">
      <c r="A92" s="18">
        <v>90</v>
      </c>
      <c r="B92" s="19">
        <v>35398</v>
      </c>
      <c r="C92" s="127">
        <v>0.35416666666666669</v>
      </c>
      <c r="D92" s="3" t="s">
        <v>42</v>
      </c>
      <c r="E92" s="3" t="s">
        <v>56</v>
      </c>
      <c r="F92" s="3" t="s">
        <v>76</v>
      </c>
      <c r="G92" s="3" t="s">
        <v>19</v>
      </c>
      <c r="H92" s="3" t="s">
        <v>15</v>
      </c>
      <c r="I92" s="3" t="s">
        <v>16</v>
      </c>
      <c r="J92" s="18" t="s">
        <v>189</v>
      </c>
      <c r="K92" s="21">
        <v>-123.276666666667</v>
      </c>
      <c r="L92" s="21">
        <v>38.358333333333299</v>
      </c>
      <c r="M92" s="3" t="s">
        <v>564</v>
      </c>
      <c r="N92" s="190"/>
    </row>
    <row r="93" spans="1:14" ht="15.75" x14ac:dyDescent="0.25">
      <c r="A93" s="18">
        <v>91</v>
      </c>
      <c r="B93" s="19">
        <v>35666</v>
      </c>
      <c r="C93" s="127" t="s">
        <v>102</v>
      </c>
      <c r="D93" s="3" t="s">
        <v>97</v>
      </c>
      <c r="E93" s="3" t="s">
        <v>98</v>
      </c>
      <c r="F93" s="3" t="s">
        <v>76</v>
      </c>
      <c r="G93" s="3" t="s">
        <v>14</v>
      </c>
      <c r="H93" s="3" t="s">
        <v>15</v>
      </c>
      <c r="I93" s="3" t="s">
        <v>16</v>
      </c>
      <c r="J93" s="18" t="s">
        <v>190</v>
      </c>
      <c r="K93" s="21">
        <v>-124.31166666666665</v>
      </c>
      <c r="L93" s="21">
        <v>41.024999999999999</v>
      </c>
      <c r="M93" s="3" t="s">
        <v>18</v>
      </c>
      <c r="N93" s="190"/>
    </row>
    <row r="94" spans="1:14" ht="15.75" x14ac:dyDescent="0.25">
      <c r="A94" s="18">
        <v>92</v>
      </c>
      <c r="B94" s="19">
        <v>36033</v>
      </c>
      <c r="C94" s="127">
        <v>0.59375</v>
      </c>
      <c r="D94" s="3" t="s">
        <v>50</v>
      </c>
      <c r="E94" s="3" t="s">
        <v>191</v>
      </c>
      <c r="F94" s="3" t="s">
        <v>76</v>
      </c>
      <c r="G94" s="3" t="s">
        <v>14</v>
      </c>
      <c r="H94" s="3" t="s">
        <v>15</v>
      </c>
      <c r="I94" s="3" t="s">
        <v>16</v>
      </c>
      <c r="J94" s="18" t="s">
        <v>192</v>
      </c>
      <c r="K94" s="21">
        <v>-122.645</v>
      </c>
      <c r="L94" s="21">
        <v>37.896666666666668</v>
      </c>
      <c r="M94" s="3" t="s">
        <v>565</v>
      </c>
      <c r="N94" s="190"/>
    </row>
    <row r="95" spans="1:14" ht="15.75" x14ac:dyDescent="0.25">
      <c r="A95" s="18">
        <v>93</v>
      </c>
      <c r="B95" s="19">
        <v>36479</v>
      </c>
      <c r="C95" s="127" t="s">
        <v>102</v>
      </c>
      <c r="D95" s="3" t="s">
        <v>52</v>
      </c>
      <c r="E95" s="3" t="s">
        <v>193</v>
      </c>
      <c r="F95" s="3" t="s">
        <v>76</v>
      </c>
      <c r="G95" s="3" t="s">
        <v>44</v>
      </c>
      <c r="H95" s="3" t="s">
        <v>15</v>
      </c>
      <c r="I95" s="3" t="s">
        <v>16</v>
      </c>
      <c r="J95" s="3" t="s">
        <v>194</v>
      </c>
      <c r="K95" s="21">
        <v>-122.28333000000001</v>
      </c>
      <c r="L95" s="21">
        <v>37.095829999999999</v>
      </c>
      <c r="M95" s="3" t="s">
        <v>566</v>
      </c>
      <c r="N95" s="190"/>
    </row>
    <row r="96" spans="1:14" ht="15.75" x14ac:dyDescent="0.25">
      <c r="A96" s="18">
        <v>94</v>
      </c>
      <c r="B96" s="19">
        <v>36798</v>
      </c>
      <c r="C96" s="127">
        <v>0.375</v>
      </c>
      <c r="D96" s="3" t="s">
        <v>66</v>
      </c>
      <c r="E96" s="3" t="s">
        <v>437</v>
      </c>
      <c r="F96" s="3" t="s">
        <v>76</v>
      </c>
      <c r="G96" s="3" t="s">
        <v>44</v>
      </c>
      <c r="H96" s="3" t="s">
        <v>15</v>
      </c>
      <c r="I96" s="3" t="s">
        <v>16</v>
      </c>
      <c r="J96" s="18" t="s">
        <v>196</v>
      </c>
      <c r="K96" s="21">
        <v>-122.59899999999999</v>
      </c>
      <c r="L96" s="21">
        <v>37.491999999999997</v>
      </c>
      <c r="M96" s="3" t="s">
        <v>567</v>
      </c>
      <c r="N96" s="190"/>
    </row>
    <row r="97" spans="1:14" ht="15.75" x14ac:dyDescent="0.25">
      <c r="A97" s="18">
        <v>95</v>
      </c>
      <c r="B97" s="19">
        <v>36834</v>
      </c>
      <c r="C97" s="127">
        <v>0.6875</v>
      </c>
      <c r="D97" s="3" t="s">
        <v>97</v>
      </c>
      <c r="E97" s="3" t="s">
        <v>175</v>
      </c>
      <c r="F97" s="3" t="s">
        <v>76</v>
      </c>
      <c r="G97" s="3" t="s">
        <v>14</v>
      </c>
      <c r="H97" s="3" t="s">
        <v>15</v>
      </c>
      <c r="I97" s="3" t="s">
        <v>16</v>
      </c>
      <c r="J97" s="3" t="s">
        <v>197</v>
      </c>
      <c r="K97" s="21">
        <v>-124.32666666666667</v>
      </c>
      <c r="L97" s="21">
        <v>40.770000000000003</v>
      </c>
      <c r="M97" s="18" t="s">
        <v>18</v>
      </c>
      <c r="N97" s="190"/>
    </row>
    <row r="98" spans="1:14" ht="15.75" x14ac:dyDescent="0.25">
      <c r="A98" s="114" t="s">
        <v>465</v>
      </c>
      <c r="B98" s="140">
        <v>36900</v>
      </c>
      <c r="C98" s="141" t="s">
        <v>102</v>
      </c>
      <c r="D98" s="142" t="s">
        <v>11</v>
      </c>
      <c r="E98" s="142" t="s">
        <v>198</v>
      </c>
      <c r="F98" s="142" t="s">
        <v>76</v>
      </c>
      <c r="G98" s="142" t="s">
        <v>507</v>
      </c>
      <c r="H98" s="142" t="s">
        <v>15</v>
      </c>
      <c r="I98" s="142" t="s">
        <v>569</v>
      </c>
      <c r="J98" s="142" t="s">
        <v>570</v>
      </c>
      <c r="K98" s="137">
        <v>-117.259</v>
      </c>
      <c r="L98" s="137">
        <v>32.731000000000002</v>
      </c>
      <c r="M98" s="114" t="s">
        <v>568</v>
      </c>
      <c r="N98" s="190"/>
    </row>
    <row r="99" spans="1:14" ht="15.75" x14ac:dyDescent="0.25">
      <c r="A99" s="18">
        <v>97</v>
      </c>
      <c r="B99" s="19">
        <v>37407</v>
      </c>
      <c r="C99" s="127">
        <v>0.58333333333333337</v>
      </c>
      <c r="D99" s="5" t="s">
        <v>50</v>
      </c>
      <c r="E99" s="8" t="s">
        <v>199</v>
      </c>
      <c r="F99" s="5" t="s">
        <v>76</v>
      </c>
      <c r="G99" s="5" t="s">
        <v>14</v>
      </c>
      <c r="H99" s="5" t="s">
        <v>15</v>
      </c>
      <c r="I99" s="3" t="s">
        <v>16</v>
      </c>
      <c r="J99" s="18" t="s">
        <v>197</v>
      </c>
      <c r="K99" s="21">
        <v>-122.74499999999999</v>
      </c>
      <c r="L99" s="21">
        <v>37.896666666666668</v>
      </c>
      <c r="M99" s="3" t="s">
        <v>571</v>
      </c>
      <c r="N99" s="190"/>
    </row>
    <row r="100" spans="1:14" ht="15.75" x14ac:dyDescent="0.25">
      <c r="A100" s="18">
        <v>98</v>
      </c>
      <c r="B100" s="19">
        <v>37520</v>
      </c>
      <c r="C100" s="127" t="s">
        <v>525</v>
      </c>
      <c r="D100" s="5" t="s">
        <v>97</v>
      </c>
      <c r="E100" s="8" t="s">
        <v>98</v>
      </c>
      <c r="F100" s="5" t="s">
        <v>76</v>
      </c>
      <c r="G100" s="5" t="s">
        <v>44</v>
      </c>
      <c r="H100" s="5" t="s">
        <v>15</v>
      </c>
      <c r="I100" s="3" t="s">
        <v>16</v>
      </c>
      <c r="J100" s="5" t="s">
        <v>200</v>
      </c>
      <c r="K100" s="21">
        <v>-124.41166666666665</v>
      </c>
      <c r="L100" s="21">
        <v>41.024999999999999</v>
      </c>
      <c r="M100" s="18" t="s">
        <v>201</v>
      </c>
      <c r="N100" s="190"/>
    </row>
    <row r="101" spans="1:14" ht="15.75" x14ac:dyDescent="0.25">
      <c r="A101" s="18">
        <v>99</v>
      </c>
      <c r="B101" s="19">
        <v>37588</v>
      </c>
      <c r="C101" s="127">
        <v>0.40625</v>
      </c>
      <c r="D101" s="3" t="s">
        <v>42</v>
      </c>
      <c r="E101" s="3" t="s">
        <v>56</v>
      </c>
      <c r="F101" s="3" t="s">
        <v>76</v>
      </c>
      <c r="G101" s="3" t="s">
        <v>14</v>
      </c>
      <c r="H101" s="3" t="s">
        <v>15</v>
      </c>
      <c r="I101" s="3" t="s">
        <v>16</v>
      </c>
      <c r="J101" s="18" t="s">
        <v>202</v>
      </c>
      <c r="K101" s="21">
        <v>-123.37666666666701</v>
      </c>
      <c r="L101" s="21">
        <v>38.358333333333334</v>
      </c>
      <c r="M101" s="3" t="s">
        <v>565</v>
      </c>
      <c r="N101" s="190"/>
    </row>
    <row r="102" spans="1:14" ht="15.75" x14ac:dyDescent="0.25">
      <c r="A102" s="18">
        <v>100</v>
      </c>
      <c r="B102" s="19">
        <v>37852</v>
      </c>
      <c r="C102" s="127">
        <v>0.35416666666666669</v>
      </c>
      <c r="D102" s="3" t="s">
        <v>28</v>
      </c>
      <c r="E102" s="3" t="s">
        <v>203</v>
      </c>
      <c r="F102" s="3" t="s">
        <v>13</v>
      </c>
      <c r="G102" s="3" t="s">
        <v>23</v>
      </c>
      <c r="H102" s="3" t="s">
        <v>15</v>
      </c>
      <c r="I102" s="3" t="s">
        <v>16</v>
      </c>
      <c r="J102" s="18" t="s">
        <v>204</v>
      </c>
      <c r="K102" s="21">
        <v>-120.7</v>
      </c>
      <c r="L102" s="21">
        <v>35.200000000000003</v>
      </c>
      <c r="M102" s="3" t="s">
        <v>572</v>
      </c>
      <c r="N102" s="190"/>
    </row>
    <row r="103" spans="1:14" ht="15.75" x14ac:dyDescent="0.25">
      <c r="A103" s="18">
        <v>101</v>
      </c>
      <c r="B103" s="19">
        <v>38135</v>
      </c>
      <c r="C103" s="127">
        <v>0.45833333333333331</v>
      </c>
      <c r="D103" s="3" t="s">
        <v>42</v>
      </c>
      <c r="E103" s="3" t="s">
        <v>56</v>
      </c>
      <c r="F103" s="3" t="s">
        <v>76</v>
      </c>
      <c r="G103" s="3" t="s">
        <v>44</v>
      </c>
      <c r="H103" s="3" t="s">
        <v>15</v>
      </c>
      <c r="I103" s="3" t="s">
        <v>16</v>
      </c>
      <c r="J103" s="3" t="s">
        <v>206</v>
      </c>
      <c r="K103" s="21">
        <v>-123.476666666667</v>
      </c>
      <c r="L103" s="21">
        <v>38.358333333333334</v>
      </c>
      <c r="M103" s="18" t="s">
        <v>207</v>
      </c>
      <c r="N103" s="190"/>
    </row>
    <row r="104" spans="1:14" ht="15.75" x14ac:dyDescent="0.25">
      <c r="A104" s="18">
        <v>102</v>
      </c>
      <c r="B104" s="19">
        <v>38164</v>
      </c>
      <c r="C104" s="127">
        <v>0.375</v>
      </c>
      <c r="D104" s="3" t="s">
        <v>11</v>
      </c>
      <c r="E104" s="3" t="s">
        <v>168</v>
      </c>
      <c r="F104" s="3" t="s">
        <v>76</v>
      </c>
      <c r="G104" s="3" t="s">
        <v>44</v>
      </c>
      <c r="H104" s="3" t="s">
        <v>15</v>
      </c>
      <c r="I104" s="3" t="s">
        <v>16</v>
      </c>
      <c r="J104" s="23" t="s">
        <v>208</v>
      </c>
      <c r="K104" s="21">
        <v>-117.7</v>
      </c>
      <c r="L104" s="21">
        <v>33.369999999999997</v>
      </c>
      <c r="M104" s="18" t="s">
        <v>209</v>
      </c>
      <c r="N104" s="190"/>
    </row>
    <row r="105" spans="1:14" ht="15.75" x14ac:dyDescent="0.25">
      <c r="A105" s="18">
        <v>103</v>
      </c>
      <c r="B105" s="19">
        <v>38214</v>
      </c>
      <c r="C105" s="127">
        <v>0.6875</v>
      </c>
      <c r="D105" s="3" t="s">
        <v>78</v>
      </c>
      <c r="E105" s="3" t="s">
        <v>210</v>
      </c>
      <c r="F105" s="3" t="s">
        <v>26</v>
      </c>
      <c r="G105" s="3" t="s">
        <v>23</v>
      </c>
      <c r="H105" s="3" t="s">
        <v>15</v>
      </c>
      <c r="I105" s="3" t="s">
        <v>16</v>
      </c>
      <c r="J105" s="18" t="s">
        <v>211</v>
      </c>
      <c r="K105" s="21">
        <v>-123.77833333333334</v>
      </c>
      <c r="L105" s="21">
        <v>39.578333333333333</v>
      </c>
      <c r="M105" s="3" t="s">
        <v>205</v>
      </c>
      <c r="N105" s="190"/>
    </row>
    <row r="106" spans="1:14" ht="15.75" x14ac:dyDescent="0.25">
      <c r="A106" s="18">
        <v>104</v>
      </c>
      <c r="B106" s="19">
        <v>38219</v>
      </c>
      <c r="C106" s="127">
        <v>0.72916666666666663</v>
      </c>
      <c r="D106" s="3" t="s">
        <v>123</v>
      </c>
      <c r="E106" s="3" t="s">
        <v>212</v>
      </c>
      <c r="F106" s="3" t="s">
        <v>76</v>
      </c>
      <c r="G106" s="3" t="s">
        <v>19</v>
      </c>
      <c r="H106" s="3" t="s">
        <v>15</v>
      </c>
      <c r="I106" s="3" t="s">
        <v>16</v>
      </c>
      <c r="J106" s="3" t="s">
        <v>213</v>
      </c>
      <c r="K106" s="21">
        <v>-117.6198</v>
      </c>
      <c r="L106" s="21">
        <v>33.450000000000003</v>
      </c>
      <c r="M106" s="23" t="s">
        <v>573</v>
      </c>
      <c r="N106" s="190"/>
    </row>
    <row r="107" spans="1:14" ht="15.75" x14ac:dyDescent="0.25">
      <c r="A107" s="18">
        <v>105</v>
      </c>
      <c r="B107" s="19">
        <v>38261</v>
      </c>
      <c r="C107" s="127">
        <v>0.57291666666666663</v>
      </c>
      <c r="D107" s="3" t="s">
        <v>123</v>
      </c>
      <c r="E107" s="3" t="s">
        <v>405</v>
      </c>
      <c r="F107" s="3" t="s">
        <v>76</v>
      </c>
      <c r="G107" s="3" t="s">
        <v>44</v>
      </c>
      <c r="H107" s="3" t="s">
        <v>15</v>
      </c>
      <c r="I107" s="3" t="s">
        <v>16</v>
      </c>
      <c r="J107" s="23" t="s">
        <v>214</v>
      </c>
      <c r="K107" s="21">
        <v>-118</v>
      </c>
      <c r="L107" s="21">
        <v>33.700000000000003</v>
      </c>
      <c r="M107" s="18" t="s">
        <v>128</v>
      </c>
      <c r="N107" s="190"/>
    </row>
    <row r="108" spans="1:14" ht="15.75" x14ac:dyDescent="0.25">
      <c r="A108" s="18">
        <v>106</v>
      </c>
      <c r="B108" s="19">
        <v>38262</v>
      </c>
      <c r="C108" s="127">
        <v>0.64583333333333337</v>
      </c>
      <c r="D108" s="3" t="s">
        <v>28</v>
      </c>
      <c r="E108" s="3" t="s">
        <v>29</v>
      </c>
      <c r="F108" s="3" t="s">
        <v>76</v>
      </c>
      <c r="G108" s="3" t="s">
        <v>44</v>
      </c>
      <c r="H108" s="3" t="s">
        <v>15</v>
      </c>
      <c r="I108" s="3" t="s">
        <v>16</v>
      </c>
      <c r="J108" s="23" t="s">
        <v>215</v>
      </c>
      <c r="K108" s="21">
        <v>-120.74666666666666</v>
      </c>
      <c r="L108" s="21">
        <v>35.138333333333335</v>
      </c>
      <c r="M108" s="18" t="s">
        <v>216</v>
      </c>
      <c r="N108" s="190"/>
    </row>
    <row r="109" spans="1:14" ht="15.75" x14ac:dyDescent="0.25">
      <c r="A109" s="18">
        <v>107</v>
      </c>
      <c r="B109" s="19">
        <v>38270</v>
      </c>
      <c r="C109" s="127">
        <v>0.39583333333333331</v>
      </c>
      <c r="D109" s="3" t="s">
        <v>50</v>
      </c>
      <c r="E109" s="3" t="s">
        <v>217</v>
      </c>
      <c r="F109" s="3" t="s">
        <v>76</v>
      </c>
      <c r="G109" s="3" t="s">
        <v>19</v>
      </c>
      <c r="H109" s="3" t="s">
        <v>15</v>
      </c>
      <c r="I109" s="3" t="s">
        <v>16</v>
      </c>
      <c r="J109" s="3" t="s">
        <v>218</v>
      </c>
      <c r="K109" s="21">
        <v>-122.886</v>
      </c>
      <c r="L109" s="21">
        <v>38.024000000000001</v>
      </c>
      <c r="M109" s="18" t="s">
        <v>219</v>
      </c>
      <c r="N109" s="190"/>
    </row>
    <row r="110" spans="1:14" ht="15.75" x14ac:dyDescent="0.25">
      <c r="A110" s="18">
        <v>108</v>
      </c>
      <c r="B110" s="19">
        <v>38302</v>
      </c>
      <c r="C110" s="127">
        <v>0.5625</v>
      </c>
      <c r="D110" s="3" t="s">
        <v>97</v>
      </c>
      <c r="E110" s="3" t="s">
        <v>175</v>
      </c>
      <c r="F110" s="3" t="s">
        <v>76</v>
      </c>
      <c r="G110" s="3" t="s">
        <v>14</v>
      </c>
      <c r="H110" s="3" t="s">
        <v>15</v>
      </c>
      <c r="I110" s="3" t="s">
        <v>16</v>
      </c>
      <c r="J110" s="23" t="s">
        <v>220</v>
      </c>
      <c r="K110" s="21">
        <v>-124.42666666666666</v>
      </c>
      <c r="L110" s="21">
        <v>40.770000000000003</v>
      </c>
      <c r="M110" s="18" t="s">
        <v>221</v>
      </c>
      <c r="N110" s="190"/>
    </row>
    <row r="111" spans="1:14" ht="15.75" x14ac:dyDescent="0.25">
      <c r="A111" s="18">
        <v>109</v>
      </c>
      <c r="B111" s="19">
        <v>38588</v>
      </c>
      <c r="C111" s="127">
        <v>0.45833333333333331</v>
      </c>
      <c r="D111" s="3" t="s">
        <v>11</v>
      </c>
      <c r="E111" s="3" t="s">
        <v>38</v>
      </c>
      <c r="F111" s="3" t="s">
        <v>76</v>
      </c>
      <c r="G111" s="3" t="s">
        <v>19</v>
      </c>
      <c r="H111" s="3" t="s">
        <v>15</v>
      </c>
      <c r="I111" s="3" t="s">
        <v>16</v>
      </c>
      <c r="J111" s="23" t="s">
        <v>222</v>
      </c>
      <c r="K111" s="21">
        <v>-117.58</v>
      </c>
      <c r="L111" s="21">
        <v>32.854999999999997</v>
      </c>
      <c r="M111" s="18" t="s">
        <v>128</v>
      </c>
      <c r="N111" s="190"/>
    </row>
    <row r="112" spans="1:14" ht="15.75" x14ac:dyDescent="0.25">
      <c r="A112" s="18">
        <v>110</v>
      </c>
      <c r="B112" s="19">
        <v>38644</v>
      </c>
      <c r="C112" s="127">
        <v>0.45833333333333331</v>
      </c>
      <c r="D112" s="3" t="s">
        <v>42</v>
      </c>
      <c r="E112" s="3" t="s">
        <v>56</v>
      </c>
      <c r="F112" s="3" t="s">
        <v>76</v>
      </c>
      <c r="G112" s="3" t="s">
        <v>14</v>
      </c>
      <c r="H112" s="3" t="s">
        <v>15</v>
      </c>
      <c r="I112" s="3" t="s">
        <v>16</v>
      </c>
      <c r="J112" s="23" t="s">
        <v>223</v>
      </c>
      <c r="K112" s="21">
        <v>-123.57666666666699</v>
      </c>
      <c r="L112" s="21">
        <v>38.358333333333334</v>
      </c>
      <c r="M112" s="18" t="s">
        <v>224</v>
      </c>
      <c r="N112" s="190"/>
    </row>
    <row r="113" spans="1:14" ht="15.75" x14ac:dyDescent="0.25">
      <c r="A113" s="18">
        <v>111</v>
      </c>
      <c r="B113" s="19">
        <v>38646</v>
      </c>
      <c r="C113" s="127">
        <v>0.45833333333333331</v>
      </c>
      <c r="D113" s="3" t="s">
        <v>136</v>
      </c>
      <c r="E113" s="3" t="s">
        <v>225</v>
      </c>
      <c r="F113" s="3" t="s">
        <v>76</v>
      </c>
      <c r="G113" s="3" t="s">
        <v>19</v>
      </c>
      <c r="H113" s="3" t="s">
        <v>15</v>
      </c>
      <c r="I113" s="3" t="s">
        <v>16</v>
      </c>
      <c r="J113" s="23" t="s">
        <v>226</v>
      </c>
      <c r="K113" s="21">
        <v>-124.28833333333333</v>
      </c>
      <c r="L113" s="21">
        <v>41.561666666666667</v>
      </c>
      <c r="M113" s="18" t="s">
        <v>227</v>
      </c>
      <c r="N113" s="190"/>
    </row>
    <row r="114" spans="1:14" ht="15.75" x14ac:dyDescent="0.25">
      <c r="A114" s="18">
        <v>112</v>
      </c>
      <c r="B114" s="19">
        <v>38658</v>
      </c>
      <c r="C114" s="127">
        <v>0.69791666666666663</v>
      </c>
      <c r="D114" s="3" t="s">
        <v>66</v>
      </c>
      <c r="E114" s="3" t="s">
        <v>228</v>
      </c>
      <c r="F114" s="3" t="s">
        <v>76</v>
      </c>
      <c r="G114" s="3" t="s">
        <v>44</v>
      </c>
      <c r="H114" s="3" t="s">
        <v>15</v>
      </c>
      <c r="I114" s="3" t="s">
        <v>16</v>
      </c>
      <c r="J114" s="23" t="s">
        <v>229</v>
      </c>
      <c r="K114" s="21">
        <v>-122.69899999999998</v>
      </c>
      <c r="L114" s="21">
        <v>37.491999999999997</v>
      </c>
      <c r="M114" s="18" t="s">
        <v>230</v>
      </c>
      <c r="N114" s="190"/>
    </row>
    <row r="115" spans="1:14" ht="15.75" x14ac:dyDescent="0.25">
      <c r="A115" s="18">
        <v>113</v>
      </c>
      <c r="B115" s="19">
        <v>38658</v>
      </c>
      <c r="C115" s="127">
        <v>0.30208333333333331</v>
      </c>
      <c r="D115" s="3" t="s">
        <v>35</v>
      </c>
      <c r="E115" s="3" t="s">
        <v>231</v>
      </c>
      <c r="F115" s="3" t="s">
        <v>76</v>
      </c>
      <c r="G115" s="3" t="s">
        <v>44</v>
      </c>
      <c r="H115" s="3" t="s">
        <v>15</v>
      </c>
      <c r="I115" s="3" t="s">
        <v>16</v>
      </c>
      <c r="J115" s="23" t="s">
        <v>232</v>
      </c>
      <c r="K115" s="21">
        <v>-122.518</v>
      </c>
      <c r="L115" s="21">
        <v>37.74</v>
      </c>
      <c r="M115" s="18" t="s">
        <v>233</v>
      </c>
      <c r="N115" s="190"/>
    </row>
    <row r="116" spans="1:14" ht="15.75" x14ac:dyDescent="0.25">
      <c r="A116" s="18">
        <v>114</v>
      </c>
      <c r="B116" s="19">
        <v>38735</v>
      </c>
      <c r="C116" s="127">
        <v>0.9375</v>
      </c>
      <c r="D116" s="3" t="s">
        <v>52</v>
      </c>
      <c r="E116" s="3" t="s">
        <v>52</v>
      </c>
      <c r="F116" s="3" t="s">
        <v>76</v>
      </c>
      <c r="G116" s="3" t="s">
        <v>44</v>
      </c>
      <c r="H116" s="3" t="s">
        <v>15</v>
      </c>
      <c r="I116" s="3" t="s">
        <v>16</v>
      </c>
      <c r="J116" s="23" t="s">
        <v>234</v>
      </c>
      <c r="K116" s="21">
        <v>-122.19499999999999</v>
      </c>
      <c r="L116" s="21">
        <v>36.96</v>
      </c>
      <c r="M116" s="18" t="s">
        <v>233</v>
      </c>
      <c r="N116" s="190"/>
    </row>
    <row r="117" spans="1:14" ht="15.75" x14ac:dyDescent="0.25">
      <c r="A117" s="18">
        <v>115</v>
      </c>
      <c r="B117" s="19">
        <v>38885</v>
      </c>
      <c r="C117" s="127">
        <v>0.46527777777777773</v>
      </c>
      <c r="D117" s="3" t="s">
        <v>22</v>
      </c>
      <c r="E117" s="3" t="s">
        <v>22</v>
      </c>
      <c r="F117" s="3" t="s">
        <v>60</v>
      </c>
      <c r="G117" s="3" t="s">
        <v>44</v>
      </c>
      <c r="H117" s="3" t="s">
        <v>235</v>
      </c>
      <c r="I117" s="3" t="s">
        <v>16</v>
      </c>
      <c r="J117" s="23" t="s">
        <v>236</v>
      </c>
      <c r="K117" s="21">
        <v>-121.85</v>
      </c>
      <c r="L117" s="21">
        <v>36.626666666666665</v>
      </c>
      <c r="M117" s="18" t="s">
        <v>227</v>
      </c>
      <c r="N117" s="190"/>
    </row>
    <row r="118" spans="1:14" ht="15.75" x14ac:dyDescent="0.25">
      <c r="A118" s="114" t="s">
        <v>465</v>
      </c>
      <c r="B118" s="135">
        <v>38927</v>
      </c>
      <c r="C118" s="136"/>
      <c r="D118" s="117" t="s">
        <v>46</v>
      </c>
      <c r="E118" s="117" t="s">
        <v>602</v>
      </c>
      <c r="F118" s="117" t="s">
        <v>76</v>
      </c>
      <c r="G118" s="117" t="s">
        <v>533</v>
      </c>
      <c r="H118" s="117" t="s">
        <v>15</v>
      </c>
      <c r="I118" s="117" t="s">
        <v>603</v>
      </c>
      <c r="J118" s="168" t="s">
        <v>604</v>
      </c>
      <c r="K118" s="21"/>
      <c r="L118" s="21"/>
      <c r="M118" s="18" t="s">
        <v>605</v>
      </c>
      <c r="N118" s="190"/>
    </row>
    <row r="119" spans="1:14" ht="15.75" x14ac:dyDescent="0.25">
      <c r="A119" s="18">
        <v>116</v>
      </c>
      <c r="B119" s="19">
        <v>39061</v>
      </c>
      <c r="C119" s="127">
        <v>0.5</v>
      </c>
      <c r="D119" s="3" t="s">
        <v>50</v>
      </c>
      <c r="E119" s="3" t="s">
        <v>186</v>
      </c>
      <c r="F119" s="3" t="s">
        <v>76</v>
      </c>
      <c r="G119" s="3" t="s">
        <v>19</v>
      </c>
      <c r="H119" s="3" t="s">
        <v>15</v>
      </c>
      <c r="I119" s="3" t="s">
        <v>16</v>
      </c>
      <c r="J119" s="23" t="s">
        <v>237</v>
      </c>
      <c r="K119" s="21">
        <v>-123.071666666667</v>
      </c>
      <c r="L119" s="21">
        <v>38.25</v>
      </c>
      <c r="M119" s="18" t="s">
        <v>207</v>
      </c>
      <c r="N119" s="190"/>
    </row>
    <row r="120" spans="1:14" ht="15.75" x14ac:dyDescent="0.25">
      <c r="A120" s="89">
        <v>117</v>
      </c>
      <c r="B120" s="80">
        <v>39263</v>
      </c>
      <c r="C120" s="129">
        <v>0.41666666666666669</v>
      </c>
      <c r="D120" s="81" t="s">
        <v>46</v>
      </c>
      <c r="E120" s="81" t="s">
        <v>238</v>
      </c>
      <c r="F120" s="81" t="s">
        <v>13</v>
      </c>
      <c r="G120" s="81" t="s">
        <v>19</v>
      </c>
      <c r="H120" s="81" t="s">
        <v>15</v>
      </c>
      <c r="I120" s="81" t="s">
        <v>102</v>
      </c>
      <c r="J120" s="165" t="s">
        <v>239</v>
      </c>
      <c r="K120" s="21">
        <v>-118.54</v>
      </c>
      <c r="L120" s="21">
        <v>34.03</v>
      </c>
      <c r="M120" s="23" t="s">
        <v>240</v>
      </c>
      <c r="N120" s="190"/>
    </row>
    <row r="121" spans="1:14" ht="15.75" x14ac:dyDescent="0.25">
      <c r="A121" s="89">
        <v>118</v>
      </c>
      <c r="B121" s="80">
        <v>39280</v>
      </c>
      <c r="C121" s="129">
        <v>0.45833333333333331</v>
      </c>
      <c r="D121" s="81" t="s">
        <v>241</v>
      </c>
      <c r="E121" s="81" t="s">
        <v>242</v>
      </c>
      <c r="F121" s="81" t="s">
        <v>13</v>
      </c>
      <c r="G121" s="81" t="s">
        <v>19</v>
      </c>
      <c r="H121" s="81" t="s">
        <v>15</v>
      </c>
      <c r="I121" s="81" t="s">
        <v>102</v>
      </c>
      <c r="J121" s="165" t="s">
        <v>243</v>
      </c>
      <c r="K121" s="21">
        <v>-119.39100000000001</v>
      </c>
      <c r="L121" s="21">
        <v>34.317999999999998</v>
      </c>
      <c r="M121" s="18" t="s">
        <v>244</v>
      </c>
      <c r="N121" s="190"/>
    </row>
    <row r="122" spans="1:14" ht="15.75" x14ac:dyDescent="0.25">
      <c r="A122" s="18">
        <v>119</v>
      </c>
      <c r="B122" s="19">
        <v>39284</v>
      </c>
      <c r="C122" s="127">
        <v>0.42708333333333331</v>
      </c>
      <c r="D122" s="3" t="s">
        <v>66</v>
      </c>
      <c r="E122" s="3" t="s">
        <v>500</v>
      </c>
      <c r="F122" s="3" t="s">
        <v>140</v>
      </c>
      <c r="G122" s="3" t="s">
        <v>44</v>
      </c>
      <c r="H122" s="3" t="s">
        <v>15</v>
      </c>
      <c r="I122" s="3" t="s">
        <v>16</v>
      </c>
      <c r="J122" s="23" t="s">
        <v>246</v>
      </c>
      <c r="K122" s="21">
        <v>-122.60833333333332</v>
      </c>
      <c r="L122" s="21">
        <v>37.19166666666667</v>
      </c>
      <c r="M122" s="18" t="s">
        <v>247</v>
      </c>
      <c r="N122" s="190"/>
    </row>
    <row r="123" spans="1:14" ht="15.75" x14ac:dyDescent="0.25">
      <c r="A123" s="18">
        <v>120</v>
      </c>
      <c r="B123" s="25">
        <v>39285</v>
      </c>
      <c r="C123" s="130">
        <v>0.375</v>
      </c>
      <c r="D123" s="26" t="s">
        <v>46</v>
      </c>
      <c r="E123" s="26" t="s">
        <v>139</v>
      </c>
      <c r="F123" s="26" t="s">
        <v>112</v>
      </c>
      <c r="G123" s="26" t="s">
        <v>44</v>
      </c>
      <c r="H123" s="26" t="s">
        <v>15</v>
      </c>
      <c r="I123" s="26" t="s">
        <v>16</v>
      </c>
      <c r="J123" s="166" t="s">
        <v>248</v>
      </c>
      <c r="K123" s="21">
        <v>-118.98333333333299</v>
      </c>
      <c r="L123" s="21">
        <v>34.018333333333331</v>
      </c>
      <c r="M123" s="28" t="s">
        <v>249</v>
      </c>
      <c r="N123" s="190"/>
    </row>
    <row r="124" spans="1:14" ht="15.75" x14ac:dyDescent="0.25">
      <c r="A124" s="89">
        <v>121</v>
      </c>
      <c r="B124" s="86">
        <v>39291</v>
      </c>
      <c r="C124" s="131">
        <v>0.95833333333333337</v>
      </c>
      <c r="D124" s="7" t="s">
        <v>11</v>
      </c>
      <c r="E124" s="7" t="s">
        <v>12</v>
      </c>
      <c r="F124" s="7" t="s">
        <v>76</v>
      </c>
      <c r="G124" s="7" t="s">
        <v>44</v>
      </c>
      <c r="H124" s="7" t="s">
        <v>15</v>
      </c>
      <c r="I124" s="7" t="s">
        <v>102</v>
      </c>
      <c r="J124" s="167" t="s">
        <v>250</v>
      </c>
      <c r="K124" s="21">
        <v>-117.34666666666665</v>
      </c>
      <c r="L124" s="21">
        <v>32.588333333333331</v>
      </c>
      <c r="M124" s="18" t="s">
        <v>251</v>
      </c>
      <c r="N124" s="190"/>
    </row>
    <row r="125" spans="1:14" ht="15.75" x14ac:dyDescent="0.25">
      <c r="A125" s="18">
        <v>122</v>
      </c>
      <c r="B125" s="19">
        <v>39322</v>
      </c>
      <c r="C125" s="127">
        <v>0.45833333333333331</v>
      </c>
      <c r="D125" s="3" t="s">
        <v>22</v>
      </c>
      <c r="E125" s="3" t="s">
        <v>252</v>
      </c>
      <c r="F125" s="3" t="s">
        <v>76</v>
      </c>
      <c r="G125" s="3" t="s">
        <v>14</v>
      </c>
      <c r="H125" s="3" t="s">
        <v>15</v>
      </c>
      <c r="I125" s="3" t="s">
        <v>16</v>
      </c>
      <c r="J125" s="18" t="s">
        <v>253</v>
      </c>
      <c r="K125" s="21">
        <v>-121.8</v>
      </c>
      <c r="L125" s="21">
        <v>36.700000000000003</v>
      </c>
      <c r="M125" s="3" t="s">
        <v>254</v>
      </c>
      <c r="N125" s="190"/>
    </row>
    <row r="126" spans="1:14" ht="15.75" x14ac:dyDescent="0.25">
      <c r="A126" s="18">
        <v>123</v>
      </c>
      <c r="B126" s="19">
        <v>39352</v>
      </c>
      <c r="C126" s="127">
        <v>0.5</v>
      </c>
      <c r="D126" s="3" t="s">
        <v>97</v>
      </c>
      <c r="E126" s="3" t="s">
        <v>98</v>
      </c>
      <c r="F126" s="3" t="s">
        <v>76</v>
      </c>
      <c r="G126" s="3" t="s">
        <v>44</v>
      </c>
      <c r="H126" s="3" t="s">
        <v>15</v>
      </c>
      <c r="I126" s="3" t="s">
        <v>16</v>
      </c>
      <c r="J126" s="23" t="s">
        <v>255</v>
      </c>
      <c r="K126" s="21">
        <v>-124.51166666666664</v>
      </c>
      <c r="L126" s="21">
        <v>41.024999999999999</v>
      </c>
      <c r="M126" s="18" t="s">
        <v>256</v>
      </c>
      <c r="N126" s="190"/>
    </row>
    <row r="127" spans="1:14" ht="15.75" x14ac:dyDescent="0.25">
      <c r="A127" s="89">
        <v>124</v>
      </c>
      <c r="B127" s="80">
        <v>39355</v>
      </c>
      <c r="C127" s="129">
        <v>0.47916666666666669</v>
      </c>
      <c r="D127" s="81" t="s">
        <v>46</v>
      </c>
      <c r="E127" s="81" t="s">
        <v>257</v>
      </c>
      <c r="F127" s="81" t="s">
        <v>76</v>
      </c>
      <c r="G127" s="81" t="s">
        <v>19</v>
      </c>
      <c r="H127" s="81" t="s">
        <v>15</v>
      </c>
      <c r="I127" s="81" t="s">
        <v>102</v>
      </c>
      <c r="J127" s="165" t="s">
        <v>258</v>
      </c>
      <c r="K127" s="21">
        <v>-118.502</v>
      </c>
      <c r="L127" s="21">
        <v>34.003999999999998</v>
      </c>
      <c r="M127" s="18" t="s">
        <v>128</v>
      </c>
      <c r="N127" s="190"/>
    </row>
    <row r="128" spans="1:14" ht="15.75" x14ac:dyDescent="0.25">
      <c r="A128" s="89">
        <v>125</v>
      </c>
      <c r="B128" s="80">
        <v>39362</v>
      </c>
      <c r="C128" s="129">
        <v>0.85416666666666663</v>
      </c>
      <c r="D128" s="81" t="s">
        <v>46</v>
      </c>
      <c r="E128" s="81" t="s">
        <v>259</v>
      </c>
      <c r="F128" s="81" t="s">
        <v>76</v>
      </c>
      <c r="G128" s="81" t="s">
        <v>19</v>
      </c>
      <c r="H128" s="81" t="s">
        <v>15</v>
      </c>
      <c r="I128" s="81" t="s">
        <v>260</v>
      </c>
      <c r="J128" s="165" t="s">
        <v>261</v>
      </c>
      <c r="K128" s="21">
        <v>-118.46899999999999</v>
      </c>
      <c r="L128" s="21">
        <v>33.978000000000002</v>
      </c>
      <c r="M128" s="18" t="s">
        <v>262</v>
      </c>
      <c r="N128" s="190"/>
    </row>
    <row r="129" spans="1:14" ht="15.75" x14ac:dyDescent="0.25">
      <c r="A129" s="18">
        <v>126</v>
      </c>
      <c r="B129" s="19">
        <v>39514</v>
      </c>
      <c r="C129" s="127">
        <v>0.29166666666666669</v>
      </c>
      <c r="D129" s="3" t="s">
        <v>123</v>
      </c>
      <c r="E129" s="3" t="s">
        <v>263</v>
      </c>
      <c r="F129" s="3" t="s">
        <v>76</v>
      </c>
      <c r="G129" s="3" t="s">
        <v>44</v>
      </c>
      <c r="H129" s="3" t="s">
        <v>15</v>
      </c>
      <c r="I129" s="3" t="s">
        <v>16</v>
      </c>
      <c r="J129" s="23" t="s">
        <v>264</v>
      </c>
      <c r="K129" s="21">
        <v>-118.1</v>
      </c>
      <c r="L129" s="21">
        <v>33.700000000000003</v>
      </c>
      <c r="M129" s="18" t="s">
        <v>265</v>
      </c>
      <c r="N129" s="190"/>
    </row>
    <row r="130" spans="1:14" ht="15.75" x14ac:dyDescent="0.25">
      <c r="A130" s="18">
        <v>127</v>
      </c>
      <c r="B130" s="19">
        <v>39563</v>
      </c>
      <c r="C130" s="127">
        <v>0.29166666666666669</v>
      </c>
      <c r="D130" s="5" t="s">
        <v>11</v>
      </c>
      <c r="E130" s="5" t="s">
        <v>266</v>
      </c>
      <c r="F130" s="5" t="s">
        <v>13</v>
      </c>
      <c r="G130" s="5" t="s">
        <v>23</v>
      </c>
      <c r="H130" s="5" t="s">
        <v>15</v>
      </c>
      <c r="I130" s="3" t="s">
        <v>16</v>
      </c>
      <c r="J130" s="18" t="s">
        <v>267</v>
      </c>
      <c r="K130" s="21">
        <v>-117.3</v>
      </c>
      <c r="L130" s="21">
        <v>33</v>
      </c>
      <c r="M130" s="3" t="s">
        <v>268</v>
      </c>
      <c r="N130" s="190"/>
    </row>
    <row r="131" spans="1:14" ht="15.75" x14ac:dyDescent="0.25">
      <c r="A131" s="18">
        <v>128</v>
      </c>
      <c r="B131" s="19">
        <v>39620</v>
      </c>
      <c r="C131" s="127">
        <v>0.375</v>
      </c>
      <c r="D131" s="5" t="s">
        <v>269</v>
      </c>
      <c r="E131" s="5" t="s">
        <v>660</v>
      </c>
      <c r="F131" s="5" t="s">
        <v>140</v>
      </c>
      <c r="G131" s="5" t="s">
        <v>44</v>
      </c>
      <c r="H131" s="5" t="s">
        <v>15</v>
      </c>
      <c r="I131" s="3" t="s">
        <v>16</v>
      </c>
      <c r="J131" s="23" t="s">
        <v>271</v>
      </c>
      <c r="K131" s="21">
        <v>-118.41630000000001</v>
      </c>
      <c r="L131" s="21">
        <v>33.387900000000002</v>
      </c>
      <c r="M131" s="23" t="s">
        <v>265</v>
      </c>
      <c r="N131" s="190"/>
    </row>
    <row r="132" spans="1:14" ht="15.75" x14ac:dyDescent="0.25">
      <c r="A132" s="18">
        <v>129</v>
      </c>
      <c r="B132" s="19">
        <v>39699</v>
      </c>
      <c r="C132" s="127">
        <v>0.4375</v>
      </c>
      <c r="D132" s="5" t="s">
        <v>69</v>
      </c>
      <c r="E132" s="5" t="s">
        <v>272</v>
      </c>
      <c r="F132" s="5" t="s">
        <v>76</v>
      </c>
      <c r="G132" s="5" t="s">
        <v>44</v>
      </c>
      <c r="H132" s="5" t="s">
        <v>15</v>
      </c>
      <c r="I132" s="3" t="s">
        <v>16</v>
      </c>
      <c r="J132" s="23" t="s">
        <v>273</v>
      </c>
      <c r="K132" s="21">
        <v>-120.61</v>
      </c>
      <c r="L132" s="21">
        <v>34.683</v>
      </c>
      <c r="M132" s="18" t="s">
        <v>274</v>
      </c>
      <c r="N132" s="190"/>
    </row>
    <row r="133" spans="1:14" ht="15.75" x14ac:dyDescent="0.25">
      <c r="A133" s="18">
        <v>130</v>
      </c>
      <c r="B133" s="19">
        <v>39909</v>
      </c>
      <c r="C133" s="127">
        <v>0.29166666666666669</v>
      </c>
      <c r="D133" s="5" t="s">
        <v>11</v>
      </c>
      <c r="E133" s="5" t="s">
        <v>11</v>
      </c>
      <c r="F133" s="5" t="s">
        <v>26</v>
      </c>
      <c r="G133" s="5" t="s">
        <v>44</v>
      </c>
      <c r="H133" s="5" t="s">
        <v>15</v>
      </c>
      <c r="I133" s="3" t="s">
        <v>16</v>
      </c>
      <c r="J133" s="23" t="s">
        <v>275</v>
      </c>
      <c r="K133" s="21">
        <v>-117.274</v>
      </c>
      <c r="L133" s="21">
        <v>32.817</v>
      </c>
      <c r="M133" s="18" t="s">
        <v>276</v>
      </c>
      <c r="N133" s="190"/>
    </row>
    <row r="134" spans="1:14" ht="15.75" x14ac:dyDescent="0.25">
      <c r="A134" s="18">
        <v>131</v>
      </c>
      <c r="B134" s="19">
        <v>40050</v>
      </c>
      <c r="C134" s="127">
        <v>0.6875</v>
      </c>
      <c r="D134" s="5" t="s">
        <v>11</v>
      </c>
      <c r="E134" s="5" t="s">
        <v>655</v>
      </c>
      <c r="F134" s="5" t="s">
        <v>13</v>
      </c>
      <c r="G134" s="5" t="s">
        <v>19</v>
      </c>
      <c r="H134" s="5" t="s">
        <v>15</v>
      </c>
      <c r="I134" s="3" t="s">
        <v>16</v>
      </c>
      <c r="J134" s="23" t="s">
        <v>277</v>
      </c>
      <c r="K134" s="21">
        <v>-117.3</v>
      </c>
      <c r="L134" s="21">
        <v>33.1</v>
      </c>
      <c r="M134" s="18" t="s">
        <v>679</v>
      </c>
      <c r="N134" s="190"/>
    </row>
    <row r="135" spans="1:14" ht="15.75" x14ac:dyDescent="0.25">
      <c r="A135" s="18">
        <v>132</v>
      </c>
      <c r="B135" s="19">
        <v>40055</v>
      </c>
      <c r="C135" s="127">
        <v>0.77083333333333337</v>
      </c>
      <c r="D135" s="5" t="s">
        <v>123</v>
      </c>
      <c r="E135" s="5" t="s">
        <v>263</v>
      </c>
      <c r="F135" s="5" t="s">
        <v>76</v>
      </c>
      <c r="G135" s="5" t="s">
        <v>44</v>
      </c>
      <c r="H135" s="5" t="s">
        <v>15</v>
      </c>
      <c r="I135" s="3" t="s">
        <v>16</v>
      </c>
      <c r="J135" s="23" t="s">
        <v>279</v>
      </c>
      <c r="K135" s="21">
        <v>-118.19999999999999</v>
      </c>
      <c r="L135" s="21">
        <v>33.700000000000003</v>
      </c>
      <c r="M135" s="18" t="s">
        <v>128</v>
      </c>
      <c r="N135" s="190"/>
    </row>
    <row r="136" spans="1:14" ht="15.75" x14ac:dyDescent="0.25">
      <c r="A136" s="89">
        <v>133</v>
      </c>
      <c r="B136" s="86">
        <v>40110</v>
      </c>
      <c r="C136" s="131">
        <v>0.72916666666666663</v>
      </c>
      <c r="D136" s="10" t="s">
        <v>11</v>
      </c>
      <c r="E136" s="10" t="s">
        <v>168</v>
      </c>
      <c r="F136" s="10" t="s">
        <v>76</v>
      </c>
      <c r="G136" s="10" t="s">
        <v>19</v>
      </c>
      <c r="H136" s="10" t="s">
        <v>15</v>
      </c>
      <c r="I136" s="7" t="s">
        <v>102</v>
      </c>
      <c r="J136" s="167" t="s">
        <v>280</v>
      </c>
      <c r="K136" s="21">
        <f>-117.8</f>
        <v>-117.8</v>
      </c>
      <c r="L136" s="21">
        <v>33.369999999999997</v>
      </c>
      <c r="M136" s="18" t="s">
        <v>128</v>
      </c>
      <c r="N136" s="190"/>
    </row>
    <row r="137" spans="1:14" ht="15.75" x14ac:dyDescent="0.25">
      <c r="A137" s="18">
        <v>134</v>
      </c>
      <c r="B137" s="19">
        <v>40122</v>
      </c>
      <c r="C137" s="127">
        <v>0.70833333333333337</v>
      </c>
      <c r="D137" s="5" t="s">
        <v>52</v>
      </c>
      <c r="E137" s="5" t="s">
        <v>152</v>
      </c>
      <c r="F137" s="5" t="s">
        <v>76</v>
      </c>
      <c r="G137" s="5" t="s">
        <v>44</v>
      </c>
      <c r="H137" s="5" t="s">
        <v>15</v>
      </c>
      <c r="I137" s="3" t="s">
        <v>16</v>
      </c>
      <c r="J137" s="23" t="s">
        <v>281</v>
      </c>
      <c r="K137" s="21">
        <v>-122.65333333333331</v>
      </c>
      <c r="L137" s="21">
        <v>37.049999999999997</v>
      </c>
      <c r="M137" s="18" t="s">
        <v>282</v>
      </c>
      <c r="N137" s="190"/>
    </row>
    <row r="138" spans="1:14" ht="15.75" x14ac:dyDescent="0.25">
      <c r="A138" s="18">
        <v>135</v>
      </c>
      <c r="B138" s="19">
        <v>40361</v>
      </c>
      <c r="C138" s="127">
        <v>0.63541666666666663</v>
      </c>
      <c r="D138" s="5" t="s">
        <v>11</v>
      </c>
      <c r="E138" s="5" t="s">
        <v>168</v>
      </c>
      <c r="F138" s="5" t="s">
        <v>112</v>
      </c>
      <c r="G138" s="5" t="s">
        <v>44</v>
      </c>
      <c r="H138" s="5" t="s">
        <v>15</v>
      </c>
      <c r="I138" s="3" t="s">
        <v>16</v>
      </c>
      <c r="J138" s="23" t="s">
        <v>283</v>
      </c>
      <c r="K138" s="21">
        <v>-117.9</v>
      </c>
      <c r="L138" s="21">
        <v>33.369999999999997</v>
      </c>
      <c r="M138" s="18" t="s">
        <v>265</v>
      </c>
      <c r="N138" s="190"/>
    </row>
    <row r="139" spans="1:14" ht="15.75" x14ac:dyDescent="0.25">
      <c r="A139" s="89">
        <v>136</v>
      </c>
      <c r="B139" s="80">
        <v>40361</v>
      </c>
      <c r="C139" s="129">
        <v>0.77083333333333337</v>
      </c>
      <c r="D139" s="84" t="s">
        <v>28</v>
      </c>
      <c r="E139" s="84" t="s">
        <v>29</v>
      </c>
      <c r="F139" s="84" t="s">
        <v>76</v>
      </c>
      <c r="G139" s="84" t="s">
        <v>19</v>
      </c>
      <c r="H139" s="84" t="s">
        <v>15</v>
      </c>
      <c r="I139" s="84" t="s">
        <v>260</v>
      </c>
      <c r="J139" s="165" t="s">
        <v>284</v>
      </c>
      <c r="K139" s="21">
        <v>-120.84666666666665</v>
      </c>
      <c r="L139" s="21">
        <v>35.138333333333335</v>
      </c>
      <c r="M139" s="18" t="s">
        <v>285</v>
      </c>
      <c r="N139" s="190"/>
    </row>
    <row r="140" spans="1:14" ht="15.75" x14ac:dyDescent="0.25">
      <c r="A140" s="18">
        <v>137</v>
      </c>
      <c r="B140" s="19">
        <v>40392</v>
      </c>
      <c r="C140" s="127">
        <v>0.52777777777777779</v>
      </c>
      <c r="D140" s="5" t="s">
        <v>69</v>
      </c>
      <c r="E140" s="5" t="s">
        <v>286</v>
      </c>
      <c r="F140" s="5" t="s">
        <v>140</v>
      </c>
      <c r="G140" s="5" t="s">
        <v>44</v>
      </c>
      <c r="H140" s="5" t="s">
        <v>15</v>
      </c>
      <c r="I140" s="3" t="s">
        <v>16</v>
      </c>
      <c r="J140" s="23" t="s">
        <v>287</v>
      </c>
      <c r="K140" s="21">
        <v>-120.122</v>
      </c>
      <c r="L140" s="21">
        <v>34.396999999999998</v>
      </c>
      <c r="M140" s="18" t="s">
        <v>288</v>
      </c>
      <c r="N140" s="190"/>
    </row>
    <row r="141" spans="1:14" ht="15.75" x14ac:dyDescent="0.25">
      <c r="A141" s="18">
        <v>138</v>
      </c>
      <c r="B141" s="19">
        <v>40404</v>
      </c>
      <c r="C141" s="127">
        <v>0.41666666666666669</v>
      </c>
      <c r="D141" s="5" t="s">
        <v>66</v>
      </c>
      <c r="E141" s="5" t="s">
        <v>431</v>
      </c>
      <c r="F141" s="5" t="s">
        <v>140</v>
      </c>
      <c r="G141" s="5" t="s">
        <v>44</v>
      </c>
      <c r="H141" s="5" t="s">
        <v>15</v>
      </c>
      <c r="I141" s="3" t="s">
        <v>16</v>
      </c>
      <c r="J141" s="23" t="s">
        <v>287</v>
      </c>
      <c r="K141" s="21">
        <v>-122.70833333333331</v>
      </c>
      <c r="L141" s="21">
        <v>37.19166666666667</v>
      </c>
      <c r="M141" s="18" t="s">
        <v>289</v>
      </c>
      <c r="N141" s="190"/>
    </row>
    <row r="142" spans="1:14" ht="15.75" x14ac:dyDescent="0.25">
      <c r="A142" s="18">
        <v>139</v>
      </c>
      <c r="B142" s="19">
        <v>40473</v>
      </c>
      <c r="C142" s="127">
        <v>0.375</v>
      </c>
      <c r="D142" s="3" t="s">
        <v>69</v>
      </c>
      <c r="E142" s="3" t="s">
        <v>272</v>
      </c>
      <c r="F142" s="3" t="s">
        <v>76</v>
      </c>
      <c r="G142" s="3" t="s">
        <v>23</v>
      </c>
      <c r="H142" s="3" t="s">
        <v>15</v>
      </c>
      <c r="I142" s="3" t="s">
        <v>16</v>
      </c>
      <c r="J142" s="18" t="s">
        <v>192</v>
      </c>
      <c r="K142" s="21">
        <v>-120.71</v>
      </c>
      <c r="L142" s="21">
        <v>34.683</v>
      </c>
      <c r="M142" s="3" t="s">
        <v>290</v>
      </c>
      <c r="N142" s="190"/>
    </row>
    <row r="143" spans="1:14" ht="15.75" x14ac:dyDescent="0.25">
      <c r="A143" s="89">
        <v>140</v>
      </c>
      <c r="B143" s="80">
        <v>40700</v>
      </c>
      <c r="C143" s="129">
        <v>0.70833333333333337</v>
      </c>
      <c r="D143" s="81" t="s">
        <v>11</v>
      </c>
      <c r="E143" s="81" t="s">
        <v>291</v>
      </c>
      <c r="F143" s="81" t="s">
        <v>26</v>
      </c>
      <c r="G143" s="81" t="s">
        <v>44</v>
      </c>
      <c r="H143" s="81" t="s">
        <v>15</v>
      </c>
      <c r="I143" s="81" t="s">
        <v>292</v>
      </c>
      <c r="J143" s="165" t="s">
        <v>293</v>
      </c>
      <c r="K143" s="21">
        <v>-117.68</v>
      </c>
      <c r="L143" s="21">
        <v>32.854999999999997</v>
      </c>
      <c r="M143" s="18" t="s">
        <v>294</v>
      </c>
      <c r="N143" s="190"/>
    </row>
    <row r="144" spans="1:14" ht="15.75" x14ac:dyDescent="0.25">
      <c r="A144" s="18">
        <v>141</v>
      </c>
      <c r="B144" s="19">
        <v>40718</v>
      </c>
      <c r="C144" s="127">
        <v>0.5625</v>
      </c>
      <c r="D144" s="3" t="s">
        <v>11</v>
      </c>
      <c r="E144" s="3" t="s">
        <v>168</v>
      </c>
      <c r="F144" s="3" t="s">
        <v>76</v>
      </c>
      <c r="G144" s="3" t="s">
        <v>44</v>
      </c>
      <c r="H144" s="3" t="s">
        <v>15</v>
      </c>
      <c r="I144" s="3" t="s">
        <v>16</v>
      </c>
      <c r="J144" s="23" t="s">
        <v>295</v>
      </c>
      <c r="K144" s="21">
        <v>-118</v>
      </c>
      <c r="L144" s="21">
        <v>33.369999999999997</v>
      </c>
      <c r="M144" s="18" t="s">
        <v>244</v>
      </c>
      <c r="N144" s="190"/>
    </row>
    <row r="145" spans="1:14" ht="15.75" x14ac:dyDescent="0.25">
      <c r="A145" s="18">
        <v>142</v>
      </c>
      <c r="B145" s="19">
        <v>40797</v>
      </c>
      <c r="C145" s="127">
        <v>0.52083333333333337</v>
      </c>
      <c r="D145" s="3" t="s">
        <v>97</v>
      </c>
      <c r="E145" s="3" t="s">
        <v>296</v>
      </c>
      <c r="F145" s="3" t="s">
        <v>76</v>
      </c>
      <c r="G145" s="3" t="s">
        <v>44</v>
      </c>
      <c r="H145" s="3" t="s">
        <v>15</v>
      </c>
      <c r="I145" s="3" t="s">
        <v>16</v>
      </c>
      <c r="J145" s="23" t="s">
        <v>297</v>
      </c>
      <c r="K145" s="21">
        <v>-124.20399999999999</v>
      </c>
      <c r="L145" s="21">
        <v>40.799999999999997</v>
      </c>
      <c r="M145" s="18" t="s">
        <v>298</v>
      </c>
      <c r="N145" s="190"/>
    </row>
    <row r="146" spans="1:14" ht="15.75" x14ac:dyDescent="0.25">
      <c r="A146" s="18">
        <v>143</v>
      </c>
      <c r="B146" s="19">
        <v>40845</v>
      </c>
      <c r="C146" s="127">
        <v>0.29166666666666669</v>
      </c>
      <c r="D146" s="3" t="s">
        <v>22</v>
      </c>
      <c r="E146" s="3" t="s">
        <v>252</v>
      </c>
      <c r="F146" s="3" t="s">
        <v>76</v>
      </c>
      <c r="G146" s="3" t="s">
        <v>14</v>
      </c>
      <c r="H146" s="3" t="s">
        <v>15</v>
      </c>
      <c r="I146" s="3" t="s">
        <v>16</v>
      </c>
      <c r="J146" s="23" t="s">
        <v>299</v>
      </c>
      <c r="K146" s="21">
        <v>-121.9</v>
      </c>
      <c r="L146" s="21">
        <v>36.700000000000003</v>
      </c>
      <c r="M146" s="18" t="s">
        <v>224</v>
      </c>
      <c r="N146" s="190"/>
    </row>
    <row r="147" spans="1:14" ht="15.75" x14ac:dyDescent="0.25">
      <c r="A147" s="18">
        <v>144</v>
      </c>
      <c r="B147" s="19">
        <v>40869</v>
      </c>
      <c r="C147" s="127">
        <v>0.47916666666666669</v>
      </c>
      <c r="D147" s="3" t="s">
        <v>66</v>
      </c>
      <c r="E147" s="3" t="s">
        <v>431</v>
      </c>
      <c r="F147" s="3" t="s">
        <v>140</v>
      </c>
      <c r="G147" s="3" t="s">
        <v>44</v>
      </c>
      <c r="H147" s="3" t="s">
        <v>15</v>
      </c>
      <c r="I147" s="3" t="s">
        <v>16</v>
      </c>
      <c r="J147" s="23" t="s">
        <v>287</v>
      </c>
      <c r="K147" s="21">
        <v>-122.80833333333331</v>
      </c>
      <c r="L147" s="21">
        <v>37.19166666666667</v>
      </c>
      <c r="M147" s="18" t="s">
        <v>278</v>
      </c>
      <c r="N147" s="190"/>
    </row>
    <row r="148" spans="1:14" ht="15.75" x14ac:dyDescent="0.25">
      <c r="A148" s="18">
        <v>145</v>
      </c>
      <c r="B148" s="19">
        <v>41035</v>
      </c>
      <c r="C148" s="127">
        <v>0.3125</v>
      </c>
      <c r="D148" s="3" t="s">
        <v>269</v>
      </c>
      <c r="E148" s="3" t="s">
        <v>300</v>
      </c>
      <c r="F148" s="3" t="s">
        <v>112</v>
      </c>
      <c r="G148" s="3" t="s">
        <v>44</v>
      </c>
      <c r="H148" s="3" t="s">
        <v>15</v>
      </c>
      <c r="I148" s="3" t="s">
        <v>16</v>
      </c>
      <c r="J148" s="23" t="s">
        <v>301</v>
      </c>
      <c r="K148" s="21">
        <v>-118.5163</v>
      </c>
      <c r="L148" s="21">
        <v>33.387900000000002</v>
      </c>
      <c r="M148" s="18" t="s">
        <v>302</v>
      </c>
      <c r="N148" s="190"/>
    </row>
    <row r="149" spans="1:14" ht="15.75" x14ac:dyDescent="0.25">
      <c r="A149" s="18">
        <v>146</v>
      </c>
      <c r="B149" s="19">
        <v>41041</v>
      </c>
      <c r="C149" s="127">
        <v>0.5625</v>
      </c>
      <c r="D149" s="3" t="s">
        <v>28</v>
      </c>
      <c r="E149" s="3" t="s">
        <v>613</v>
      </c>
      <c r="F149" s="3" t="s">
        <v>140</v>
      </c>
      <c r="G149" s="3" t="s">
        <v>44</v>
      </c>
      <c r="H149" s="3" t="s">
        <v>15</v>
      </c>
      <c r="I149" s="3" t="s">
        <v>16</v>
      </c>
      <c r="J149" s="18" t="s">
        <v>174</v>
      </c>
      <c r="K149" s="21">
        <v>-121.122</v>
      </c>
      <c r="L149" s="21">
        <v>35.582999999999998</v>
      </c>
      <c r="M149" s="3" t="s">
        <v>303</v>
      </c>
      <c r="N149" s="190"/>
    </row>
    <row r="150" spans="1:14" ht="15.75" x14ac:dyDescent="0.25">
      <c r="A150" s="18">
        <v>147</v>
      </c>
      <c r="B150" s="19">
        <v>41097</v>
      </c>
      <c r="C150" s="127">
        <v>0.35416666666666669</v>
      </c>
      <c r="D150" s="3" t="s">
        <v>52</v>
      </c>
      <c r="E150" s="3" t="s">
        <v>304</v>
      </c>
      <c r="F150" s="3" t="s">
        <v>140</v>
      </c>
      <c r="G150" s="3" t="s">
        <v>44</v>
      </c>
      <c r="H150" s="3" t="s">
        <v>15</v>
      </c>
      <c r="I150" s="3" t="s">
        <v>16</v>
      </c>
      <c r="J150" s="18" t="s">
        <v>305</v>
      </c>
      <c r="K150" s="21">
        <v>-121.995</v>
      </c>
      <c r="L150" s="21">
        <v>36.96</v>
      </c>
      <c r="M150" s="3" t="s">
        <v>306</v>
      </c>
      <c r="N150" s="190"/>
    </row>
    <row r="151" spans="1:14" ht="15.75" x14ac:dyDescent="0.25">
      <c r="A151" s="89">
        <v>148</v>
      </c>
      <c r="B151" s="86">
        <v>41121</v>
      </c>
      <c r="C151" s="131">
        <v>0.28125</v>
      </c>
      <c r="D151" s="7" t="s">
        <v>46</v>
      </c>
      <c r="E151" s="7" t="s">
        <v>307</v>
      </c>
      <c r="F151" s="7" t="s">
        <v>76</v>
      </c>
      <c r="G151" s="7" t="s">
        <v>19</v>
      </c>
      <c r="H151" s="7" t="s">
        <v>15</v>
      </c>
      <c r="I151" s="7" t="s">
        <v>102</v>
      </c>
      <c r="J151" s="167" t="s">
        <v>308</v>
      </c>
      <c r="K151" s="21">
        <v>-118.6</v>
      </c>
      <c r="L151" s="21">
        <v>34</v>
      </c>
      <c r="M151" s="18" t="s">
        <v>128</v>
      </c>
      <c r="N151" s="190"/>
    </row>
    <row r="152" spans="1:14" ht="15.75" x14ac:dyDescent="0.25">
      <c r="A152" s="18">
        <v>149</v>
      </c>
      <c r="B152" s="19">
        <v>41189</v>
      </c>
      <c r="C152" s="127">
        <v>0.77083333333333337</v>
      </c>
      <c r="D152" s="3" t="s">
        <v>52</v>
      </c>
      <c r="E152" s="3" t="s">
        <v>182</v>
      </c>
      <c r="F152" s="3" t="s">
        <v>76</v>
      </c>
      <c r="G152" s="3" t="s">
        <v>44</v>
      </c>
      <c r="H152" s="3" t="s">
        <v>15</v>
      </c>
      <c r="I152" s="3" t="s">
        <v>16</v>
      </c>
      <c r="J152" s="23" t="s">
        <v>309</v>
      </c>
      <c r="K152" s="21">
        <v>-122.7533333333333</v>
      </c>
      <c r="L152" s="21">
        <v>37.049999999999997</v>
      </c>
      <c r="M152" s="18" t="s">
        <v>278</v>
      </c>
      <c r="N152" s="190"/>
    </row>
    <row r="153" spans="1:14" ht="15.75" x14ac:dyDescent="0.25">
      <c r="A153" s="18">
        <v>150</v>
      </c>
      <c r="B153" s="19">
        <v>41205</v>
      </c>
      <c r="C153" s="127">
        <v>0.45833333333333331</v>
      </c>
      <c r="D153" s="3" t="s">
        <v>69</v>
      </c>
      <c r="E153" s="3" t="s">
        <v>272</v>
      </c>
      <c r="F153" s="3" t="s">
        <v>76</v>
      </c>
      <c r="G153" s="3" t="s">
        <v>23</v>
      </c>
      <c r="H153" s="3" t="s">
        <v>15</v>
      </c>
      <c r="I153" s="3" t="s">
        <v>16</v>
      </c>
      <c r="J153" s="18" t="s">
        <v>310</v>
      </c>
      <c r="K153" s="21">
        <v>-120.81</v>
      </c>
      <c r="L153" s="21">
        <v>34.683</v>
      </c>
      <c r="M153" s="3" t="s">
        <v>311</v>
      </c>
      <c r="N153" s="190"/>
    </row>
    <row r="154" spans="1:14" ht="15.75" x14ac:dyDescent="0.25">
      <c r="A154" s="18">
        <v>151</v>
      </c>
      <c r="B154" s="19">
        <v>41212</v>
      </c>
      <c r="C154" s="127">
        <v>0.5</v>
      </c>
      <c r="D154" s="3" t="s">
        <v>97</v>
      </c>
      <c r="E154" s="3" t="s">
        <v>312</v>
      </c>
      <c r="F154" s="3" t="s">
        <v>76</v>
      </c>
      <c r="G154" s="3" t="s">
        <v>14</v>
      </c>
      <c r="H154" s="3" t="s">
        <v>15</v>
      </c>
      <c r="I154" s="3" t="s">
        <v>16</v>
      </c>
      <c r="J154" s="18" t="s">
        <v>313</v>
      </c>
      <c r="K154" s="21">
        <v>-124.52666666666666</v>
      </c>
      <c r="L154" s="21">
        <v>40.770000000000003</v>
      </c>
      <c r="M154" s="3" t="s">
        <v>254</v>
      </c>
      <c r="N154" s="190"/>
    </row>
    <row r="155" spans="1:14" ht="15.75" x14ac:dyDescent="0.25">
      <c r="A155" s="18">
        <v>152</v>
      </c>
      <c r="B155" s="29">
        <v>41450</v>
      </c>
      <c r="C155" s="126">
        <v>0.66666666666666663</v>
      </c>
      <c r="D155" s="18" t="s">
        <v>66</v>
      </c>
      <c r="E155" s="30" t="s">
        <v>501</v>
      </c>
      <c r="F155" s="30" t="s">
        <v>140</v>
      </c>
      <c r="G155" s="18" t="s">
        <v>44</v>
      </c>
      <c r="H155" s="3" t="s">
        <v>15</v>
      </c>
      <c r="I155" s="3" t="s">
        <v>16</v>
      </c>
      <c r="J155" s="18" t="s">
        <v>315</v>
      </c>
      <c r="K155" s="21">
        <v>-122.617</v>
      </c>
      <c r="L155" s="21">
        <v>37.596666666666664</v>
      </c>
      <c r="M155" s="3" t="s">
        <v>224</v>
      </c>
      <c r="N155" s="190"/>
    </row>
    <row r="156" spans="1:14" ht="15.75" x14ac:dyDescent="0.25">
      <c r="A156" s="18">
        <v>153</v>
      </c>
      <c r="B156" s="29">
        <v>41503</v>
      </c>
      <c r="C156" s="126">
        <v>0.54166666666666663</v>
      </c>
      <c r="D156" s="18" t="s">
        <v>66</v>
      </c>
      <c r="E156" s="30" t="s">
        <v>437</v>
      </c>
      <c r="F156" s="30" t="s">
        <v>76</v>
      </c>
      <c r="G156" s="18" t="s">
        <v>44</v>
      </c>
      <c r="H156" s="3" t="s">
        <v>15</v>
      </c>
      <c r="I156" s="3" t="s">
        <v>16</v>
      </c>
      <c r="J156" s="18" t="s">
        <v>316</v>
      </c>
      <c r="K156" s="21">
        <v>-122.79899999999998</v>
      </c>
      <c r="L156" s="21">
        <v>37.491999999999997</v>
      </c>
      <c r="M156" s="3" t="s">
        <v>317</v>
      </c>
      <c r="N156" s="190"/>
    </row>
    <row r="157" spans="1:14" ht="15.75" x14ac:dyDescent="0.25">
      <c r="A157" s="89">
        <v>154</v>
      </c>
      <c r="B157" s="83">
        <v>41517</v>
      </c>
      <c r="C157" s="132">
        <v>0.95833333333333337</v>
      </c>
      <c r="D157" s="87" t="s">
        <v>69</v>
      </c>
      <c r="E157" s="88" t="s">
        <v>406</v>
      </c>
      <c r="F157" s="88" t="s">
        <v>13</v>
      </c>
      <c r="G157" s="87" t="s">
        <v>19</v>
      </c>
      <c r="H157" s="81" t="s">
        <v>15</v>
      </c>
      <c r="I157" s="81" t="s">
        <v>318</v>
      </c>
      <c r="J157" s="87" t="s">
        <v>319</v>
      </c>
      <c r="K157" s="21">
        <v>-119.64919999999999</v>
      </c>
      <c r="L157" s="21">
        <v>34.4176</v>
      </c>
      <c r="M157" s="3" t="s">
        <v>320</v>
      </c>
      <c r="N157" s="190"/>
    </row>
    <row r="158" spans="1:14" ht="15.75" x14ac:dyDescent="0.25">
      <c r="A158" s="18">
        <v>155</v>
      </c>
      <c r="B158" s="29">
        <v>41553</v>
      </c>
      <c r="C158" s="126">
        <v>0.35416666666666669</v>
      </c>
      <c r="D158" s="18" t="s">
        <v>97</v>
      </c>
      <c r="E158" s="30" t="s">
        <v>411</v>
      </c>
      <c r="F158" s="30" t="s">
        <v>76</v>
      </c>
      <c r="G158" s="18" t="s">
        <v>14</v>
      </c>
      <c r="H158" s="3" t="s">
        <v>15</v>
      </c>
      <c r="I158" s="3" t="s">
        <v>16</v>
      </c>
      <c r="J158" s="18" t="s">
        <v>321</v>
      </c>
      <c r="K158" s="21">
        <v>-124.62666666666665</v>
      </c>
      <c r="L158" s="21">
        <v>40.770000000000003</v>
      </c>
      <c r="M158" s="18" t="s">
        <v>322</v>
      </c>
      <c r="N158" s="190"/>
    </row>
    <row r="159" spans="1:14" ht="15.75" x14ac:dyDescent="0.25">
      <c r="A159" s="18">
        <v>156</v>
      </c>
      <c r="B159" s="29">
        <v>41825</v>
      </c>
      <c r="C159" s="126">
        <v>0.3125</v>
      </c>
      <c r="D159" s="18" t="s">
        <v>28</v>
      </c>
      <c r="E159" s="30" t="s">
        <v>412</v>
      </c>
      <c r="F159" s="30" t="s">
        <v>76</v>
      </c>
      <c r="G159" s="18" t="s">
        <v>44</v>
      </c>
      <c r="H159" s="3" t="s">
        <v>15</v>
      </c>
      <c r="I159" s="3" t="s">
        <v>16</v>
      </c>
      <c r="J159" s="18" t="s">
        <v>323</v>
      </c>
      <c r="K159" s="21">
        <v>-120.63500000000001</v>
      </c>
      <c r="L159" s="21">
        <v>35.11</v>
      </c>
      <c r="M159" s="3" t="s">
        <v>324</v>
      </c>
      <c r="N159" s="190"/>
    </row>
    <row r="160" spans="1:14" ht="15.75" x14ac:dyDescent="0.25">
      <c r="A160" s="18">
        <v>157</v>
      </c>
      <c r="B160" s="29">
        <v>41895</v>
      </c>
      <c r="C160" s="126">
        <v>0.78125</v>
      </c>
      <c r="D160" s="18" t="s">
        <v>52</v>
      </c>
      <c r="E160" s="30" t="s">
        <v>519</v>
      </c>
      <c r="F160" s="30" t="s">
        <v>76</v>
      </c>
      <c r="G160" s="18" t="s">
        <v>44</v>
      </c>
      <c r="H160" s="3" t="s">
        <v>15</v>
      </c>
      <c r="I160" s="3" t="s">
        <v>16</v>
      </c>
      <c r="J160" s="18" t="s">
        <v>325</v>
      </c>
      <c r="K160" s="21">
        <v>-122</v>
      </c>
      <c r="L160" s="21">
        <v>36.700000000000003</v>
      </c>
      <c r="M160" s="3" t="s">
        <v>326</v>
      </c>
      <c r="N160" s="190"/>
    </row>
    <row r="161" spans="1:14" ht="15.75" x14ac:dyDescent="0.25">
      <c r="A161" s="18">
        <v>158</v>
      </c>
      <c r="B161" s="29">
        <v>41914</v>
      </c>
      <c r="C161" s="126">
        <v>0.72916666666666663</v>
      </c>
      <c r="D161" s="18" t="s">
        <v>69</v>
      </c>
      <c r="E161" s="30" t="s">
        <v>426</v>
      </c>
      <c r="F161" s="30" t="s">
        <v>76</v>
      </c>
      <c r="G161" s="18" t="s">
        <v>19</v>
      </c>
      <c r="H161" s="3" t="s">
        <v>15</v>
      </c>
      <c r="I161" s="3" t="s">
        <v>16</v>
      </c>
      <c r="J161" s="18" t="s">
        <v>327</v>
      </c>
      <c r="K161" s="21">
        <v>-120.64</v>
      </c>
      <c r="L161" s="21">
        <v>34.76</v>
      </c>
      <c r="M161" s="3" t="s">
        <v>328</v>
      </c>
      <c r="N161" s="190"/>
    </row>
    <row r="162" spans="1:14" ht="15.75" x14ac:dyDescent="0.25">
      <c r="A162" s="18">
        <v>159</v>
      </c>
      <c r="B162" s="29">
        <v>41915</v>
      </c>
      <c r="C162" s="126">
        <v>0.45833333333333331</v>
      </c>
      <c r="D162" s="18" t="s">
        <v>69</v>
      </c>
      <c r="E162" s="30" t="s">
        <v>426</v>
      </c>
      <c r="F162" s="30" t="s">
        <v>140</v>
      </c>
      <c r="G162" s="18" t="s">
        <v>44</v>
      </c>
      <c r="H162" s="3" t="s">
        <v>15</v>
      </c>
      <c r="I162" s="3" t="s">
        <v>16</v>
      </c>
      <c r="J162" s="18" t="s">
        <v>329</v>
      </c>
      <c r="K162" s="21">
        <v>-120.74</v>
      </c>
      <c r="L162" s="21">
        <v>34.76</v>
      </c>
      <c r="M162" s="3" t="s">
        <v>330</v>
      </c>
      <c r="N162" s="190"/>
    </row>
    <row r="163" spans="1:14" ht="15.75" x14ac:dyDescent="0.25">
      <c r="A163" s="18">
        <v>160</v>
      </c>
      <c r="B163" s="29">
        <v>41915</v>
      </c>
      <c r="C163" s="126">
        <v>0.58333333333333337</v>
      </c>
      <c r="D163" s="18" t="s">
        <v>69</v>
      </c>
      <c r="E163" s="30" t="s">
        <v>426</v>
      </c>
      <c r="F163" s="30" t="s">
        <v>140</v>
      </c>
      <c r="G163" s="18" t="s">
        <v>44</v>
      </c>
      <c r="H163" s="3" t="s">
        <v>15</v>
      </c>
      <c r="I163" s="3" t="s">
        <v>16</v>
      </c>
      <c r="J163" s="18" t="s">
        <v>331</v>
      </c>
      <c r="K163" s="21">
        <v>-120.84</v>
      </c>
      <c r="L163" s="21">
        <v>34.76</v>
      </c>
      <c r="M163" s="3" t="s">
        <v>330</v>
      </c>
      <c r="N163" s="190"/>
    </row>
    <row r="164" spans="1:14" ht="15.75" x14ac:dyDescent="0.25">
      <c r="A164" s="18">
        <v>161</v>
      </c>
      <c r="B164" s="29">
        <v>41931</v>
      </c>
      <c r="C164" s="126">
        <v>0.60416666666666663</v>
      </c>
      <c r="D164" s="18" t="s">
        <v>69</v>
      </c>
      <c r="E164" s="30" t="s">
        <v>427</v>
      </c>
      <c r="F164" s="30" t="s">
        <v>140</v>
      </c>
      <c r="G164" s="18" t="s">
        <v>44</v>
      </c>
      <c r="H164" s="3" t="s">
        <v>15</v>
      </c>
      <c r="I164" s="3" t="s">
        <v>16</v>
      </c>
      <c r="J164" s="18" t="s">
        <v>332</v>
      </c>
      <c r="K164" s="21">
        <v>-119.70099999999999</v>
      </c>
      <c r="L164" s="21">
        <v>34.398000000000003</v>
      </c>
      <c r="M164" s="3" t="s">
        <v>328</v>
      </c>
      <c r="N164" s="190"/>
    </row>
    <row r="165" spans="1:14" ht="15.75" x14ac:dyDescent="0.25">
      <c r="A165" s="18">
        <v>162</v>
      </c>
      <c r="B165" s="29">
        <v>42001</v>
      </c>
      <c r="C165" s="126">
        <v>0.47916666666666669</v>
      </c>
      <c r="D165" s="18" t="s">
        <v>28</v>
      </c>
      <c r="E165" s="30" t="s">
        <v>413</v>
      </c>
      <c r="F165" s="30" t="s">
        <v>76</v>
      </c>
      <c r="G165" s="18" t="s">
        <v>14</v>
      </c>
      <c r="H165" s="3" t="s">
        <v>15</v>
      </c>
      <c r="I165" s="3" t="s">
        <v>16</v>
      </c>
      <c r="J165" s="18" t="s">
        <v>333</v>
      </c>
      <c r="K165" s="21">
        <v>-120.892</v>
      </c>
      <c r="L165" s="21">
        <v>35.276000000000003</v>
      </c>
      <c r="M165" s="3" t="s">
        <v>324</v>
      </c>
      <c r="N165" s="190"/>
    </row>
    <row r="166" spans="1:14" ht="15.75" x14ac:dyDescent="0.25">
      <c r="A166" s="18">
        <v>163</v>
      </c>
      <c r="B166" s="29">
        <v>42195</v>
      </c>
      <c r="C166" s="126">
        <v>0.36458333333333331</v>
      </c>
      <c r="D166" s="18" t="s">
        <v>123</v>
      </c>
      <c r="E166" s="30" t="s">
        <v>414</v>
      </c>
      <c r="F166" s="30" t="s">
        <v>76</v>
      </c>
      <c r="G166" s="18" t="s">
        <v>44</v>
      </c>
      <c r="H166" s="3" t="s">
        <v>15</v>
      </c>
      <c r="I166" s="3" t="s">
        <v>16</v>
      </c>
      <c r="J166" s="18" t="s">
        <v>334</v>
      </c>
      <c r="K166" s="21">
        <v>-118.29999999999998</v>
      </c>
      <c r="L166" s="21">
        <v>33.700000000000003</v>
      </c>
      <c r="M166" s="3" t="s">
        <v>335</v>
      </c>
      <c r="N166" s="190"/>
    </row>
    <row r="167" spans="1:14" ht="15.75" x14ac:dyDescent="0.25">
      <c r="A167" s="18">
        <v>164</v>
      </c>
      <c r="B167" s="29">
        <v>42234</v>
      </c>
      <c r="C167" s="126">
        <v>0.3125</v>
      </c>
      <c r="D167" s="18" t="s">
        <v>69</v>
      </c>
      <c r="E167" s="30" t="s">
        <v>415</v>
      </c>
      <c r="F167" s="30" t="s">
        <v>140</v>
      </c>
      <c r="G167" s="18" t="s">
        <v>44</v>
      </c>
      <c r="H167" s="3" t="s">
        <v>15</v>
      </c>
      <c r="I167" s="3" t="s">
        <v>16</v>
      </c>
      <c r="J167" s="18" t="s">
        <v>336</v>
      </c>
      <c r="K167" s="21">
        <v>-120.21</v>
      </c>
      <c r="L167" s="21">
        <v>34.366999999999997</v>
      </c>
      <c r="M167" s="3" t="s">
        <v>337</v>
      </c>
      <c r="N167" s="190"/>
    </row>
    <row r="168" spans="1:14" ht="15.75" x14ac:dyDescent="0.25">
      <c r="A168" s="18">
        <v>165</v>
      </c>
      <c r="B168" s="29">
        <v>42245</v>
      </c>
      <c r="C168" s="126">
        <v>0.42708333333333331</v>
      </c>
      <c r="D168" s="18" t="s">
        <v>28</v>
      </c>
      <c r="E168" s="30" t="s">
        <v>416</v>
      </c>
      <c r="F168" s="30" t="s">
        <v>76</v>
      </c>
      <c r="G168" s="18" t="s">
        <v>44</v>
      </c>
      <c r="H168" s="3" t="s">
        <v>15</v>
      </c>
      <c r="I168" s="3" t="s">
        <v>16</v>
      </c>
      <c r="J168" s="18" t="s">
        <v>323</v>
      </c>
      <c r="K168" s="21">
        <v>-121.07499999999999</v>
      </c>
      <c r="L168" s="21">
        <v>35.403333333333336</v>
      </c>
      <c r="M168" s="3" t="s">
        <v>324</v>
      </c>
      <c r="N168" s="190"/>
    </row>
    <row r="169" spans="1:14" ht="15.75" x14ac:dyDescent="0.25">
      <c r="A169" s="89">
        <v>166</v>
      </c>
      <c r="B169" s="83">
        <v>42252</v>
      </c>
      <c r="C169" s="132">
        <v>0.625</v>
      </c>
      <c r="D169" s="87" t="s">
        <v>241</v>
      </c>
      <c r="E169" s="88" t="s">
        <v>338</v>
      </c>
      <c r="F169" s="88" t="s">
        <v>140</v>
      </c>
      <c r="G169" s="87" t="s">
        <v>19</v>
      </c>
      <c r="H169" s="81" t="s">
        <v>15</v>
      </c>
      <c r="I169" s="81" t="s">
        <v>40</v>
      </c>
      <c r="J169" s="87" t="s">
        <v>339</v>
      </c>
      <c r="K169" s="21">
        <v>-118.9986</v>
      </c>
      <c r="L169" s="21">
        <v>34.051400000000001</v>
      </c>
      <c r="M169" s="3" t="s">
        <v>289</v>
      </c>
      <c r="N169" s="190"/>
    </row>
    <row r="170" spans="1:14" ht="15.75" x14ac:dyDescent="0.25">
      <c r="A170" s="18">
        <v>167</v>
      </c>
      <c r="B170" s="29">
        <v>42253</v>
      </c>
      <c r="C170" s="126">
        <v>0.72916666666666663</v>
      </c>
      <c r="D170" s="18" t="s">
        <v>46</v>
      </c>
      <c r="E170" s="30" t="s">
        <v>417</v>
      </c>
      <c r="F170" s="30" t="s">
        <v>112</v>
      </c>
      <c r="G170" s="18" t="s">
        <v>44</v>
      </c>
      <c r="H170" s="3" t="s">
        <v>15</v>
      </c>
      <c r="I170" s="3" t="s">
        <v>16</v>
      </c>
      <c r="J170" s="18" t="s">
        <v>340</v>
      </c>
      <c r="K170" s="21">
        <v>-118.89400000000001</v>
      </c>
      <c r="L170" s="21">
        <v>34.037999999999997</v>
      </c>
      <c r="M170" s="3" t="s">
        <v>128</v>
      </c>
      <c r="N170" s="190"/>
    </row>
    <row r="171" spans="1:14" ht="15.75" x14ac:dyDescent="0.25">
      <c r="A171" s="89">
        <v>168</v>
      </c>
      <c r="B171" s="143">
        <v>42267</v>
      </c>
      <c r="C171" s="144">
        <v>0.45833333333333331</v>
      </c>
      <c r="D171" s="89" t="s">
        <v>578</v>
      </c>
      <c r="E171" s="145" t="s">
        <v>584</v>
      </c>
      <c r="F171" s="145" t="s">
        <v>26</v>
      </c>
      <c r="G171" s="89" t="s">
        <v>19</v>
      </c>
      <c r="H171" s="7" t="s">
        <v>15</v>
      </c>
      <c r="I171" s="7" t="s">
        <v>40</v>
      </c>
      <c r="J171" s="89" t="s">
        <v>585</v>
      </c>
      <c r="K171" s="21">
        <v>-119.55</v>
      </c>
      <c r="L171" s="21">
        <v>34</v>
      </c>
      <c r="M171" s="3" t="s">
        <v>586</v>
      </c>
      <c r="N171" s="190"/>
    </row>
    <row r="172" spans="1:14" ht="15.75" x14ac:dyDescent="0.25">
      <c r="A172" s="18">
        <v>169</v>
      </c>
      <c r="B172" s="29">
        <v>42271</v>
      </c>
      <c r="C172" s="126">
        <v>0.45833333333333331</v>
      </c>
      <c r="D172" s="18" t="s">
        <v>69</v>
      </c>
      <c r="E172" s="30" t="s">
        <v>418</v>
      </c>
      <c r="F172" s="30" t="s">
        <v>140</v>
      </c>
      <c r="G172" s="18" t="s">
        <v>19</v>
      </c>
      <c r="H172" s="3" t="s">
        <v>15</v>
      </c>
      <c r="I172" s="3" t="s">
        <v>16</v>
      </c>
      <c r="J172" s="18" t="s">
        <v>341</v>
      </c>
      <c r="K172" s="21">
        <v>-119.595</v>
      </c>
      <c r="L172" s="21">
        <v>34.417000000000002</v>
      </c>
      <c r="M172" s="3" t="s">
        <v>328</v>
      </c>
      <c r="N172" s="190"/>
    </row>
    <row r="173" spans="1:14" ht="15.75" x14ac:dyDescent="0.25">
      <c r="A173" s="18">
        <v>170</v>
      </c>
      <c r="B173" s="29">
        <v>42519</v>
      </c>
      <c r="C173" s="126">
        <v>0.625</v>
      </c>
      <c r="D173" s="18" t="s">
        <v>123</v>
      </c>
      <c r="E173" s="30" t="s">
        <v>419</v>
      </c>
      <c r="F173" s="30" t="s">
        <v>13</v>
      </c>
      <c r="G173" s="18" t="s">
        <v>14</v>
      </c>
      <c r="H173" s="3" t="s">
        <v>15</v>
      </c>
      <c r="I173" s="3" t="s">
        <v>16</v>
      </c>
      <c r="J173" s="18" t="s">
        <v>342</v>
      </c>
      <c r="K173" s="21">
        <v>-117.8755</v>
      </c>
      <c r="L173" s="21">
        <v>33.593299999999999</v>
      </c>
      <c r="M173" s="3" t="s">
        <v>343</v>
      </c>
      <c r="N173" s="190"/>
    </row>
    <row r="174" spans="1:14" ht="15.75" x14ac:dyDescent="0.25">
      <c r="A174" s="114" t="s">
        <v>465</v>
      </c>
      <c r="B174" s="115">
        <v>42566</v>
      </c>
      <c r="C174" s="133"/>
      <c r="D174" s="114" t="s">
        <v>123</v>
      </c>
      <c r="E174" s="116" t="s">
        <v>504</v>
      </c>
      <c r="F174" s="116" t="s">
        <v>76</v>
      </c>
      <c r="G174" s="114" t="s">
        <v>507</v>
      </c>
      <c r="H174" s="117" t="s">
        <v>473</v>
      </c>
      <c r="I174" s="117" t="s">
        <v>16</v>
      </c>
      <c r="J174" s="114" t="s">
        <v>505</v>
      </c>
      <c r="K174" s="21"/>
      <c r="L174" s="21"/>
      <c r="M174" s="3" t="s">
        <v>506</v>
      </c>
      <c r="N174" s="190"/>
    </row>
    <row r="175" spans="1:14" ht="15.75" x14ac:dyDescent="0.25">
      <c r="A175" s="18">
        <v>171</v>
      </c>
      <c r="B175" s="29">
        <v>42614</v>
      </c>
      <c r="C175" s="126">
        <v>0.375</v>
      </c>
      <c r="D175" s="18" t="s">
        <v>69</v>
      </c>
      <c r="E175" s="30" t="s">
        <v>420</v>
      </c>
      <c r="F175" s="30" t="s">
        <v>26</v>
      </c>
      <c r="G175" s="18" t="s">
        <v>19</v>
      </c>
      <c r="H175" s="3" t="s">
        <v>15</v>
      </c>
      <c r="I175" s="3" t="s">
        <v>16</v>
      </c>
      <c r="J175" s="18" t="s">
        <v>344</v>
      </c>
      <c r="K175" s="21">
        <v>-120.075</v>
      </c>
      <c r="L175" s="21">
        <v>34.46</v>
      </c>
      <c r="M175" s="3" t="s">
        <v>345</v>
      </c>
      <c r="N175" s="190"/>
    </row>
    <row r="176" spans="1:14" ht="15.75" x14ac:dyDescent="0.25">
      <c r="A176" s="18">
        <v>172</v>
      </c>
      <c r="B176" s="29">
        <v>42630</v>
      </c>
      <c r="C176" s="126" t="s">
        <v>524</v>
      </c>
      <c r="D176" s="18" t="s">
        <v>97</v>
      </c>
      <c r="E176" s="30" t="s">
        <v>421</v>
      </c>
      <c r="F176" s="30" t="s">
        <v>76</v>
      </c>
      <c r="G176" s="18" t="s">
        <v>44</v>
      </c>
      <c r="H176" s="3" t="s">
        <v>15</v>
      </c>
      <c r="I176" s="3" t="s">
        <v>16</v>
      </c>
      <c r="J176" s="18" t="s">
        <v>346</v>
      </c>
      <c r="K176" s="21">
        <v>-124.72666666666665</v>
      </c>
      <c r="L176" s="21">
        <v>40.770000000000003</v>
      </c>
      <c r="M176" s="3" t="s">
        <v>298</v>
      </c>
      <c r="N176" s="190"/>
    </row>
    <row r="177" spans="1:14" ht="15.75" x14ac:dyDescent="0.25">
      <c r="A177" s="18">
        <v>173</v>
      </c>
      <c r="B177" s="29">
        <v>42812</v>
      </c>
      <c r="C177" s="126">
        <v>0.6875</v>
      </c>
      <c r="D177" s="18" t="s">
        <v>22</v>
      </c>
      <c r="E177" s="30" t="s">
        <v>422</v>
      </c>
      <c r="F177" s="30" t="s">
        <v>140</v>
      </c>
      <c r="G177" s="18" t="s">
        <v>44</v>
      </c>
      <c r="H177" s="3" t="s">
        <v>15</v>
      </c>
      <c r="I177" s="3" t="s">
        <v>16</v>
      </c>
      <c r="J177" s="18" t="s">
        <v>348</v>
      </c>
      <c r="K177" s="21">
        <v>-121.95</v>
      </c>
      <c r="L177" s="21">
        <v>36.626666666666665</v>
      </c>
      <c r="M177" s="18" t="s">
        <v>224</v>
      </c>
      <c r="N177" s="190"/>
    </row>
    <row r="178" spans="1:14" ht="15.75" x14ac:dyDescent="0.25">
      <c r="A178" s="18">
        <v>174</v>
      </c>
      <c r="B178" s="29">
        <v>42854</v>
      </c>
      <c r="C178" s="126">
        <v>0.72916666666666663</v>
      </c>
      <c r="D178" s="18" t="s">
        <v>11</v>
      </c>
      <c r="E178" s="30" t="s">
        <v>423</v>
      </c>
      <c r="F178" s="30" t="s">
        <v>13</v>
      </c>
      <c r="G178" s="18" t="s">
        <v>14</v>
      </c>
      <c r="H178" s="3" t="s">
        <v>15</v>
      </c>
      <c r="I178" s="3" t="s">
        <v>16</v>
      </c>
      <c r="J178" s="18" t="s">
        <v>349</v>
      </c>
      <c r="K178" s="21">
        <v>-118.1</v>
      </c>
      <c r="L178" s="21">
        <v>33.369999999999997</v>
      </c>
      <c r="M178" s="3" t="s">
        <v>265</v>
      </c>
      <c r="N178" s="190"/>
    </row>
    <row r="179" spans="1:14" ht="15.75" x14ac:dyDescent="0.25">
      <c r="A179" s="18">
        <v>175</v>
      </c>
      <c r="B179" s="29">
        <v>42927</v>
      </c>
      <c r="C179" s="126">
        <v>0.45833333333333331</v>
      </c>
      <c r="D179" s="18" t="s">
        <v>52</v>
      </c>
      <c r="E179" s="30" t="s">
        <v>350</v>
      </c>
      <c r="F179" s="30" t="s">
        <v>140</v>
      </c>
      <c r="G179" s="18" t="s">
        <v>44</v>
      </c>
      <c r="H179" s="3" t="s">
        <v>15</v>
      </c>
      <c r="I179" s="3" t="s">
        <v>16</v>
      </c>
      <c r="J179" s="18" t="s">
        <v>351</v>
      </c>
      <c r="K179" s="21">
        <v>-121.895</v>
      </c>
      <c r="L179" s="21">
        <v>36.96</v>
      </c>
      <c r="M179" s="3" t="s">
        <v>352</v>
      </c>
      <c r="N179" s="190"/>
    </row>
    <row r="180" spans="1:14" ht="15.75" x14ac:dyDescent="0.25">
      <c r="A180" s="18">
        <v>176</v>
      </c>
      <c r="B180" s="29">
        <v>42936</v>
      </c>
      <c r="C180" s="126">
        <v>0.33333333333333331</v>
      </c>
      <c r="D180" s="18" t="s">
        <v>69</v>
      </c>
      <c r="E180" s="30" t="s">
        <v>661</v>
      </c>
      <c r="F180" s="30" t="s">
        <v>112</v>
      </c>
      <c r="G180" s="18" t="s">
        <v>44</v>
      </c>
      <c r="H180" s="3" t="s">
        <v>15</v>
      </c>
      <c r="I180" s="3" t="s">
        <v>16</v>
      </c>
      <c r="J180" s="18" t="s">
        <v>353</v>
      </c>
      <c r="K180" s="21">
        <v>-119.8</v>
      </c>
      <c r="L180" s="21">
        <v>34.398000000000003</v>
      </c>
      <c r="M180" s="3" t="s">
        <v>354</v>
      </c>
      <c r="N180" s="190"/>
    </row>
    <row r="181" spans="1:14" ht="15.75" x14ac:dyDescent="0.25">
      <c r="A181" s="18">
        <v>177</v>
      </c>
      <c r="B181" s="29">
        <v>42936</v>
      </c>
      <c r="C181" s="126">
        <v>0.46875</v>
      </c>
      <c r="D181" s="18" t="s">
        <v>69</v>
      </c>
      <c r="E181" s="30" t="s">
        <v>425</v>
      </c>
      <c r="F181" s="30" t="s">
        <v>140</v>
      </c>
      <c r="G181" s="18" t="s">
        <v>44</v>
      </c>
      <c r="H181" s="3" t="s">
        <v>15</v>
      </c>
      <c r="I181" s="3" t="s">
        <v>16</v>
      </c>
      <c r="J181" s="18" t="s">
        <v>355</v>
      </c>
      <c r="K181" s="21">
        <v>-119.9</v>
      </c>
      <c r="L181" s="21">
        <v>34.398000000000003</v>
      </c>
      <c r="M181" s="3" t="s">
        <v>354</v>
      </c>
      <c r="N181" s="190"/>
    </row>
    <row r="182" spans="1:14" ht="15.75" x14ac:dyDescent="0.25">
      <c r="A182" s="18">
        <v>178</v>
      </c>
      <c r="B182" s="29">
        <v>42948</v>
      </c>
      <c r="C182" s="126">
        <v>0.44791666666666669</v>
      </c>
      <c r="D182" s="18" t="s">
        <v>66</v>
      </c>
      <c r="E182" s="30" t="s">
        <v>500</v>
      </c>
      <c r="F182" s="30" t="s">
        <v>140</v>
      </c>
      <c r="G182" s="18" t="s">
        <v>44</v>
      </c>
      <c r="H182" s="3" t="s">
        <v>15</v>
      </c>
      <c r="I182" s="3" t="s">
        <v>16</v>
      </c>
      <c r="J182" s="18" t="s">
        <v>445</v>
      </c>
      <c r="K182" s="21">
        <v>-122.9083333</v>
      </c>
      <c r="L182" s="21">
        <v>37.19166666666667</v>
      </c>
      <c r="M182" s="3" t="s">
        <v>230</v>
      </c>
      <c r="N182" s="190"/>
    </row>
    <row r="183" spans="1:14" ht="15.75" x14ac:dyDescent="0.25">
      <c r="A183" s="18">
        <v>179</v>
      </c>
      <c r="B183" s="29">
        <v>43063</v>
      </c>
      <c r="C183" s="126">
        <v>0.5625</v>
      </c>
      <c r="D183" s="18" t="s">
        <v>22</v>
      </c>
      <c r="E183" s="30" t="s">
        <v>453</v>
      </c>
      <c r="F183" s="30" t="s">
        <v>26</v>
      </c>
      <c r="G183" s="18" t="s">
        <v>14</v>
      </c>
      <c r="H183" s="3" t="s">
        <v>15</v>
      </c>
      <c r="I183" s="3" t="s">
        <v>16</v>
      </c>
      <c r="J183" s="18" t="s">
        <v>695</v>
      </c>
      <c r="K183" s="21">
        <v>-121.94237219999999</v>
      </c>
      <c r="L183" s="21">
        <v>36.564250000000001</v>
      </c>
      <c r="M183" s="3" t="s">
        <v>455</v>
      </c>
      <c r="N183" s="98" t="s">
        <v>696</v>
      </c>
    </row>
    <row r="184" spans="1:14" ht="15.75" x14ac:dyDescent="0.25">
      <c r="A184" s="18">
        <v>180</v>
      </c>
      <c r="B184" s="29">
        <v>43099</v>
      </c>
      <c r="C184" s="126">
        <v>0.625</v>
      </c>
      <c r="D184" s="18" t="s">
        <v>50</v>
      </c>
      <c r="E184" s="30" t="s">
        <v>456</v>
      </c>
      <c r="F184" s="30" t="s">
        <v>76</v>
      </c>
      <c r="G184" s="18" t="s">
        <v>19</v>
      </c>
      <c r="H184" s="3" t="s">
        <v>15</v>
      </c>
      <c r="I184" s="3" t="s">
        <v>16</v>
      </c>
      <c r="J184" s="18" t="s">
        <v>459</v>
      </c>
      <c r="K184" s="21">
        <v>-122.9417</v>
      </c>
      <c r="L184" s="21">
        <v>38.027799999999999</v>
      </c>
      <c r="M184" s="3" t="s">
        <v>460</v>
      </c>
      <c r="N184" s="190"/>
    </row>
    <row r="185" spans="1:14" ht="15.75" x14ac:dyDescent="0.25">
      <c r="A185" s="18">
        <v>181</v>
      </c>
      <c r="B185" s="29">
        <v>43276</v>
      </c>
      <c r="C185" s="125">
        <v>0.75</v>
      </c>
      <c r="D185" s="18" t="s">
        <v>11</v>
      </c>
      <c r="E185" s="30" t="s">
        <v>462</v>
      </c>
      <c r="F185" s="30" t="s">
        <v>140</v>
      </c>
      <c r="G185" s="18" t="s">
        <v>44</v>
      </c>
      <c r="H185" s="3" t="s">
        <v>15</v>
      </c>
      <c r="I185" s="3" t="s">
        <v>102</v>
      </c>
      <c r="J185" s="18" t="s">
        <v>332</v>
      </c>
      <c r="K185" s="21">
        <v>-117.430831</v>
      </c>
      <c r="L185" s="21">
        <v>33.187739000000001</v>
      </c>
      <c r="M185" s="3" t="s">
        <v>463</v>
      </c>
      <c r="N185" s="190"/>
    </row>
    <row r="186" spans="1:14" s="11" customFormat="1" ht="15.75" customHeight="1" x14ac:dyDescent="0.2">
      <c r="A186" s="96" t="s">
        <v>465</v>
      </c>
      <c r="B186" s="97">
        <v>43296</v>
      </c>
      <c r="C186" s="97"/>
      <c r="D186" s="96" t="s">
        <v>97</v>
      </c>
      <c r="E186" s="96" t="s">
        <v>147</v>
      </c>
      <c r="F186" s="96" t="s">
        <v>466</v>
      </c>
      <c r="G186" s="96" t="s">
        <v>472</v>
      </c>
      <c r="H186" s="96" t="s">
        <v>473</v>
      </c>
      <c r="I186" s="96" t="s">
        <v>318</v>
      </c>
      <c r="J186" s="96" t="s">
        <v>467</v>
      </c>
      <c r="K186" s="102" t="s">
        <v>468</v>
      </c>
      <c r="L186" s="102"/>
      <c r="M186" s="98" t="s">
        <v>469</v>
      </c>
      <c r="N186" s="98"/>
    </row>
    <row r="187" spans="1:14" s="46" customFormat="1" ht="15.75" customHeight="1" x14ac:dyDescent="0.2">
      <c r="A187" s="99">
        <v>182</v>
      </c>
      <c r="B187" s="100">
        <v>43336</v>
      </c>
      <c r="C187" s="125">
        <v>0.83333333333333337</v>
      </c>
      <c r="D187" s="99" t="s">
        <v>123</v>
      </c>
      <c r="E187" s="99" t="s">
        <v>263</v>
      </c>
      <c r="F187" s="99" t="s">
        <v>13</v>
      </c>
      <c r="G187" s="99" t="s">
        <v>44</v>
      </c>
      <c r="H187" s="99" t="s">
        <v>15</v>
      </c>
      <c r="I187" s="99" t="s">
        <v>16</v>
      </c>
      <c r="J187" s="99" t="s">
        <v>470</v>
      </c>
      <c r="K187" s="102">
        <v>-118.4</v>
      </c>
      <c r="L187" s="102">
        <v>33.700000000000003</v>
      </c>
      <c r="M187" s="99" t="s">
        <v>471</v>
      </c>
      <c r="N187" s="99"/>
    </row>
    <row r="188" spans="1:14" s="46" customFormat="1" ht="15.75" customHeight="1" x14ac:dyDescent="0.2">
      <c r="A188" s="96" t="s">
        <v>465</v>
      </c>
      <c r="B188" s="97">
        <v>43370</v>
      </c>
      <c r="C188" s="97"/>
      <c r="D188" s="96" t="s">
        <v>97</v>
      </c>
      <c r="E188" s="96" t="s">
        <v>159</v>
      </c>
      <c r="F188" s="96" t="s">
        <v>140</v>
      </c>
      <c r="G188" s="96" t="s">
        <v>507</v>
      </c>
      <c r="H188" s="96" t="s">
        <v>473</v>
      </c>
      <c r="I188" s="96" t="s">
        <v>16</v>
      </c>
      <c r="J188" s="96" t="s">
        <v>502</v>
      </c>
      <c r="K188" s="102"/>
      <c r="L188" s="102"/>
      <c r="M188" s="99" t="s">
        <v>503</v>
      </c>
      <c r="N188" s="99"/>
    </row>
    <row r="189" spans="1:14" s="46" customFormat="1" ht="15.75" customHeight="1" x14ac:dyDescent="0.2">
      <c r="A189" s="99">
        <v>183</v>
      </c>
      <c r="B189" s="100">
        <v>43372</v>
      </c>
      <c r="C189" s="125">
        <v>0.29166666666666669</v>
      </c>
      <c r="D189" s="99" t="s">
        <v>11</v>
      </c>
      <c r="E189" s="99" t="s">
        <v>474</v>
      </c>
      <c r="F189" s="99" t="s">
        <v>26</v>
      </c>
      <c r="G189" s="99" t="s">
        <v>14</v>
      </c>
      <c r="H189" s="99" t="s">
        <v>15</v>
      </c>
      <c r="I189" s="99" t="s">
        <v>16</v>
      </c>
      <c r="J189" s="99" t="s">
        <v>476</v>
      </c>
      <c r="K189" s="102">
        <v>-117.3047</v>
      </c>
      <c r="L189" s="102">
        <v>33.065199999999997</v>
      </c>
      <c r="M189" s="99" t="s">
        <v>475</v>
      </c>
      <c r="N189" s="99"/>
    </row>
    <row r="190" spans="1:14" s="46" customFormat="1" ht="15.75" customHeight="1" x14ac:dyDescent="0.2">
      <c r="A190" s="99">
        <v>184</v>
      </c>
      <c r="B190" s="100">
        <v>43396</v>
      </c>
      <c r="C190" s="125">
        <v>0.41666666666666669</v>
      </c>
      <c r="D190" s="99" t="s">
        <v>58</v>
      </c>
      <c r="E190" s="99" t="s">
        <v>59</v>
      </c>
      <c r="F190" s="99" t="s">
        <v>60</v>
      </c>
      <c r="G190" s="99" t="s">
        <v>14</v>
      </c>
      <c r="H190" s="99" t="s">
        <v>477</v>
      </c>
      <c r="I190" s="99" t="s">
        <v>16</v>
      </c>
      <c r="J190" s="99" t="s">
        <v>480</v>
      </c>
      <c r="K190" s="21">
        <v>-123.631666666667</v>
      </c>
      <c r="L190" s="21">
        <v>37.72</v>
      </c>
      <c r="M190" s="99" t="s">
        <v>479</v>
      </c>
      <c r="N190" s="99"/>
    </row>
    <row r="191" spans="1:14" s="46" customFormat="1" ht="15.75" customHeight="1" x14ac:dyDescent="0.2">
      <c r="A191" s="99">
        <v>185</v>
      </c>
      <c r="B191" s="100">
        <v>43473</v>
      </c>
      <c r="C191" s="125">
        <v>0.58333333333333337</v>
      </c>
      <c r="D191" s="99" t="s">
        <v>28</v>
      </c>
      <c r="E191" s="99" t="s">
        <v>413</v>
      </c>
      <c r="F191" s="99" t="s">
        <v>76</v>
      </c>
      <c r="G191" s="99" t="s">
        <v>14</v>
      </c>
      <c r="H191" s="99" t="s">
        <v>15</v>
      </c>
      <c r="I191" s="99" t="s">
        <v>16</v>
      </c>
      <c r="J191" s="99" t="s">
        <v>481</v>
      </c>
      <c r="K191" s="21">
        <v>-120.992</v>
      </c>
      <c r="L191" s="21">
        <v>35.276000000000003</v>
      </c>
      <c r="M191" s="99" t="s">
        <v>482</v>
      </c>
      <c r="N191" s="99"/>
    </row>
    <row r="192" spans="1:14" s="11" customFormat="1" ht="15.75" customHeight="1" x14ac:dyDescent="0.2">
      <c r="A192" s="98">
        <v>186</v>
      </c>
      <c r="B192" s="95">
        <v>43592</v>
      </c>
      <c r="C192" s="95" t="s">
        <v>102</v>
      </c>
      <c r="D192" s="98" t="s">
        <v>42</v>
      </c>
      <c r="E192" s="98" t="s">
        <v>56</v>
      </c>
      <c r="F192" s="98" t="s">
        <v>76</v>
      </c>
      <c r="G192" s="98" t="s">
        <v>44</v>
      </c>
      <c r="H192" s="98" t="s">
        <v>15</v>
      </c>
      <c r="I192" s="98" t="s">
        <v>16</v>
      </c>
      <c r="J192" s="98" t="s">
        <v>485</v>
      </c>
      <c r="K192" s="21">
        <v>-123.676666666667</v>
      </c>
      <c r="L192" s="21">
        <v>38.358333333333334</v>
      </c>
      <c r="M192" s="99" t="s">
        <v>486</v>
      </c>
      <c r="N192" s="98"/>
    </row>
    <row r="193" spans="1:14" s="11" customFormat="1" ht="15.75" customHeight="1" x14ac:dyDescent="0.2">
      <c r="A193" s="111">
        <v>187</v>
      </c>
      <c r="B193" s="112">
        <v>43709</v>
      </c>
      <c r="C193" s="124">
        <v>0.5</v>
      </c>
      <c r="D193" s="111" t="s">
        <v>11</v>
      </c>
      <c r="E193" s="111" t="s">
        <v>266</v>
      </c>
      <c r="F193" s="111" t="s">
        <v>76</v>
      </c>
      <c r="G193" s="111" t="s">
        <v>44</v>
      </c>
      <c r="H193" s="111" t="s">
        <v>15</v>
      </c>
      <c r="I193" s="111" t="s">
        <v>488</v>
      </c>
      <c r="J193" s="111" t="s">
        <v>489</v>
      </c>
      <c r="K193" s="87">
        <v>-117.4</v>
      </c>
      <c r="L193" s="87">
        <v>33</v>
      </c>
      <c r="M193" s="111" t="s">
        <v>490</v>
      </c>
      <c r="N193" s="98"/>
    </row>
    <row r="194" spans="1:14" s="11" customFormat="1" ht="15.75" customHeight="1" x14ac:dyDescent="0.2">
      <c r="A194" s="98">
        <v>188</v>
      </c>
      <c r="B194" s="95">
        <v>43743</v>
      </c>
      <c r="C194" s="123">
        <v>0.33333333333333331</v>
      </c>
      <c r="D194" s="98" t="s">
        <v>269</v>
      </c>
      <c r="E194" s="98" t="s">
        <v>662</v>
      </c>
      <c r="F194" s="98" t="s">
        <v>140</v>
      </c>
      <c r="G194" s="98" t="s">
        <v>44</v>
      </c>
      <c r="H194" s="98" t="s">
        <v>15</v>
      </c>
      <c r="I194" s="98" t="s">
        <v>16</v>
      </c>
      <c r="J194" s="98" t="s">
        <v>492</v>
      </c>
      <c r="K194" s="21">
        <v>-118.49169999999999</v>
      </c>
      <c r="L194" s="21">
        <v>33.462499999999999</v>
      </c>
      <c r="M194" s="99" t="s">
        <v>493</v>
      </c>
      <c r="N194" s="98"/>
    </row>
    <row r="195" spans="1:14" s="11" customFormat="1" ht="15.75" customHeight="1" x14ac:dyDescent="0.2">
      <c r="A195" s="98">
        <v>189</v>
      </c>
      <c r="B195" s="95">
        <v>43820</v>
      </c>
      <c r="C195" s="123">
        <v>0.63541666666666663</v>
      </c>
      <c r="D195" s="98" t="s">
        <v>494</v>
      </c>
      <c r="E195" s="98" t="s">
        <v>663</v>
      </c>
      <c r="F195" s="98" t="s">
        <v>76</v>
      </c>
      <c r="G195" s="98" t="s">
        <v>14</v>
      </c>
      <c r="H195" s="98" t="s">
        <v>15</v>
      </c>
      <c r="I195" s="98" t="s">
        <v>16</v>
      </c>
      <c r="J195" s="98" t="s">
        <v>496</v>
      </c>
      <c r="K195" s="21">
        <v>-120.23333</v>
      </c>
      <c r="L195" s="21">
        <v>34.016669999999998</v>
      </c>
      <c r="M195" s="99" t="s">
        <v>497</v>
      </c>
      <c r="N195" s="98" t="s">
        <v>598</v>
      </c>
    </row>
    <row r="196" spans="1:14" s="11" customFormat="1" ht="15.75" customHeight="1" x14ac:dyDescent="0.2">
      <c r="A196" s="98">
        <v>190</v>
      </c>
      <c r="B196" s="95">
        <v>43917</v>
      </c>
      <c r="C196" s="123">
        <v>0.79166666666666663</v>
      </c>
      <c r="D196" s="98" t="s">
        <v>52</v>
      </c>
      <c r="E196" s="98" t="s">
        <v>304</v>
      </c>
      <c r="F196" s="98" t="s">
        <v>112</v>
      </c>
      <c r="G196" s="98" t="s">
        <v>44</v>
      </c>
      <c r="H196" s="98" t="s">
        <v>15</v>
      </c>
      <c r="I196" s="98" t="s">
        <v>16</v>
      </c>
      <c r="J196" s="98" t="s">
        <v>508</v>
      </c>
      <c r="K196" s="21">
        <v>-122.095</v>
      </c>
      <c r="L196" s="21">
        <v>36.96</v>
      </c>
      <c r="M196" s="99" t="s">
        <v>509</v>
      </c>
      <c r="N196" s="98"/>
    </row>
    <row r="197" spans="1:14" s="11" customFormat="1" ht="15.75" customHeight="1" x14ac:dyDescent="0.2">
      <c r="A197" s="96" t="s">
        <v>465</v>
      </c>
      <c r="B197" s="97">
        <v>43949</v>
      </c>
      <c r="C197" s="97"/>
      <c r="D197" s="96" t="s">
        <v>11</v>
      </c>
      <c r="E197" s="96" t="s">
        <v>511</v>
      </c>
      <c r="F197" s="96" t="s">
        <v>76</v>
      </c>
      <c r="G197" s="96" t="s">
        <v>472</v>
      </c>
      <c r="H197" s="96" t="s">
        <v>473</v>
      </c>
      <c r="I197" s="96" t="s">
        <v>102</v>
      </c>
      <c r="J197" s="96" t="s">
        <v>512</v>
      </c>
      <c r="K197" s="96"/>
      <c r="L197" s="96"/>
      <c r="M197" s="96"/>
      <c r="N197" s="96"/>
    </row>
    <row r="198" spans="1:14" s="11" customFormat="1" ht="15.75" customHeight="1" x14ac:dyDescent="0.2">
      <c r="A198" s="98">
        <v>191</v>
      </c>
      <c r="B198" s="95">
        <v>43952</v>
      </c>
      <c r="C198" s="123">
        <v>0.60416666666666663</v>
      </c>
      <c r="D198" s="98" t="s">
        <v>69</v>
      </c>
      <c r="E198" s="98" t="s">
        <v>513</v>
      </c>
      <c r="F198" s="98" t="s">
        <v>13</v>
      </c>
      <c r="G198" s="98" t="s">
        <v>19</v>
      </c>
      <c r="H198" s="98" t="s">
        <v>15</v>
      </c>
      <c r="I198" s="98" t="s">
        <v>16</v>
      </c>
      <c r="J198" s="98" t="s">
        <v>514</v>
      </c>
      <c r="K198" s="21">
        <v>-119.69499999999999</v>
      </c>
      <c r="L198" s="21">
        <v>34.413330000000002</v>
      </c>
      <c r="M198" s="99" t="s">
        <v>515</v>
      </c>
      <c r="N198" s="98"/>
    </row>
    <row r="199" spans="1:14" s="11" customFormat="1" ht="15.75" customHeight="1" x14ac:dyDescent="0.2">
      <c r="A199" s="98">
        <v>192</v>
      </c>
      <c r="B199" s="95">
        <v>43960</v>
      </c>
      <c r="C199" s="123">
        <v>0.5625</v>
      </c>
      <c r="D199" s="98" t="s">
        <v>52</v>
      </c>
      <c r="E199" s="98" t="s">
        <v>516</v>
      </c>
      <c r="F199" s="98" t="s">
        <v>76</v>
      </c>
      <c r="G199" s="98" t="s">
        <v>23</v>
      </c>
      <c r="H199" s="98" t="s">
        <v>15</v>
      </c>
      <c r="I199" s="98" t="s">
        <v>16</v>
      </c>
      <c r="J199" s="98" t="s">
        <v>518</v>
      </c>
      <c r="K199" s="21">
        <v>-121.8558</v>
      </c>
      <c r="L199" s="21">
        <v>36.919966000000002</v>
      </c>
      <c r="M199" s="99" t="s">
        <v>517</v>
      </c>
      <c r="N199" s="98" t="s">
        <v>599</v>
      </c>
    </row>
    <row r="200" spans="1:14" s="11" customFormat="1" ht="15.75" customHeight="1" x14ac:dyDescent="0.2">
      <c r="A200" s="98">
        <v>193</v>
      </c>
      <c r="B200" s="95">
        <v>43976</v>
      </c>
      <c r="C200" s="123">
        <v>0.3125</v>
      </c>
      <c r="D200" s="98" t="s">
        <v>97</v>
      </c>
      <c r="E200" s="98" t="s">
        <v>159</v>
      </c>
      <c r="F200" s="98" t="s">
        <v>140</v>
      </c>
      <c r="G200" s="98" t="s">
        <v>44</v>
      </c>
      <c r="H200" s="98" t="s">
        <v>15</v>
      </c>
      <c r="I200" s="98" t="s">
        <v>16</v>
      </c>
      <c r="J200" s="98" t="s">
        <v>576</v>
      </c>
      <c r="K200" s="21">
        <v>-124.283333</v>
      </c>
      <c r="L200" s="21">
        <v>40.028333000000003</v>
      </c>
      <c r="M200" s="99" t="s">
        <v>577</v>
      </c>
      <c r="N200" s="98" t="s">
        <v>600</v>
      </c>
    </row>
    <row r="201" spans="1:14" s="11" customFormat="1" ht="15.75" customHeight="1" x14ac:dyDescent="0.2">
      <c r="A201" s="98">
        <v>194</v>
      </c>
      <c r="B201" s="95">
        <v>44001</v>
      </c>
      <c r="C201" s="123">
        <v>0.66666666666666663</v>
      </c>
      <c r="D201" s="98" t="s">
        <v>578</v>
      </c>
      <c r="E201" s="98" t="s">
        <v>434</v>
      </c>
      <c r="F201" s="98" t="s">
        <v>60</v>
      </c>
      <c r="G201" s="98" t="s">
        <v>44</v>
      </c>
      <c r="H201" s="98" t="s">
        <v>580</v>
      </c>
      <c r="I201" s="98" t="s">
        <v>16</v>
      </c>
      <c r="J201" s="98" t="s">
        <v>583</v>
      </c>
      <c r="K201" s="21">
        <v>-119.52207</v>
      </c>
      <c r="L201" s="21">
        <v>34.034931</v>
      </c>
      <c r="M201" s="99" t="s">
        <v>582</v>
      </c>
      <c r="N201" s="98"/>
    </row>
    <row r="202" spans="1:14" s="11" customFormat="1" ht="15.75" customHeight="1" x14ac:dyDescent="0.2">
      <c r="A202" s="98">
        <v>195</v>
      </c>
      <c r="B202" s="95">
        <v>44055</v>
      </c>
      <c r="C202" s="123">
        <v>0.73749999999999993</v>
      </c>
      <c r="D202" s="98" t="s">
        <v>46</v>
      </c>
      <c r="E202" s="98" t="s">
        <v>587</v>
      </c>
      <c r="F202" s="98" t="s">
        <v>26</v>
      </c>
      <c r="G202" s="98" t="s">
        <v>19</v>
      </c>
      <c r="H202" s="98" t="s">
        <v>15</v>
      </c>
      <c r="I202" s="98" t="s">
        <v>16</v>
      </c>
      <c r="J202" s="98" t="s">
        <v>588</v>
      </c>
      <c r="K202" s="21">
        <v>-118.4089628</v>
      </c>
      <c r="L202" s="21">
        <v>33.79</v>
      </c>
      <c r="M202" s="99" t="s">
        <v>590</v>
      </c>
      <c r="N202" s="98"/>
    </row>
    <row r="203" spans="1:14" s="11" customFormat="1" ht="15.75" customHeight="1" x14ac:dyDescent="0.2">
      <c r="A203" s="98">
        <v>196</v>
      </c>
      <c r="B203" s="95">
        <v>44071</v>
      </c>
      <c r="C203" s="123">
        <v>0.70833333333333337</v>
      </c>
      <c r="D203" s="98" t="s">
        <v>97</v>
      </c>
      <c r="E203" s="98" t="s">
        <v>159</v>
      </c>
      <c r="F203" s="98" t="s">
        <v>140</v>
      </c>
      <c r="G203" s="98" t="s">
        <v>44</v>
      </c>
      <c r="H203" s="98" t="s">
        <v>15</v>
      </c>
      <c r="I203" s="98" t="s">
        <v>16</v>
      </c>
      <c r="J203" s="98" t="s">
        <v>591</v>
      </c>
      <c r="K203" s="21">
        <v>-124.38333299999999</v>
      </c>
      <c r="L203" s="21">
        <v>40.028333000000003</v>
      </c>
      <c r="M203" s="99" t="s">
        <v>592</v>
      </c>
      <c r="N203" s="98" t="s">
        <v>601</v>
      </c>
    </row>
    <row r="204" spans="1:14" s="11" customFormat="1" x14ac:dyDescent="0.2">
      <c r="A204" s="98">
        <v>197</v>
      </c>
      <c r="B204" s="95">
        <v>44195</v>
      </c>
      <c r="C204" s="123">
        <v>0.58333333333333337</v>
      </c>
      <c r="D204" s="98" t="s">
        <v>11</v>
      </c>
      <c r="E204" s="98" t="s">
        <v>593</v>
      </c>
      <c r="F204" s="98" t="s">
        <v>13</v>
      </c>
      <c r="G204" s="98" t="s">
        <v>44</v>
      </c>
      <c r="H204" s="98" t="s">
        <v>15</v>
      </c>
      <c r="I204" s="98" t="s">
        <v>16</v>
      </c>
      <c r="J204" s="98" t="s">
        <v>594</v>
      </c>
      <c r="K204" s="21">
        <v>-117.316667</v>
      </c>
      <c r="L204" s="21">
        <v>32.685000000000002</v>
      </c>
      <c r="M204" s="99" t="s">
        <v>595</v>
      </c>
      <c r="N204" s="98"/>
    </row>
    <row r="205" spans="1:14" s="11" customFormat="1" x14ac:dyDescent="0.2">
      <c r="A205" s="98">
        <v>198</v>
      </c>
      <c r="B205" s="95">
        <v>44373</v>
      </c>
      <c r="C205" s="123">
        <v>0.375</v>
      </c>
      <c r="D205" s="98" t="s">
        <v>66</v>
      </c>
      <c r="E205" s="98" t="s">
        <v>606</v>
      </c>
      <c r="F205" s="98" t="s">
        <v>26</v>
      </c>
      <c r="G205" s="98" t="s">
        <v>14</v>
      </c>
      <c r="H205" s="98" t="s">
        <v>15</v>
      </c>
      <c r="I205" s="98" t="s">
        <v>16</v>
      </c>
      <c r="J205" s="98" t="s">
        <v>609</v>
      </c>
      <c r="K205" s="21">
        <v>-122.615003</v>
      </c>
      <c r="L205" s="21">
        <v>37.564967000000003</v>
      </c>
      <c r="M205" s="99" t="s">
        <v>608</v>
      </c>
      <c r="N205" s="98"/>
    </row>
    <row r="206" spans="1:14" s="11" customFormat="1" x14ac:dyDescent="0.2">
      <c r="A206" s="98">
        <v>199</v>
      </c>
      <c r="B206" s="95">
        <v>44377</v>
      </c>
      <c r="C206" s="123">
        <v>0.30208333333333331</v>
      </c>
      <c r="D206" s="98" t="s">
        <v>269</v>
      </c>
      <c r="E206" s="98" t="s">
        <v>664</v>
      </c>
      <c r="F206" s="98" t="s">
        <v>140</v>
      </c>
      <c r="G206" s="98" t="s">
        <v>19</v>
      </c>
      <c r="H206" s="98" t="s">
        <v>15</v>
      </c>
      <c r="I206" s="98" t="s">
        <v>16</v>
      </c>
      <c r="J206" s="98" t="s">
        <v>612</v>
      </c>
      <c r="K206" s="21">
        <v>-118.55</v>
      </c>
      <c r="L206" s="21">
        <v>33.47</v>
      </c>
      <c r="M206" s="99" t="s">
        <v>610</v>
      </c>
      <c r="N206" s="98"/>
    </row>
    <row r="207" spans="1:14" s="11" customFormat="1" x14ac:dyDescent="0.2">
      <c r="A207" s="98">
        <v>200</v>
      </c>
      <c r="B207" s="95">
        <v>44382</v>
      </c>
      <c r="C207" s="123">
        <v>0.38541666666666669</v>
      </c>
      <c r="D207" s="98" t="s">
        <v>28</v>
      </c>
      <c r="E207" s="98" t="s">
        <v>613</v>
      </c>
      <c r="F207" s="98" t="s">
        <v>140</v>
      </c>
      <c r="G207" s="98" t="s">
        <v>44</v>
      </c>
      <c r="H207" s="98" t="s">
        <v>15</v>
      </c>
      <c r="I207" s="98" t="s">
        <v>16</v>
      </c>
      <c r="J207" s="98" t="s">
        <v>614</v>
      </c>
      <c r="K207" s="21">
        <v>-121.22199999999999</v>
      </c>
      <c r="L207" s="21">
        <v>35.582999999999998</v>
      </c>
      <c r="M207" s="99" t="s">
        <v>616</v>
      </c>
      <c r="N207" s="98" t="s">
        <v>617</v>
      </c>
    </row>
    <row r="208" spans="1:14" s="11" customFormat="1" x14ac:dyDescent="0.2">
      <c r="A208" s="177">
        <v>201</v>
      </c>
      <c r="B208" s="178">
        <v>44399</v>
      </c>
      <c r="C208" s="179">
        <v>0.46875</v>
      </c>
      <c r="D208" s="177" t="s">
        <v>22</v>
      </c>
      <c r="E208" s="177" t="s">
        <v>618</v>
      </c>
      <c r="F208" s="177" t="s">
        <v>76</v>
      </c>
      <c r="G208" s="177" t="s">
        <v>44</v>
      </c>
      <c r="H208" s="177" t="s">
        <v>15</v>
      </c>
      <c r="I208" s="177" t="s">
        <v>102</v>
      </c>
      <c r="J208" s="98" t="s">
        <v>620</v>
      </c>
      <c r="K208" s="21">
        <v>-121.79170000000001</v>
      </c>
      <c r="L208" s="21">
        <v>36.807600000000001</v>
      </c>
      <c r="M208" s="99" t="s">
        <v>621</v>
      </c>
      <c r="N208" s="98" t="s">
        <v>619</v>
      </c>
    </row>
    <row r="209" spans="1:14" s="11" customFormat="1" x14ac:dyDescent="0.2">
      <c r="A209" s="98">
        <v>202</v>
      </c>
      <c r="B209" s="95">
        <v>44472</v>
      </c>
      <c r="C209" s="123">
        <v>0.375</v>
      </c>
      <c r="D209" s="98" t="s">
        <v>42</v>
      </c>
      <c r="E209" s="98" t="s">
        <v>56</v>
      </c>
      <c r="F209" s="98" t="s">
        <v>76</v>
      </c>
      <c r="G209" s="98" t="s">
        <v>14</v>
      </c>
      <c r="H209" s="98" t="s">
        <v>15</v>
      </c>
      <c r="I209" s="98" t="s">
        <v>16</v>
      </c>
      <c r="J209" s="98" t="s">
        <v>623</v>
      </c>
      <c r="K209" s="21">
        <v>-123.77666670000001</v>
      </c>
      <c r="L209" s="21">
        <v>38.358333330000001</v>
      </c>
      <c r="M209" s="99" t="s">
        <v>624</v>
      </c>
      <c r="N209" s="98" t="s">
        <v>625</v>
      </c>
    </row>
    <row r="210" spans="1:14" s="11" customFormat="1" x14ac:dyDescent="0.2">
      <c r="A210" s="98">
        <v>203</v>
      </c>
      <c r="B210" s="95">
        <v>44552</v>
      </c>
      <c r="C210" s="123">
        <v>0.66666666666666663</v>
      </c>
      <c r="D210" s="98" t="s">
        <v>42</v>
      </c>
      <c r="E210" s="98" t="s">
        <v>56</v>
      </c>
      <c r="F210" s="98" t="s">
        <v>76</v>
      </c>
      <c r="G210" s="98" t="s">
        <v>44</v>
      </c>
      <c r="H210" s="98" t="s">
        <v>15</v>
      </c>
      <c r="I210" s="98" t="s">
        <v>16</v>
      </c>
      <c r="J210" s="98" t="s">
        <v>630</v>
      </c>
      <c r="K210" s="21">
        <v>-123.8766667</v>
      </c>
      <c r="L210" s="21">
        <v>38.358333332999997</v>
      </c>
      <c r="M210" s="99" t="s">
        <v>631</v>
      </c>
      <c r="N210" s="98"/>
    </row>
    <row r="211" spans="1:14" s="11" customFormat="1" x14ac:dyDescent="0.2">
      <c r="A211" s="98">
        <v>204</v>
      </c>
      <c r="B211" s="95">
        <v>44554</v>
      </c>
      <c r="C211" s="123">
        <v>0.44444444444444442</v>
      </c>
      <c r="D211" s="98" t="s">
        <v>28</v>
      </c>
      <c r="E211" s="98" t="s">
        <v>632</v>
      </c>
      <c r="F211" s="98" t="s">
        <v>76</v>
      </c>
      <c r="G211" s="98" t="s">
        <v>23</v>
      </c>
      <c r="H211" s="98" t="s">
        <v>15</v>
      </c>
      <c r="I211" s="98" t="s">
        <v>16</v>
      </c>
      <c r="J211" s="98" t="s">
        <v>634</v>
      </c>
      <c r="K211" s="21">
        <v>-121.175</v>
      </c>
      <c r="L211" s="21">
        <v>35.403333330000002</v>
      </c>
      <c r="M211" s="99" t="s">
        <v>624</v>
      </c>
      <c r="N211" s="98" t="s">
        <v>635</v>
      </c>
    </row>
    <row r="212" spans="1:14" s="11" customFormat="1" x14ac:dyDescent="0.2">
      <c r="A212" s="99">
        <v>205</v>
      </c>
      <c r="B212" s="100">
        <v>44618</v>
      </c>
      <c r="C212" s="125">
        <v>0.47916666666666669</v>
      </c>
      <c r="D212" s="99" t="s">
        <v>94</v>
      </c>
      <c r="E212" s="99" t="s">
        <v>685</v>
      </c>
      <c r="F212" s="99" t="s">
        <v>60</v>
      </c>
      <c r="G212" s="99" t="s">
        <v>14</v>
      </c>
      <c r="H212" s="99" t="s">
        <v>15</v>
      </c>
      <c r="I212" s="99" t="s">
        <v>16</v>
      </c>
      <c r="J212" s="98" t="s">
        <v>687</v>
      </c>
      <c r="K212" s="21">
        <v>-120.83666669999999</v>
      </c>
      <c r="L212" s="21">
        <v>34.04</v>
      </c>
      <c r="M212" s="99" t="s">
        <v>686</v>
      </c>
      <c r="N212" s="98"/>
    </row>
    <row r="213" spans="1:14" s="11" customFormat="1" x14ac:dyDescent="0.2">
      <c r="A213" s="109"/>
      <c r="B213" s="110"/>
      <c r="C213" s="146"/>
      <c r="D213" s="109"/>
      <c r="E213" s="109"/>
      <c r="F213" s="109"/>
      <c r="G213" s="109"/>
      <c r="H213" s="109"/>
      <c r="I213" s="109"/>
      <c r="J213" s="109"/>
      <c r="K213" s="169"/>
      <c r="L213" s="169"/>
      <c r="M213" s="101"/>
    </row>
    <row r="214" spans="1:14" s="11" customFormat="1" x14ac:dyDescent="0.2">
      <c r="A214" s="24"/>
      <c r="C214" s="35"/>
      <c r="D214" s="24"/>
      <c r="E214" s="24"/>
      <c r="F214" s="24" t="s">
        <v>357</v>
      </c>
      <c r="G214" s="24">
        <f>COUNTIF(G1:G213,"fatal")</f>
        <v>15</v>
      </c>
      <c r="H214" s="24"/>
      <c r="I214" s="24"/>
      <c r="J214" s="24"/>
      <c r="K214" s="24"/>
      <c r="L214" s="24"/>
      <c r="M214" s="24"/>
    </row>
    <row r="215" spans="1:14" s="11" customFormat="1" ht="15.75" x14ac:dyDescent="0.25">
      <c r="A215"/>
      <c r="C215" s="46"/>
      <c r="D215" s="45"/>
      <c r="E215" s="174"/>
      <c r="F215" s="24" t="s">
        <v>347</v>
      </c>
      <c r="G215" s="24">
        <f>COUNTIF(G1:G213,"none")</f>
        <v>79</v>
      </c>
      <c r="H215"/>
      <c r="I215"/>
      <c r="J215"/>
      <c r="K215"/>
      <c r="L215"/>
      <c r="M215"/>
    </row>
    <row r="216" spans="1:14" ht="15.75" x14ac:dyDescent="0.25">
      <c r="A216" s="24"/>
      <c r="C216" s="24"/>
      <c r="D216" s="45"/>
      <c r="E216" s="24"/>
      <c r="F216" s="24" t="s">
        <v>358</v>
      </c>
      <c r="G216" s="24">
        <f>COUNTIF(G1:G213,"major")</f>
        <v>59</v>
      </c>
      <c r="H216" s="24"/>
      <c r="I216" s="24"/>
      <c r="J216" s="24"/>
      <c r="K216" s="24"/>
      <c r="L216" s="24"/>
      <c r="M216" s="24"/>
    </row>
    <row r="217" spans="1:14" ht="15.75" x14ac:dyDescent="0.25">
      <c r="A217" s="109"/>
      <c r="B217" s="110"/>
      <c r="C217" s="110"/>
      <c r="D217" s="109"/>
      <c r="E217" s="109"/>
      <c r="F217" s="24" t="s">
        <v>359</v>
      </c>
      <c r="G217" s="24">
        <f>COUNTIF(G1:G213,"minor")</f>
        <v>49</v>
      </c>
      <c r="H217" s="109">
        <f>SUM(G216:G217)</f>
        <v>108</v>
      </c>
      <c r="I217" s="109"/>
      <c r="J217" s="109"/>
      <c r="K217" s="113"/>
      <c r="L217" s="113"/>
      <c r="M217" s="101"/>
    </row>
    <row r="218" spans="1:14" ht="15.75" x14ac:dyDescent="0.25">
      <c r="A218" s="34" t="s">
        <v>356</v>
      </c>
      <c r="B218" s="147"/>
      <c r="C218" s="147"/>
      <c r="D218" s="148"/>
      <c r="E218" s="148"/>
      <c r="F218" s="109" t="s">
        <v>361</v>
      </c>
      <c r="G218" s="109">
        <f>SUM(G214:G217)</f>
        <v>202</v>
      </c>
      <c r="H218" s="109"/>
      <c r="I218" s="109"/>
      <c r="J218" s="109"/>
      <c r="K218" s="113"/>
      <c r="L218" s="113"/>
      <c r="M218" s="101"/>
    </row>
    <row r="219" spans="1:14" ht="15.75" x14ac:dyDescent="0.25">
      <c r="A219" s="121" t="s">
        <v>520</v>
      </c>
      <c r="B219" s="149"/>
      <c r="C219" s="149"/>
      <c r="D219" s="150"/>
      <c r="E219" s="109"/>
      <c r="F219" s="109"/>
      <c r="G219" s="109"/>
      <c r="H219" s="109"/>
      <c r="I219" s="109"/>
      <c r="J219" s="109"/>
      <c r="K219" s="113"/>
      <c r="L219" s="113"/>
      <c r="M219" s="101"/>
    </row>
    <row r="220" spans="1:14" ht="15.75" x14ac:dyDescent="0.25">
      <c r="A220" s="90" t="s">
        <v>360</v>
      </c>
      <c r="B220" s="151"/>
      <c r="C220" s="151"/>
      <c r="D220" s="109"/>
      <c r="E220" s="109"/>
      <c r="F220" s="109"/>
      <c r="G220" s="109"/>
      <c r="H220" s="109"/>
      <c r="I220" s="109"/>
      <c r="J220" s="109"/>
      <c r="K220" s="113"/>
      <c r="L220" s="113"/>
      <c r="M220" s="101"/>
    </row>
    <row r="221" spans="1:14" ht="15.75" x14ac:dyDescent="0.25">
      <c r="A221" s="138" t="s">
        <v>574</v>
      </c>
      <c r="B221" s="139"/>
      <c r="C221" s="139"/>
      <c r="D221" s="138"/>
      <c r="E221" s="138"/>
      <c r="F221" s="138"/>
      <c r="G221" s="138"/>
      <c r="H221" s="138"/>
      <c r="I221" s="138"/>
      <c r="J221" s="109"/>
      <c r="K221" s="113"/>
      <c r="L221" s="113"/>
      <c r="M221" s="101"/>
    </row>
    <row r="222" spans="1:14" ht="15.75" x14ac:dyDescent="0.25">
      <c r="A222" s="24"/>
      <c r="B222" s="35"/>
      <c r="C222" s="35"/>
      <c r="D222" s="24"/>
      <c r="E222" s="24"/>
      <c r="H222" s="24"/>
      <c r="I222" s="24"/>
      <c r="J222" s="24"/>
      <c r="K222" s="24"/>
      <c r="L222" s="24"/>
      <c r="M222" s="24"/>
    </row>
    <row r="223" spans="1:14" ht="15.75" x14ac:dyDescent="0.25">
      <c r="A223" s="24"/>
      <c r="B223" s="35"/>
      <c r="C223" s="35"/>
      <c r="D223" s="24"/>
      <c r="E223" s="24"/>
      <c r="H223" s="24"/>
      <c r="I223" s="24"/>
      <c r="J223" s="24"/>
      <c r="K223" s="24"/>
      <c r="L223" s="24"/>
      <c r="M223" s="24"/>
    </row>
  </sheetData>
  <autoFilter ref="A1:N216" xr:uid="{B01E614B-7624-40CB-A062-C35554DB7230}">
    <sortState xmlns:xlrd2="http://schemas.microsoft.com/office/spreadsheetml/2017/richdata2" ref="A2:N197">
      <sortCondition ref="L1:L201"/>
    </sortState>
  </autoFilter>
  <sortState xmlns:xlrd2="http://schemas.microsoft.com/office/spreadsheetml/2017/richdata2" ref="A2:N224">
    <sortCondition ref="B2:B224"/>
  </sortState>
  <dataValidations count="4">
    <dataValidation type="list" allowBlank="1" showErrorMessage="1" sqref="H216:I216 G215:G216 G218:G221 G2:G191" xr:uid="{00000000-0002-0000-0000-000000000000}">
      <formula1>Injury</formula1>
    </dataValidation>
    <dataValidation allowBlank="1" showErrorMessage="1" sqref="F1:G1 D1" xr:uid="{00000000-0002-0000-0000-000001000000}"/>
    <dataValidation type="list" allowBlank="1" showErrorMessage="1" sqref="F215:F216 F218:F221 F2:F155" xr:uid="{00000000-0002-0000-0000-000002000000}">
      <formula1>Mode</formula1>
    </dataValidation>
    <dataValidation type="list" allowBlank="1" showErrorMessage="1" sqref="B222:C222 D216:D221 D2:D191" xr:uid="{00000000-0002-0000-0000-000003000000}">
      <formula1>County</formula1>
    </dataValidation>
  </dataValidations>
  <pageMargins left="0.7" right="0.7" top="0.75" bottom="0.75" header="0.3" footer="0.3"/>
  <pageSetup orientation="portrait"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6CE92-CD29-4D84-95C2-79651990AE61}">
  <dimension ref="A1:AH215"/>
  <sheetViews>
    <sheetView topLeftCell="AB1" workbookViewId="0">
      <selection activeCell="AC2" sqref="AC2"/>
    </sheetView>
  </sheetViews>
  <sheetFormatPr defaultRowHeight="15.75" x14ac:dyDescent="0.25"/>
  <cols>
    <col min="1" max="1" width="18.28515625" bestFit="1" customWidth="1"/>
    <col min="2" max="2" width="15.140625" customWidth="1"/>
    <col min="3" max="3" width="7.42578125" customWidth="1"/>
    <col min="4" max="4" width="23.85546875" style="11" bestFit="1" customWidth="1"/>
    <col min="5" max="5" width="14.42578125" style="11" bestFit="1" customWidth="1"/>
    <col min="6" max="12" width="14.42578125" style="11" customWidth="1"/>
    <col min="16" max="16" width="12.7109375" bestFit="1" customWidth="1"/>
    <col min="18" max="18" width="24.42578125" bestFit="1" customWidth="1"/>
    <col min="19" max="19" width="14.42578125" bestFit="1" customWidth="1"/>
    <col min="23" max="23" width="12.7109375" bestFit="1" customWidth="1"/>
    <col min="25" max="25" width="24.42578125" bestFit="1" customWidth="1"/>
    <col min="26" max="26" width="14.42578125" bestFit="1" customWidth="1"/>
    <col min="29" max="29" width="12" bestFit="1" customWidth="1"/>
    <col min="30" max="30" width="10.5703125" bestFit="1" customWidth="1"/>
    <col min="31" max="31" width="8.7109375" bestFit="1" customWidth="1"/>
    <col min="32" max="32" width="7.5703125" bestFit="1" customWidth="1"/>
  </cols>
  <sheetData>
    <row r="1" spans="1:34" x14ac:dyDescent="0.25">
      <c r="A1" t="s">
        <v>646</v>
      </c>
      <c r="H1" s="11" t="s">
        <v>689</v>
      </c>
      <c r="O1" s="61" t="s">
        <v>651</v>
      </c>
      <c r="V1" s="61" t="s">
        <v>376</v>
      </c>
      <c r="AC1" t="s">
        <v>690</v>
      </c>
      <c r="AD1" t="s">
        <v>691</v>
      </c>
      <c r="AE1" t="s">
        <v>692</v>
      </c>
    </row>
    <row r="2" spans="1:34" x14ac:dyDescent="0.25">
      <c r="A2" s="16" t="s">
        <v>440</v>
      </c>
      <c r="B2" s="159" t="s">
        <v>0</v>
      </c>
      <c r="C2" s="160" t="s">
        <v>4</v>
      </c>
      <c r="D2" s="172" t="s">
        <v>636</v>
      </c>
      <c r="E2" s="172" t="s">
        <v>638</v>
      </c>
      <c r="F2" s="181"/>
      <c r="G2" s="181"/>
      <c r="H2" s="16" t="s">
        <v>440</v>
      </c>
      <c r="I2" s="159" t="s">
        <v>0</v>
      </c>
      <c r="J2" s="160" t="s">
        <v>4</v>
      </c>
      <c r="K2" s="172" t="s">
        <v>636</v>
      </c>
      <c r="L2" s="172" t="s">
        <v>638</v>
      </c>
      <c r="O2" s="16" t="s">
        <v>440</v>
      </c>
      <c r="P2" s="159" t="s">
        <v>0</v>
      </c>
      <c r="Q2" s="160" t="s">
        <v>4</v>
      </c>
      <c r="R2" s="172" t="s">
        <v>636</v>
      </c>
      <c r="S2" s="172" t="s">
        <v>638</v>
      </c>
      <c r="V2" s="16" t="s">
        <v>440</v>
      </c>
      <c r="W2" s="159" t="s">
        <v>0</v>
      </c>
      <c r="X2" s="160" t="s">
        <v>4</v>
      </c>
      <c r="Y2" s="172" t="s">
        <v>636</v>
      </c>
      <c r="Z2" s="172" t="s">
        <v>638</v>
      </c>
      <c r="AB2">
        <f>(AD2-AC2)/100</f>
        <v>0.1</v>
      </c>
      <c r="AC2">
        <v>0</v>
      </c>
      <c r="AD2">
        <v>10</v>
      </c>
      <c r="AE2" t="s">
        <v>645</v>
      </c>
    </row>
    <row r="3" spans="1:34" x14ac:dyDescent="0.25">
      <c r="A3" s="18">
        <v>1</v>
      </c>
      <c r="B3" s="19">
        <v>18544</v>
      </c>
      <c r="C3" s="3" t="s">
        <v>14</v>
      </c>
      <c r="D3" s="98" t="s">
        <v>637</v>
      </c>
      <c r="E3" s="98">
        <v>10.9</v>
      </c>
      <c r="F3" s="109"/>
      <c r="G3" s="109"/>
      <c r="H3" s="182">
        <v>11</v>
      </c>
      <c r="I3" s="183">
        <v>21827</v>
      </c>
      <c r="J3" s="184" t="s">
        <v>44</v>
      </c>
      <c r="K3" s="98" t="str">
        <f t="shared" ref="K3:K66" si="0">LOOKUP(L3,$AC$2:$AC$6,$AE$2:$AE$6)</f>
        <v>New</v>
      </c>
      <c r="L3" s="98">
        <v>6.42</v>
      </c>
      <c r="O3" s="18">
        <v>1</v>
      </c>
      <c r="P3" s="19">
        <v>18544</v>
      </c>
      <c r="Q3" s="3" t="s">
        <v>14</v>
      </c>
      <c r="R3" s="98" t="str">
        <f t="shared" ref="R3:R66" si="1">LOOKUP(S3,$AC$2:$AC$6,$AE$2:$AE$6)</f>
        <v>New</v>
      </c>
      <c r="S3" s="98">
        <v>10.9</v>
      </c>
      <c r="V3" s="18">
        <v>3</v>
      </c>
      <c r="W3" s="19">
        <v>19335</v>
      </c>
      <c r="X3" s="3" t="s">
        <v>23</v>
      </c>
      <c r="Y3" s="98" t="str">
        <f>LOOKUP(Z3,$AC$2:$AC$6,$AE$2:$AE$6)</f>
        <v>Gibbous</v>
      </c>
      <c r="Z3" s="98">
        <v>66.900000000000006</v>
      </c>
      <c r="AB3">
        <f t="shared" ref="AB3:AB6" si="2">(AD3-AC3)/100</f>
        <v>0.33</v>
      </c>
      <c r="AC3">
        <v>11</v>
      </c>
      <c r="AD3">
        <v>44</v>
      </c>
      <c r="AE3" t="s">
        <v>694</v>
      </c>
    </row>
    <row r="4" spans="1:34" x14ac:dyDescent="0.25">
      <c r="A4" s="18">
        <v>2</v>
      </c>
      <c r="B4" s="19">
        <v>19141</v>
      </c>
      <c r="C4" s="3" t="s">
        <v>19</v>
      </c>
      <c r="D4" s="98" t="s">
        <v>639</v>
      </c>
      <c r="E4" s="98">
        <v>13.91</v>
      </c>
      <c r="F4" s="109"/>
      <c r="G4" s="109"/>
      <c r="H4" s="182">
        <v>15</v>
      </c>
      <c r="I4" s="183">
        <v>22422</v>
      </c>
      <c r="J4" s="184" t="s">
        <v>44</v>
      </c>
      <c r="K4" s="98" t="str">
        <f t="shared" si="0"/>
        <v>Crescent</v>
      </c>
      <c r="L4" s="98">
        <v>40.46</v>
      </c>
      <c r="O4" s="18">
        <v>2</v>
      </c>
      <c r="P4" s="19">
        <v>19141</v>
      </c>
      <c r="Q4" s="3" t="s">
        <v>19</v>
      </c>
      <c r="R4" s="98" t="str">
        <f t="shared" si="1"/>
        <v>Crescent</v>
      </c>
      <c r="S4" s="98">
        <v>13.91</v>
      </c>
      <c r="V4" s="18">
        <v>6</v>
      </c>
      <c r="W4" s="19">
        <v>20938</v>
      </c>
      <c r="X4" s="3" t="s">
        <v>23</v>
      </c>
      <c r="Y4" s="98" t="str">
        <f t="shared" ref="Y4:Y17" si="3">LOOKUP(Z4,$AC$2:$AC$6,$AE$2:$AE$6)</f>
        <v>New</v>
      </c>
      <c r="Z4" s="98">
        <v>1.89</v>
      </c>
      <c r="AB4">
        <f t="shared" si="2"/>
        <v>0.1</v>
      </c>
      <c r="AC4">
        <v>45</v>
      </c>
      <c r="AD4">
        <v>55</v>
      </c>
      <c r="AE4" t="s">
        <v>648</v>
      </c>
    </row>
    <row r="5" spans="1:34" x14ac:dyDescent="0.25">
      <c r="A5" s="18">
        <v>3</v>
      </c>
      <c r="B5" s="19">
        <v>19335</v>
      </c>
      <c r="C5" s="3" t="s">
        <v>23</v>
      </c>
      <c r="D5" s="98" t="s">
        <v>640</v>
      </c>
      <c r="E5" s="98">
        <v>66.900000000000006</v>
      </c>
      <c r="F5" s="109"/>
      <c r="G5" s="109"/>
      <c r="H5" s="182">
        <v>35</v>
      </c>
      <c r="I5" s="183">
        <v>27594</v>
      </c>
      <c r="J5" s="184" t="s">
        <v>44</v>
      </c>
      <c r="K5" s="98" t="str">
        <f t="shared" si="0"/>
        <v>Gibbous</v>
      </c>
      <c r="L5" s="98">
        <v>87.24</v>
      </c>
      <c r="O5" s="18">
        <v>4</v>
      </c>
      <c r="P5" s="19">
        <v>20126</v>
      </c>
      <c r="Q5" s="3" t="s">
        <v>19</v>
      </c>
      <c r="R5" s="98" t="str">
        <f t="shared" si="1"/>
        <v>Full</v>
      </c>
      <c r="S5" s="98">
        <v>100</v>
      </c>
      <c r="V5" s="18">
        <v>8</v>
      </c>
      <c r="W5" s="19">
        <v>21677</v>
      </c>
      <c r="X5" s="3" t="s">
        <v>23</v>
      </c>
      <c r="Y5" s="98" t="str">
        <f t="shared" si="3"/>
        <v>New</v>
      </c>
      <c r="Z5" s="98">
        <v>0</v>
      </c>
      <c r="AB5">
        <f t="shared" si="2"/>
        <v>0.33</v>
      </c>
      <c r="AC5">
        <v>56</v>
      </c>
      <c r="AD5">
        <v>89</v>
      </c>
      <c r="AE5" t="s">
        <v>693</v>
      </c>
    </row>
    <row r="6" spans="1:34" x14ac:dyDescent="0.25">
      <c r="A6" s="18">
        <v>4</v>
      </c>
      <c r="B6" s="19">
        <v>20126</v>
      </c>
      <c r="C6" s="3" t="s">
        <v>19</v>
      </c>
      <c r="D6" s="98" t="s">
        <v>641</v>
      </c>
      <c r="E6" s="98">
        <v>100</v>
      </c>
      <c r="F6" s="109"/>
      <c r="G6" s="109"/>
      <c r="H6" s="182">
        <v>43</v>
      </c>
      <c r="I6" s="183">
        <v>28925</v>
      </c>
      <c r="J6" s="184" t="s">
        <v>44</v>
      </c>
      <c r="K6" s="98" t="str">
        <f t="shared" si="0"/>
        <v>Full</v>
      </c>
      <c r="L6" s="98">
        <v>99.42</v>
      </c>
      <c r="O6" s="18">
        <v>5</v>
      </c>
      <c r="P6" s="19">
        <v>20681</v>
      </c>
      <c r="Q6" s="3" t="s">
        <v>14</v>
      </c>
      <c r="R6" s="98" t="str">
        <f t="shared" si="1"/>
        <v>Gibbous</v>
      </c>
      <c r="S6" s="98">
        <v>62.73</v>
      </c>
      <c r="V6" s="18">
        <v>9</v>
      </c>
      <c r="W6" s="19">
        <v>21715</v>
      </c>
      <c r="X6" s="3" t="s">
        <v>23</v>
      </c>
      <c r="Y6" s="98" t="str">
        <f t="shared" si="3"/>
        <v>Half</v>
      </c>
      <c r="Z6" s="98">
        <v>54.88</v>
      </c>
      <c r="AB6">
        <f t="shared" si="2"/>
        <v>0.1</v>
      </c>
      <c r="AC6">
        <v>90</v>
      </c>
      <c r="AD6">
        <v>100</v>
      </c>
      <c r="AE6" t="s">
        <v>644</v>
      </c>
    </row>
    <row r="7" spans="1:34" x14ac:dyDescent="0.25">
      <c r="A7" s="18">
        <v>5</v>
      </c>
      <c r="B7" s="19">
        <v>20681</v>
      </c>
      <c r="C7" s="3" t="s">
        <v>14</v>
      </c>
      <c r="D7" s="98" t="s">
        <v>642</v>
      </c>
      <c r="E7" s="98">
        <v>62.73</v>
      </c>
      <c r="F7" s="109"/>
      <c r="G7" s="109"/>
      <c r="H7" s="182">
        <v>44</v>
      </c>
      <c r="I7" s="183">
        <v>29511</v>
      </c>
      <c r="J7" s="184" t="s">
        <v>44</v>
      </c>
      <c r="K7" s="98" t="str">
        <f t="shared" si="0"/>
        <v>Gibbous</v>
      </c>
      <c r="L7" s="98">
        <v>56.8</v>
      </c>
      <c r="O7" s="18">
        <v>7</v>
      </c>
      <c r="P7" s="19">
        <v>21470</v>
      </c>
      <c r="Q7" s="3" t="s">
        <v>14</v>
      </c>
      <c r="R7" s="98" t="str">
        <f t="shared" si="1"/>
        <v>New</v>
      </c>
      <c r="S7" s="98">
        <v>0</v>
      </c>
      <c r="V7" s="18">
        <v>45</v>
      </c>
      <c r="W7" s="19">
        <v>29939</v>
      </c>
      <c r="X7" s="3" t="s">
        <v>23</v>
      </c>
      <c r="Y7" s="98" t="str">
        <f t="shared" si="3"/>
        <v>Crescent</v>
      </c>
      <c r="Z7" s="98">
        <v>34.520000000000003</v>
      </c>
    </row>
    <row r="8" spans="1:34" x14ac:dyDescent="0.25">
      <c r="A8" s="18">
        <v>6</v>
      </c>
      <c r="B8" s="19">
        <v>20938</v>
      </c>
      <c r="C8" s="3" t="s">
        <v>23</v>
      </c>
      <c r="D8" s="98" t="s">
        <v>643</v>
      </c>
      <c r="E8" s="98">
        <v>1.89</v>
      </c>
      <c r="F8" s="109"/>
      <c r="G8" s="109"/>
      <c r="H8" s="182">
        <v>47</v>
      </c>
      <c r="I8" s="183">
        <v>30156</v>
      </c>
      <c r="J8" s="184" t="s">
        <v>44</v>
      </c>
      <c r="K8" s="98" t="str">
        <f t="shared" si="0"/>
        <v>Crescent</v>
      </c>
      <c r="L8" s="98">
        <v>20.83</v>
      </c>
      <c r="O8" s="89">
        <v>10</v>
      </c>
      <c r="P8" s="82">
        <v>21759</v>
      </c>
      <c r="Q8" s="81" t="s">
        <v>19</v>
      </c>
      <c r="R8" s="98" t="str">
        <f t="shared" si="1"/>
        <v>Crescent</v>
      </c>
      <c r="S8" s="98">
        <v>39.92</v>
      </c>
      <c r="V8" s="18">
        <v>50</v>
      </c>
      <c r="W8" s="19">
        <v>30940</v>
      </c>
      <c r="X8" s="3" t="s">
        <v>23</v>
      </c>
      <c r="Y8" s="98" t="str">
        <f t="shared" si="3"/>
        <v>Gibbous</v>
      </c>
      <c r="Z8" s="98">
        <v>74.86</v>
      </c>
      <c r="AC8" s="61" t="s">
        <v>636</v>
      </c>
      <c r="AD8" s="61" t="s">
        <v>670</v>
      </c>
      <c r="AE8" s="61" t="s">
        <v>697</v>
      </c>
      <c r="AF8" s="61" t="s">
        <v>442</v>
      </c>
      <c r="AH8" s="61" t="s">
        <v>698</v>
      </c>
    </row>
    <row r="9" spans="1:34" x14ac:dyDescent="0.25">
      <c r="A9" s="18">
        <v>7</v>
      </c>
      <c r="B9" s="19">
        <v>21470</v>
      </c>
      <c r="C9" s="3" t="s">
        <v>14</v>
      </c>
      <c r="D9" s="98" t="s">
        <v>643</v>
      </c>
      <c r="E9" s="98">
        <v>0</v>
      </c>
      <c r="F9" s="109"/>
      <c r="G9" s="109"/>
      <c r="H9" s="182">
        <v>55</v>
      </c>
      <c r="I9" s="183">
        <v>31318</v>
      </c>
      <c r="J9" s="184" t="s">
        <v>44</v>
      </c>
      <c r="K9" s="98" t="str">
        <f t="shared" si="0"/>
        <v>Full</v>
      </c>
      <c r="L9" s="98">
        <v>100</v>
      </c>
      <c r="O9" s="89">
        <v>12</v>
      </c>
      <c r="P9" s="80">
        <v>21864</v>
      </c>
      <c r="Q9" s="81" t="s">
        <v>19</v>
      </c>
      <c r="R9" s="98" t="str">
        <f t="shared" si="1"/>
        <v>Gibbous</v>
      </c>
      <c r="S9" s="98">
        <v>80.48</v>
      </c>
      <c r="V9" s="18">
        <v>62</v>
      </c>
      <c r="W9" s="19">
        <v>32534</v>
      </c>
      <c r="X9" s="3" t="s">
        <v>23</v>
      </c>
      <c r="Y9" s="98" t="str">
        <f t="shared" si="3"/>
        <v>Gibbous</v>
      </c>
      <c r="Z9" s="98">
        <v>79.790000000000006</v>
      </c>
      <c r="AC9" s="61" t="s">
        <v>644</v>
      </c>
      <c r="AD9">
        <f>L86</f>
        <v>18</v>
      </c>
      <c r="AE9">
        <f>S121</f>
        <v>21</v>
      </c>
      <c r="AF9">
        <f>Z29</f>
        <v>2</v>
      </c>
      <c r="AG9">
        <f t="shared" ref="AG9:AG13" si="4">SUM(AD9:AF9)</f>
        <v>41</v>
      </c>
      <c r="AH9">
        <f>AG9/$AG$14</f>
        <v>0.20398009950248755</v>
      </c>
    </row>
    <row r="10" spans="1:34" x14ac:dyDescent="0.25">
      <c r="A10" s="18">
        <v>8</v>
      </c>
      <c r="B10" s="19">
        <v>21677</v>
      </c>
      <c r="C10" s="3" t="s">
        <v>23</v>
      </c>
      <c r="D10" s="98" t="s">
        <v>643</v>
      </c>
      <c r="E10" s="98">
        <v>0</v>
      </c>
      <c r="F10" s="109"/>
      <c r="G10" s="109"/>
      <c r="H10" s="182">
        <v>60</v>
      </c>
      <c r="I10" s="183">
        <v>32257</v>
      </c>
      <c r="J10" s="184" t="s">
        <v>44</v>
      </c>
      <c r="K10" s="98" t="str">
        <f t="shared" si="0"/>
        <v>Gibbous</v>
      </c>
      <c r="L10" s="98">
        <v>57.96</v>
      </c>
      <c r="O10" s="18">
        <v>13</v>
      </c>
      <c r="P10" s="19">
        <v>22030</v>
      </c>
      <c r="Q10" s="3" t="s">
        <v>19</v>
      </c>
      <c r="R10" s="98" t="str">
        <f t="shared" si="1"/>
        <v>New</v>
      </c>
      <c r="S10" s="98">
        <v>1.55</v>
      </c>
      <c r="V10" s="18">
        <v>82</v>
      </c>
      <c r="W10" s="19">
        <v>34677</v>
      </c>
      <c r="X10" s="3" t="s">
        <v>23</v>
      </c>
      <c r="Y10" s="98" t="str">
        <f t="shared" si="3"/>
        <v>Half</v>
      </c>
      <c r="Z10" s="98">
        <v>48.09</v>
      </c>
      <c r="AC10" s="61" t="s">
        <v>693</v>
      </c>
      <c r="AD10">
        <f t="shared" ref="AD10:AD13" si="5">L87</f>
        <v>28</v>
      </c>
      <c r="AE10">
        <f>S122</f>
        <v>22</v>
      </c>
      <c r="AF10">
        <f t="shared" ref="AF10:AF13" si="6">Z30</f>
        <v>6</v>
      </c>
      <c r="AG10">
        <f t="shared" si="4"/>
        <v>56</v>
      </c>
      <c r="AH10">
        <f t="shared" ref="AH10:AH13" si="7">AG10/$AG$14</f>
        <v>0.27860696517412936</v>
      </c>
    </row>
    <row r="11" spans="1:34" x14ac:dyDescent="0.25">
      <c r="A11" s="18">
        <v>9</v>
      </c>
      <c r="B11" s="19">
        <v>21715</v>
      </c>
      <c r="C11" s="3" t="s">
        <v>23</v>
      </c>
      <c r="D11" s="98" t="s">
        <v>642</v>
      </c>
      <c r="E11" s="98">
        <v>54.88</v>
      </c>
      <c r="F11" s="109"/>
      <c r="G11" s="109"/>
      <c r="H11" s="182">
        <v>64</v>
      </c>
      <c r="I11" s="183">
        <v>32885</v>
      </c>
      <c r="J11" s="184" t="s">
        <v>44</v>
      </c>
      <c r="K11" s="98" t="str">
        <f t="shared" si="0"/>
        <v>Full</v>
      </c>
      <c r="L11" s="98">
        <v>97.24</v>
      </c>
      <c r="O11" s="18">
        <v>14</v>
      </c>
      <c r="P11" s="19">
        <v>22055</v>
      </c>
      <c r="Q11" s="3" t="s">
        <v>14</v>
      </c>
      <c r="R11" s="98" t="str">
        <f t="shared" si="1"/>
        <v>Crescent</v>
      </c>
      <c r="S11" s="98">
        <v>30.8</v>
      </c>
      <c r="V11" s="18">
        <v>100</v>
      </c>
      <c r="W11" s="19">
        <v>37852</v>
      </c>
      <c r="X11" s="3" t="s">
        <v>23</v>
      </c>
      <c r="Y11" s="98" t="str">
        <f t="shared" si="3"/>
        <v>Half</v>
      </c>
      <c r="Z11" s="98">
        <v>53.29</v>
      </c>
      <c r="AC11" s="61" t="s">
        <v>648</v>
      </c>
      <c r="AD11">
        <f t="shared" si="5"/>
        <v>5</v>
      </c>
      <c r="AE11">
        <f>S123</f>
        <v>8</v>
      </c>
      <c r="AF11">
        <f t="shared" si="6"/>
        <v>3</v>
      </c>
      <c r="AG11">
        <f t="shared" si="4"/>
        <v>16</v>
      </c>
      <c r="AH11">
        <f t="shared" si="7"/>
        <v>7.9601990049751242E-2</v>
      </c>
    </row>
    <row r="12" spans="1:34" x14ac:dyDescent="0.25">
      <c r="A12" s="89">
        <v>10</v>
      </c>
      <c r="B12" s="82">
        <v>21759</v>
      </c>
      <c r="C12" s="81" t="s">
        <v>19</v>
      </c>
      <c r="D12" s="98" t="s">
        <v>637</v>
      </c>
      <c r="E12" s="98">
        <v>39.92</v>
      </c>
      <c r="F12" s="109"/>
      <c r="G12" s="109"/>
      <c r="H12" s="182">
        <v>66</v>
      </c>
      <c r="I12" s="183">
        <v>33121</v>
      </c>
      <c r="J12" s="184" t="s">
        <v>44</v>
      </c>
      <c r="K12" s="98" t="str">
        <f t="shared" si="0"/>
        <v>Full</v>
      </c>
      <c r="L12" s="98">
        <v>100</v>
      </c>
      <c r="O12" s="18">
        <v>16</v>
      </c>
      <c r="P12" s="19">
        <v>22513</v>
      </c>
      <c r="Q12" s="3" t="s">
        <v>14</v>
      </c>
      <c r="R12" s="98" t="str">
        <f t="shared" si="1"/>
        <v>Gibbous</v>
      </c>
      <c r="S12" s="98">
        <v>63.01</v>
      </c>
      <c r="V12" s="18">
        <v>103</v>
      </c>
      <c r="W12" s="19">
        <v>38214</v>
      </c>
      <c r="X12" s="3" t="s">
        <v>23</v>
      </c>
      <c r="Y12" s="98" t="str">
        <f t="shared" si="3"/>
        <v>New</v>
      </c>
      <c r="Z12" s="98">
        <v>0</v>
      </c>
      <c r="AC12" s="61" t="s">
        <v>694</v>
      </c>
      <c r="AD12">
        <f t="shared" si="5"/>
        <v>14</v>
      </c>
      <c r="AE12">
        <f>S124</f>
        <v>32</v>
      </c>
      <c r="AF12">
        <f t="shared" si="6"/>
        <v>1</v>
      </c>
      <c r="AG12">
        <f t="shared" si="4"/>
        <v>47</v>
      </c>
      <c r="AH12">
        <f t="shared" si="7"/>
        <v>0.23383084577114427</v>
      </c>
    </row>
    <row r="13" spans="1:34" x14ac:dyDescent="0.25">
      <c r="A13" s="18">
        <v>11</v>
      </c>
      <c r="B13" s="19">
        <v>21827</v>
      </c>
      <c r="C13" s="3" t="s">
        <v>44</v>
      </c>
      <c r="D13" s="98" t="s">
        <v>639</v>
      </c>
      <c r="E13" s="98">
        <v>6.42</v>
      </c>
      <c r="F13" s="109"/>
      <c r="G13" s="109"/>
      <c r="H13" s="182">
        <v>71</v>
      </c>
      <c r="I13" s="183">
        <v>33520</v>
      </c>
      <c r="J13" s="184" t="s">
        <v>44</v>
      </c>
      <c r="K13" s="98" t="str">
        <f t="shared" si="0"/>
        <v>New</v>
      </c>
      <c r="L13" s="98">
        <v>3.6</v>
      </c>
      <c r="O13" s="18">
        <v>17</v>
      </c>
      <c r="P13" s="19">
        <v>22660</v>
      </c>
      <c r="Q13" s="3" t="s">
        <v>14</v>
      </c>
      <c r="R13" s="98" t="str">
        <f t="shared" si="1"/>
        <v>Gibbous</v>
      </c>
      <c r="S13" s="98">
        <v>66.22</v>
      </c>
      <c r="V13" s="18">
        <v>127</v>
      </c>
      <c r="W13" s="19">
        <v>39563</v>
      </c>
      <c r="X13" s="5" t="s">
        <v>23</v>
      </c>
      <c r="Y13" s="98" t="str">
        <f t="shared" si="3"/>
        <v>Gibbous</v>
      </c>
      <c r="Z13" s="98">
        <v>77.03</v>
      </c>
      <c r="AC13" s="61" t="s">
        <v>645</v>
      </c>
      <c r="AD13">
        <f t="shared" si="5"/>
        <v>14</v>
      </c>
      <c r="AE13">
        <f>S125</f>
        <v>24</v>
      </c>
      <c r="AF13">
        <f t="shared" si="6"/>
        <v>3</v>
      </c>
      <c r="AG13">
        <f t="shared" si="4"/>
        <v>41</v>
      </c>
      <c r="AH13">
        <f t="shared" si="7"/>
        <v>0.20398009950248755</v>
      </c>
    </row>
    <row r="14" spans="1:34" x14ac:dyDescent="0.25">
      <c r="A14" s="89">
        <v>12</v>
      </c>
      <c r="B14" s="80">
        <v>21864</v>
      </c>
      <c r="C14" s="81" t="s">
        <v>19</v>
      </c>
      <c r="D14" s="98" t="s">
        <v>642</v>
      </c>
      <c r="E14" s="98">
        <v>80.48</v>
      </c>
      <c r="F14" s="109"/>
      <c r="G14" s="109"/>
      <c r="H14" s="182">
        <v>72</v>
      </c>
      <c r="I14" s="183">
        <v>33576</v>
      </c>
      <c r="J14" s="184" t="s">
        <v>44</v>
      </c>
      <c r="K14" s="98" t="str">
        <f t="shared" si="0"/>
        <v>New</v>
      </c>
      <c r="L14" s="98">
        <v>2.08</v>
      </c>
      <c r="O14" s="18">
        <v>18</v>
      </c>
      <c r="P14" s="19">
        <v>22961</v>
      </c>
      <c r="Q14" s="3" t="s">
        <v>14</v>
      </c>
      <c r="R14" s="98" t="str">
        <f t="shared" si="1"/>
        <v>Full</v>
      </c>
      <c r="S14" s="98">
        <v>100</v>
      </c>
      <c r="V14" s="18">
        <v>139</v>
      </c>
      <c r="W14" s="19">
        <v>40473</v>
      </c>
      <c r="X14" s="3" t="s">
        <v>23</v>
      </c>
      <c r="Y14" s="98" t="str">
        <f t="shared" si="3"/>
        <v>Full</v>
      </c>
      <c r="Z14" s="98">
        <v>100</v>
      </c>
      <c r="AC14" s="61" t="s">
        <v>361</v>
      </c>
      <c r="AD14">
        <f>SUM(AD9:AD13)</f>
        <v>79</v>
      </c>
      <c r="AE14">
        <f>SUM(AE9:AE13)</f>
        <v>107</v>
      </c>
      <c r="AF14">
        <f>SUM(AF9:AF13)</f>
        <v>15</v>
      </c>
      <c r="AG14">
        <f>SUM(AD14:AF14)</f>
        <v>201</v>
      </c>
    </row>
    <row r="15" spans="1:34" x14ac:dyDescent="0.25">
      <c r="A15" s="18">
        <v>13</v>
      </c>
      <c r="B15" s="19">
        <v>22030</v>
      </c>
      <c r="C15" s="3" t="s">
        <v>19</v>
      </c>
      <c r="D15" s="98" t="s">
        <v>643</v>
      </c>
      <c r="E15" s="98">
        <v>1.55</v>
      </c>
      <c r="F15" s="109"/>
      <c r="G15" s="109"/>
      <c r="H15" s="182">
        <v>73</v>
      </c>
      <c r="I15" s="183">
        <v>33834</v>
      </c>
      <c r="J15" s="184" t="s">
        <v>44</v>
      </c>
      <c r="K15" s="98" t="str">
        <f t="shared" si="0"/>
        <v>Gibbous</v>
      </c>
      <c r="L15" s="98">
        <v>76.650000000000006</v>
      </c>
      <c r="O15" s="18">
        <v>19</v>
      </c>
      <c r="P15" s="19">
        <v>23387</v>
      </c>
      <c r="Q15" s="3" t="s">
        <v>14</v>
      </c>
      <c r="R15" s="98" t="str">
        <f t="shared" si="1"/>
        <v>New</v>
      </c>
      <c r="S15" s="98">
        <v>9.19</v>
      </c>
      <c r="V15" s="18">
        <v>150</v>
      </c>
      <c r="W15" s="19">
        <v>41205</v>
      </c>
      <c r="X15" s="3" t="s">
        <v>23</v>
      </c>
      <c r="Y15" s="98" t="str">
        <f t="shared" si="3"/>
        <v>Gibbous</v>
      </c>
      <c r="Z15" s="98">
        <v>66.19</v>
      </c>
    </row>
    <row r="16" spans="1:34" x14ac:dyDescent="0.25">
      <c r="A16" s="18">
        <v>14</v>
      </c>
      <c r="B16" s="19">
        <v>22055</v>
      </c>
      <c r="C16" s="3" t="s">
        <v>14</v>
      </c>
      <c r="D16" s="98" t="s">
        <v>637</v>
      </c>
      <c r="E16" s="98">
        <v>30.8</v>
      </c>
      <c r="F16" s="109"/>
      <c r="G16" s="109"/>
      <c r="H16" s="182">
        <v>76</v>
      </c>
      <c r="I16" s="183">
        <v>33922</v>
      </c>
      <c r="J16" s="184" t="s">
        <v>44</v>
      </c>
      <c r="K16" s="98" t="str">
        <f t="shared" si="0"/>
        <v>Gibbous</v>
      </c>
      <c r="L16" s="98">
        <v>79.459999999999994</v>
      </c>
      <c r="O16" s="18">
        <v>20</v>
      </c>
      <c r="P16" s="19">
        <v>24129</v>
      </c>
      <c r="Q16" s="3" t="s">
        <v>14</v>
      </c>
      <c r="R16" s="98" t="str">
        <f t="shared" si="1"/>
        <v>New</v>
      </c>
      <c r="S16" s="98">
        <v>1.02</v>
      </c>
      <c r="V16" s="98">
        <v>192</v>
      </c>
      <c r="W16" s="95">
        <v>43960</v>
      </c>
      <c r="X16" s="98" t="s">
        <v>23</v>
      </c>
      <c r="Y16" s="98" t="str">
        <f t="shared" si="3"/>
        <v>Full</v>
      </c>
      <c r="Z16" s="98">
        <v>93.22</v>
      </c>
    </row>
    <row r="17" spans="1:27" x14ac:dyDescent="0.25">
      <c r="A17" s="18">
        <v>15</v>
      </c>
      <c r="B17" s="19">
        <v>22422</v>
      </c>
      <c r="C17" s="3" t="s">
        <v>44</v>
      </c>
      <c r="D17" s="98" t="s">
        <v>639</v>
      </c>
      <c r="E17" s="98">
        <v>40.46</v>
      </c>
      <c r="F17" s="109"/>
      <c r="G17" s="109"/>
      <c r="H17" s="182">
        <v>78</v>
      </c>
      <c r="I17" s="183">
        <v>34040</v>
      </c>
      <c r="J17" s="184" t="s">
        <v>44</v>
      </c>
      <c r="K17" s="98" t="str">
        <f t="shared" si="0"/>
        <v>Gibbous</v>
      </c>
      <c r="L17" s="98">
        <v>75.510000000000005</v>
      </c>
      <c r="O17" s="18">
        <v>21</v>
      </c>
      <c r="P17" s="19">
        <v>25046</v>
      </c>
      <c r="Q17" s="3" t="s">
        <v>14</v>
      </c>
      <c r="R17" s="98" t="str">
        <f t="shared" si="1"/>
        <v>New</v>
      </c>
      <c r="S17" s="98">
        <v>4.96</v>
      </c>
      <c r="V17" s="98">
        <v>204</v>
      </c>
      <c r="W17" s="95">
        <v>44554</v>
      </c>
      <c r="X17" s="98" t="s">
        <v>23</v>
      </c>
      <c r="Y17" s="98" t="str">
        <f t="shared" si="3"/>
        <v>Gibbous</v>
      </c>
      <c r="Z17" s="98">
        <v>73.900000000000006</v>
      </c>
    </row>
    <row r="18" spans="1:27" x14ac:dyDescent="0.25">
      <c r="A18" s="18">
        <v>16</v>
      </c>
      <c r="B18" s="19">
        <v>22513</v>
      </c>
      <c r="C18" s="3" t="s">
        <v>14</v>
      </c>
      <c r="D18" s="98" t="s">
        <v>642</v>
      </c>
      <c r="E18" s="98">
        <v>63.01</v>
      </c>
      <c r="F18" s="109"/>
      <c r="G18" s="109"/>
      <c r="H18" s="182">
        <v>80</v>
      </c>
      <c r="I18" s="183">
        <v>34252</v>
      </c>
      <c r="J18" s="184" t="s">
        <v>44</v>
      </c>
      <c r="K18" s="98" t="str">
        <f t="shared" si="0"/>
        <v>Crescent</v>
      </c>
      <c r="L18" s="98">
        <v>30.22</v>
      </c>
      <c r="O18" s="18">
        <v>23</v>
      </c>
      <c r="P18" s="19">
        <v>25452</v>
      </c>
      <c r="Q18" s="3" t="s">
        <v>14</v>
      </c>
      <c r="R18" s="98" t="str">
        <f t="shared" si="1"/>
        <v>Crescent</v>
      </c>
      <c r="S18" s="98">
        <v>23.3</v>
      </c>
      <c r="V18" s="109"/>
      <c r="W18" s="110"/>
      <c r="X18" s="109"/>
      <c r="Y18" s="11"/>
      <c r="Z18" s="11"/>
    </row>
    <row r="19" spans="1:27" x14ac:dyDescent="0.25">
      <c r="A19" s="18">
        <v>17</v>
      </c>
      <c r="B19" s="19">
        <v>22660</v>
      </c>
      <c r="C19" s="3" t="s">
        <v>14</v>
      </c>
      <c r="D19" s="98" t="s">
        <v>642</v>
      </c>
      <c r="E19" s="98">
        <v>66.22</v>
      </c>
      <c r="F19" s="109"/>
      <c r="G19" s="109"/>
      <c r="H19" s="182">
        <v>88</v>
      </c>
      <c r="I19" s="183">
        <v>35341</v>
      </c>
      <c r="J19" s="184" t="s">
        <v>44</v>
      </c>
      <c r="K19" s="98" t="str">
        <f t="shared" si="0"/>
        <v>Gibbous</v>
      </c>
      <c r="L19" s="98">
        <v>58.1</v>
      </c>
      <c r="O19" s="18">
        <v>24</v>
      </c>
      <c r="P19" s="19">
        <v>26133</v>
      </c>
      <c r="Q19" s="3" t="s">
        <v>14</v>
      </c>
      <c r="R19" s="98" t="str">
        <f t="shared" si="1"/>
        <v>New</v>
      </c>
      <c r="S19" s="98">
        <v>8.16</v>
      </c>
      <c r="V19" s="24"/>
      <c r="W19" s="11"/>
      <c r="X19" s="24"/>
      <c r="Y19" s="11"/>
      <c r="Z19" s="11"/>
    </row>
    <row r="20" spans="1:27" x14ac:dyDescent="0.25">
      <c r="A20" s="18">
        <v>18</v>
      </c>
      <c r="B20" s="19">
        <v>22961</v>
      </c>
      <c r="C20" s="3" t="s">
        <v>14</v>
      </c>
      <c r="D20" s="98" t="s">
        <v>641</v>
      </c>
      <c r="E20" s="98">
        <v>100</v>
      </c>
      <c r="F20" s="109"/>
      <c r="G20" s="109"/>
      <c r="H20" s="182">
        <v>93</v>
      </c>
      <c r="I20" s="183">
        <v>36479</v>
      </c>
      <c r="J20" s="184" t="s">
        <v>44</v>
      </c>
      <c r="K20" s="98" t="str">
        <f t="shared" si="0"/>
        <v>Crescent</v>
      </c>
      <c r="L20" s="98">
        <v>43.71</v>
      </c>
      <c r="O20" s="18">
        <v>25</v>
      </c>
      <c r="P20" s="19">
        <v>26208</v>
      </c>
      <c r="Q20" s="3" t="s">
        <v>14</v>
      </c>
      <c r="R20" s="98" t="str">
        <f t="shared" si="1"/>
        <v>Full</v>
      </c>
      <c r="S20" s="98">
        <v>94.9</v>
      </c>
      <c r="W20" s="11"/>
      <c r="X20" s="24"/>
      <c r="Y20" s="11" t="s">
        <v>644</v>
      </c>
      <c r="Z20" s="173">
        <f>(COUNTIF(Z3:Z17,"&gt;95")/(COUNT(Z3:Z17)))</f>
        <v>6.6666666666666666E-2</v>
      </c>
      <c r="AA20" s="11">
        <f>(COUNTIF(Z3:Z17,"&gt;95"))</f>
        <v>1</v>
      </c>
    </row>
    <row r="21" spans="1:27" x14ac:dyDescent="0.25">
      <c r="A21" s="18">
        <v>19</v>
      </c>
      <c r="B21" s="19">
        <v>23387</v>
      </c>
      <c r="C21" s="3" t="s">
        <v>14</v>
      </c>
      <c r="D21" s="98" t="s">
        <v>637</v>
      </c>
      <c r="E21" s="98">
        <v>9.19</v>
      </c>
      <c r="F21" s="109"/>
      <c r="G21" s="109"/>
      <c r="H21" s="182">
        <v>94</v>
      </c>
      <c r="I21" s="183">
        <v>36798</v>
      </c>
      <c r="J21" s="184" t="s">
        <v>44</v>
      </c>
      <c r="K21" s="98" t="str">
        <f t="shared" si="0"/>
        <v>New</v>
      </c>
      <c r="L21" s="98">
        <v>4.25</v>
      </c>
      <c r="O21" s="18">
        <v>26</v>
      </c>
      <c r="P21" s="19">
        <v>26447</v>
      </c>
      <c r="Q21" s="3" t="s">
        <v>14</v>
      </c>
      <c r="R21" s="98" t="str">
        <f t="shared" si="1"/>
        <v>Full</v>
      </c>
      <c r="S21" s="98">
        <v>100</v>
      </c>
      <c r="V21" s="24"/>
      <c r="X21" s="24"/>
      <c r="Y21" s="11" t="s">
        <v>645</v>
      </c>
      <c r="Z21" s="173">
        <f>(COUNTIF(Z3:Z17,"&lt;5")/(COUNT(Z3:Z17)))</f>
        <v>0.2</v>
      </c>
      <c r="AA21" s="11">
        <f>COUNTIF(Z3:Z17,"&lt;5")</f>
        <v>3</v>
      </c>
    </row>
    <row r="22" spans="1:27" x14ac:dyDescent="0.25">
      <c r="A22" s="18">
        <v>20</v>
      </c>
      <c r="B22" s="19">
        <v>24129</v>
      </c>
      <c r="C22" s="3" t="s">
        <v>14</v>
      </c>
      <c r="D22" s="98" t="s">
        <v>643</v>
      </c>
      <c r="E22" s="98">
        <v>1.02</v>
      </c>
      <c r="F22" s="109"/>
      <c r="G22" s="109"/>
      <c r="H22" s="182">
        <v>98</v>
      </c>
      <c r="I22" s="183">
        <v>37520</v>
      </c>
      <c r="J22" s="185" t="s">
        <v>44</v>
      </c>
      <c r="K22" s="98" t="str">
        <f t="shared" si="0"/>
        <v>Full</v>
      </c>
      <c r="L22" s="98">
        <v>100</v>
      </c>
      <c r="O22" s="18">
        <v>28</v>
      </c>
      <c r="P22" s="19">
        <v>27175</v>
      </c>
      <c r="Q22" s="3" t="s">
        <v>14</v>
      </c>
      <c r="R22" s="98" t="str">
        <f t="shared" si="1"/>
        <v>Crescent</v>
      </c>
      <c r="S22" s="98">
        <v>29.13</v>
      </c>
      <c r="V22" s="109"/>
      <c r="W22" s="110"/>
      <c r="X22" s="24"/>
      <c r="Y22" s="11" t="s">
        <v>648</v>
      </c>
      <c r="Z22" s="173">
        <f>(COUNTIFS(Z3:Z17,"&gt;45",Z3:Z17,"&lt;55")/(COUNT(Z3:Z17)))</f>
        <v>0.2</v>
      </c>
      <c r="AA22" s="11">
        <f>COUNTIFS(Z3:Z17,"&gt;45",Z3:Z17,"&lt;55")</f>
        <v>3</v>
      </c>
    </row>
    <row r="23" spans="1:27" x14ac:dyDescent="0.25">
      <c r="A23" s="18">
        <v>21</v>
      </c>
      <c r="B23" s="19">
        <v>25046</v>
      </c>
      <c r="C23" s="3" t="s">
        <v>14</v>
      </c>
      <c r="D23" s="98" t="s">
        <v>643</v>
      </c>
      <c r="E23" s="98">
        <v>4.96</v>
      </c>
      <c r="F23" s="109"/>
      <c r="G23" s="109"/>
      <c r="H23" s="182">
        <v>101</v>
      </c>
      <c r="I23" s="183">
        <v>38135</v>
      </c>
      <c r="J23" s="184" t="s">
        <v>44</v>
      </c>
      <c r="K23" s="98" t="str">
        <f t="shared" si="0"/>
        <v>Gibbous</v>
      </c>
      <c r="L23" s="98">
        <v>63.89</v>
      </c>
      <c r="O23" s="18">
        <v>29</v>
      </c>
      <c r="P23" s="19">
        <v>27236</v>
      </c>
      <c r="Q23" s="3" t="s">
        <v>19</v>
      </c>
      <c r="R23" s="98" t="str">
        <f t="shared" si="1"/>
        <v>Half</v>
      </c>
      <c r="S23" s="98">
        <v>55.25</v>
      </c>
      <c r="V23" s="24"/>
      <c r="W23" s="35"/>
      <c r="X23" s="109"/>
      <c r="Y23" s="11" t="s">
        <v>649</v>
      </c>
      <c r="Z23" s="173">
        <f>(15-AA23)/15</f>
        <v>0.53333333333333333</v>
      </c>
      <c r="AA23" s="11">
        <f>SUM(AA20:AA22)</f>
        <v>7</v>
      </c>
    </row>
    <row r="24" spans="1:27" x14ac:dyDescent="0.25">
      <c r="A24" s="18">
        <v>23</v>
      </c>
      <c r="B24" s="19">
        <v>25452</v>
      </c>
      <c r="C24" s="3" t="s">
        <v>14</v>
      </c>
      <c r="D24" s="98" t="s">
        <v>637</v>
      </c>
      <c r="E24" s="98">
        <v>23.3</v>
      </c>
      <c r="F24" s="109"/>
      <c r="G24" s="109"/>
      <c r="H24" s="182">
        <v>102</v>
      </c>
      <c r="I24" s="183">
        <v>38164</v>
      </c>
      <c r="J24" s="184" t="s">
        <v>44</v>
      </c>
      <c r="K24" s="98" t="str">
        <f t="shared" si="0"/>
        <v>Gibbous</v>
      </c>
      <c r="L24" s="98">
        <v>59.32</v>
      </c>
      <c r="O24" s="18">
        <v>30</v>
      </c>
      <c r="P24" s="19">
        <v>27246</v>
      </c>
      <c r="Q24" s="3" t="s">
        <v>19</v>
      </c>
      <c r="R24" s="98" t="str">
        <f t="shared" si="1"/>
        <v>Full</v>
      </c>
      <c r="S24" s="98">
        <v>94.36</v>
      </c>
      <c r="Y24" s="11"/>
      <c r="Z24" s="173">
        <f>SUM(Z20:Z23)</f>
        <v>1</v>
      </c>
      <c r="AA24" s="11"/>
    </row>
    <row r="25" spans="1:27" x14ac:dyDescent="0.25">
      <c r="A25" s="18">
        <v>24</v>
      </c>
      <c r="B25" s="19">
        <v>26133</v>
      </c>
      <c r="C25" s="3" t="s">
        <v>14</v>
      </c>
      <c r="D25" s="98" t="s">
        <v>637</v>
      </c>
      <c r="E25" s="98">
        <v>8.16</v>
      </c>
      <c r="F25" s="109"/>
      <c r="G25" s="109"/>
      <c r="H25" s="182">
        <v>105</v>
      </c>
      <c r="I25" s="183">
        <v>38261</v>
      </c>
      <c r="J25" s="184" t="s">
        <v>44</v>
      </c>
      <c r="K25" s="98" t="str">
        <f t="shared" si="0"/>
        <v>Gibbous</v>
      </c>
      <c r="L25" s="98">
        <v>89.69</v>
      </c>
      <c r="O25" s="18">
        <v>31</v>
      </c>
      <c r="P25" s="19">
        <v>27274</v>
      </c>
      <c r="Q25" s="3" t="s">
        <v>19</v>
      </c>
      <c r="R25" s="98" t="str">
        <f t="shared" si="1"/>
        <v>Full</v>
      </c>
      <c r="S25" s="98">
        <v>99.31</v>
      </c>
      <c r="Y25" s="11"/>
      <c r="Z25" s="11"/>
      <c r="AA25" s="11"/>
    </row>
    <row r="26" spans="1:27" x14ac:dyDescent="0.25">
      <c r="A26" s="18">
        <v>25</v>
      </c>
      <c r="B26" s="19">
        <v>26208</v>
      </c>
      <c r="C26" s="3" t="s">
        <v>14</v>
      </c>
      <c r="D26" s="98" t="s">
        <v>642</v>
      </c>
      <c r="E26" s="98">
        <v>94.9</v>
      </c>
      <c r="F26" s="109"/>
      <c r="G26" s="109"/>
      <c r="H26" s="182">
        <v>106</v>
      </c>
      <c r="I26" s="183">
        <v>38262</v>
      </c>
      <c r="J26" s="184" t="s">
        <v>44</v>
      </c>
      <c r="K26" s="98" t="str">
        <f t="shared" si="0"/>
        <v>Gibbous</v>
      </c>
      <c r="L26" s="98">
        <v>82.89</v>
      </c>
      <c r="O26" s="18">
        <v>32</v>
      </c>
      <c r="P26" s="19">
        <v>27274</v>
      </c>
      <c r="Q26" s="5" t="s">
        <v>19</v>
      </c>
      <c r="R26" s="98" t="str">
        <f t="shared" si="1"/>
        <v>Full</v>
      </c>
      <c r="S26" s="98">
        <v>99.31</v>
      </c>
      <c r="Y26" s="11" t="s">
        <v>652</v>
      </c>
      <c r="Z26" s="11">
        <f>(COUNTIF(Z3:Z17,"&gt;75")/(COUNT(Z3:Z17)))</f>
        <v>0.26666666666666666</v>
      </c>
      <c r="AA26" s="11"/>
    </row>
    <row r="27" spans="1:27" x14ac:dyDescent="0.25">
      <c r="A27" s="18">
        <v>26</v>
      </c>
      <c r="B27" s="19">
        <v>26447</v>
      </c>
      <c r="C27" s="3" t="s">
        <v>14</v>
      </c>
      <c r="D27" s="98" t="s">
        <v>641</v>
      </c>
      <c r="E27" s="98">
        <v>100</v>
      </c>
      <c r="F27" s="109"/>
      <c r="G27" s="109"/>
      <c r="H27" s="182">
        <v>112</v>
      </c>
      <c r="I27" s="183">
        <v>38658</v>
      </c>
      <c r="J27" s="184" t="s">
        <v>44</v>
      </c>
      <c r="K27" s="98" t="str">
        <f t="shared" si="0"/>
        <v>New</v>
      </c>
      <c r="L27" s="98">
        <v>0</v>
      </c>
      <c r="O27" s="18">
        <v>33</v>
      </c>
      <c r="P27" s="19">
        <v>27286</v>
      </c>
      <c r="Q27" s="3" t="s">
        <v>14</v>
      </c>
      <c r="R27" s="98" t="str">
        <f t="shared" si="1"/>
        <v>New</v>
      </c>
      <c r="S27" s="98">
        <v>3.11</v>
      </c>
      <c r="Y27" s="11" t="s">
        <v>653</v>
      </c>
      <c r="Z27" s="11">
        <f>(COUNTIF(Z3:Z17,"&lt;75")/(COUNT(Z3:Z17)))</f>
        <v>0.73333333333333328</v>
      </c>
      <c r="AA27" s="11"/>
    </row>
    <row r="28" spans="1:27" x14ac:dyDescent="0.25">
      <c r="A28" s="18">
        <v>28</v>
      </c>
      <c r="B28" s="19">
        <v>27175</v>
      </c>
      <c r="C28" s="3" t="s">
        <v>14</v>
      </c>
      <c r="D28" s="98" t="s">
        <v>639</v>
      </c>
      <c r="E28" s="98">
        <v>29.13</v>
      </c>
      <c r="F28" s="109"/>
      <c r="G28" s="109"/>
      <c r="H28" s="182">
        <v>113</v>
      </c>
      <c r="I28" s="183">
        <v>38658</v>
      </c>
      <c r="J28" s="184" t="s">
        <v>44</v>
      </c>
      <c r="K28" s="98" t="str">
        <f t="shared" si="0"/>
        <v>New</v>
      </c>
      <c r="L28" s="98">
        <v>0</v>
      </c>
      <c r="O28" s="18">
        <v>34</v>
      </c>
      <c r="P28" s="19">
        <v>27300</v>
      </c>
      <c r="Q28" s="3" t="s">
        <v>14</v>
      </c>
      <c r="R28" s="98" t="str">
        <f t="shared" si="1"/>
        <v>Full</v>
      </c>
      <c r="S28" s="98">
        <v>92.71</v>
      </c>
    </row>
    <row r="29" spans="1:27" x14ac:dyDescent="0.25">
      <c r="A29" s="18">
        <v>29</v>
      </c>
      <c r="B29" s="19">
        <v>27236</v>
      </c>
      <c r="C29" s="3" t="s">
        <v>19</v>
      </c>
      <c r="D29" s="98" t="s">
        <v>642</v>
      </c>
      <c r="E29" s="98">
        <v>55.25</v>
      </c>
      <c r="F29" s="109"/>
      <c r="G29" s="109"/>
      <c r="H29" s="182">
        <v>114</v>
      </c>
      <c r="I29" s="183">
        <v>38735</v>
      </c>
      <c r="J29" s="184" t="s">
        <v>44</v>
      </c>
      <c r="K29" s="98" t="str">
        <f t="shared" si="0"/>
        <v>Gibbous</v>
      </c>
      <c r="L29" s="98">
        <v>84.16</v>
      </c>
      <c r="O29" s="18">
        <v>36</v>
      </c>
      <c r="P29" s="19">
        <v>27598</v>
      </c>
      <c r="Q29" s="3" t="s">
        <v>14</v>
      </c>
      <c r="R29" s="98" t="str">
        <f t="shared" si="1"/>
        <v>Full</v>
      </c>
      <c r="S29" s="98">
        <v>100</v>
      </c>
      <c r="Y29" t="s">
        <v>644</v>
      </c>
      <c r="Z29">
        <f>COUNTIF(Y3:Y17,"Full")</f>
        <v>2</v>
      </c>
    </row>
    <row r="30" spans="1:27" x14ac:dyDescent="0.25">
      <c r="A30" s="18">
        <v>30</v>
      </c>
      <c r="B30" s="19">
        <v>27246</v>
      </c>
      <c r="C30" s="3" t="s">
        <v>19</v>
      </c>
      <c r="D30" s="98" t="s">
        <v>640</v>
      </c>
      <c r="E30" s="98">
        <v>94.36</v>
      </c>
      <c r="F30" s="109"/>
      <c r="G30" s="109"/>
      <c r="H30" s="182">
        <v>115</v>
      </c>
      <c r="I30" s="183">
        <v>38885</v>
      </c>
      <c r="J30" s="184" t="s">
        <v>44</v>
      </c>
      <c r="K30" s="98" t="str">
        <f t="shared" si="0"/>
        <v>Half</v>
      </c>
      <c r="L30" s="98">
        <v>51.49</v>
      </c>
      <c r="O30" s="18">
        <v>37</v>
      </c>
      <c r="P30" s="19">
        <v>27615</v>
      </c>
      <c r="Q30" s="3" t="s">
        <v>14</v>
      </c>
      <c r="R30" s="98" t="str">
        <f t="shared" si="1"/>
        <v>New</v>
      </c>
      <c r="S30" s="98">
        <v>6.97</v>
      </c>
      <c r="Y30" t="s">
        <v>693</v>
      </c>
      <c r="Z30">
        <f>COUNTIF(Y3:Y17,"Gibbous")</f>
        <v>6</v>
      </c>
    </row>
    <row r="31" spans="1:27" x14ac:dyDescent="0.25">
      <c r="A31" s="18">
        <v>31</v>
      </c>
      <c r="B31" s="19">
        <v>27274</v>
      </c>
      <c r="C31" s="3" t="s">
        <v>19</v>
      </c>
      <c r="D31" s="98" t="s">
        <v>641</v>
      </c>
      <c r="E31" s="98">
        <v>99.31</v>
      </c>
      <c r="F31" s="109"/>
      <c r="G31" s="109"/>
      <c r="H31" s="182">
        <v>119</v>
      </c>
      <c r="I31" s="183">
        <v>39284</v>
      </c>
      <c r="J31" s="184" t="s">
        <v>44</v>
      </c>
      <c r="K31" s="98" t="str">
        <f t="shared" si="0"/>
        <v>Crescent</v>
      </c>
      <c r="L31" s="98">
        <v>44.4</v>
      </c>
      <c r="O31" s="18">
        <v>38</v>
      </c>
      <c r="P31" s="19">
        <v>27734</v>
      </c>
      <c r="Q31" s="3" t="s">
        <v>14</v>
      </c>
      <c r="R31" s="98" t="str">
        <f t="shared" si="1"/>
        <v>Crescent</v>
      </c>
      <c r="S31" s="98">
        <v>15.34</v>
      </c>
      <c r="Y31" t="s">
        <v>648</v>
      </c>
      <c r="Z31">
        <f>COUNTIF(Y3:Y17,"Half")</f>
        <v>3</v>
      </c>
    </row>
    <row r="32" spans="1:27" x14ac:dyDescent="0.25">
      <c r="A32" s="18">
        <v>32</v>
      </c>
      <c r="B32" s="19">
        <v>27274</v>
      </c>
      <c r="C32" s="5" t="s">
        <v>19</v>
      </c>
      <c r="D32" s="98" t="s">
        <v>641</v>
      </c>
      <c r="E32" s="98">
        <v>99.31</v>
      </c>
      <c r="F32" s="109"/>
      <c r="G32" s="109"/>
      <c r="H32" s="182">
        <v>120</v>
      </c>
      <c r="I32" s="25">
        <v>39285</v>
      </c>
      <c r="J32" s="186" t="s">
        <v>44</v>
      </c>
      <c r="K32" s="98" t="str">
        <f t="shared" si="0"/>
        <v>Half</v>
      </c>
      <c r="L32" s="98">
        <v>53.8</v>
      </c>
      <c r="O32" s="18">
        <v>39</v>
      </c>
      <c r="P32" s="19">
        <v>28051</v>
      </c>
      <c r="Q32" s="3" t="s">
        <v>19</v>
      </c>
      <c r="R32" s="98" t="str">
        <f t="shared" si="1"/>
        <v>Crescent</v>
      </c>
      <c r="S32" s="98">
        <v>25.35</v>
      </c>
      <c r="Y32" t="s">
        <v>694</v>
      </c>
      <c r="Z32">
        <f>COUNTIF(Y3:Y17,"Crescent")</f>
        <v>1</v>
      </c>
    </row>
    <row r="33" spans="1:26" x14ac:dyDescent="0.25">
      <c r="A33" s="18">
        <v>33</v>
      </c>
      <c r="B33" s="19">
        <v>27286</v>
      </c>
      <c r="C33" s="3" t="s">
        <v>14</v>
      </c>
      <c r="D33" s="98" t="s">
        <v>643</v>
      </c>
      <c r="E33" s="98">
        <v>3.11</v>
      </c>
      <c r="F33" s="109"/>
      <c r="G33" s="109"/>
      <c r="H33" s="89">
        <v>121</v>
      </c>
      <c r="I33" s="86">
        <v>39291</v>
      </c>
      <c r="J33" s="187" t="s">
        <v>44</v>
      </c>
      <c r="K33" s="98" t="str">
        <f t="shared" si="0"/>
        <v>Full</v>
      </c>
      <c r="L33" s="98">
        <v>97.7</v>
      </c>
      <c r="O33" s="18">
        <v>40</v>
      </c>
      <c r="P33" s="19">
        <v>28051</v>
      </c>
      <c r="Q33" s="3" t="s">
        <v>14</v>
      </c>
      <c r="R33" s="98" t="str">
        <f t="shared" si="1"/>
        <v>Crescent</v>
      </c>
      <c r="S33" s="98">
        <v>25.35</v>
      </c>
      <c r="Y33" t="s">
        <v>645</v>
      </c>
      <c r="Z33">
        <f>COUNTIF(Y3:Y17,"New")</f>
        <v>3</v>
      </c>
    </row>
    <row r="34" spans="1:26" x14ac:dyDescent="0.25">
      <c r="A34" s="18">
        <v>34</v>
      </c>
      <c r="B34" s="19">
        <v>27300</v>
      </c>
      <c r="C34" s="3" t="s">
        <v>14</v>
      </c>
      <c r="D34" s="98" t="s">
        <v>642</v>
      </c>
      <c r="E34" s="98">
        <v>92.71</v>
      </c>
      <c r="F34" s="109"/>
      <c r="G34" s="109"/>
      <c r="H34" s="182">
        <v>123</v>
      </c>
      <c r="I34" s="183">
        <v>39352</v>
      </c>
      <c r="J34" s="184" t="s">
        <v>44</v>
      </c>
      <c r="K34" s="98" t="str">
        <f t="shared" si="0"/>
        <v>Full</v>
      </c>
      <c r="L34" s="98">
        <v>98.91</v>
      </c>
      <c r="O34" s="18">
        <v>41</v>
      </c>
      <c r="P34" s="19">
        <v>28351</v>
      </c>
      <c r="Q34" s="3" t="s">
        <v>14</v>
      </c>
      <c r="R34" s="98" t="str">
        <f t="shared" si="1"/>
        <v>New</v>
      </c>
      <c r="S34" s="98">
        <v>0</v>
      </c>
    </row>
    <row r="35" spans="1:26" x14ac:dyDescent="0.25">
      <c r="A35" s="18">
        <v>35</v>
      </c>
      <c r="B35" s="19">
        <v>27594</v>
      </c>
      <c r="C35" s="3" t="s">
        <v>44</v>
      </c>
      <c r="D35" s="98" t="s">
        <v>642</v>
      </c>
      <c r="E35" s="98">
        <v>87.24</v>
      </c>
      <c r="F35" s="109"/>
      <c r="G35" s="109"/>
      <c r="H35" s="182">
        <v>126</v>
      </c>
      <c r="I35" s="183">
        <v>39514</v>
      </c>
      <c r="J35" s="184" t="s">
        <v>44</v>
      </c>
      <c r="K35" s="98" t="str">
        <f t="shared" si="0"/>
        <v>New</v>
      </c>
      <c r="L35" s="98">
        <v>0</v>
      </c>
      <c r="O35" s="89">
        <v>42</v>
      </c>
      <c r="P35" s="80">
        <v>28707</v>
      </c>
      <c r="Q35" s="81" t="s">
        <v>19</v>
      </c>
      <c r="R35" s="98" t="str">
        <f t="shared" si="1"/>
        <v>New</v>
      </c>
      <c r="S35" s="98">
        <v>2.8</v>
      </c>
    </row>
    <row r="36" spans="1:26" x14ac:dyDescent="0.25">
      <c r="A36" s="18">
        <v>36</v>
      </c>
      <c r="B36" s="19">
        <v>27598</v>
      </c>
      <c r="C36" s="3" t="s">
        <v>14</v>
      </c>
      <c r="D36" s="98" t="s">
        <v>641</v>
      </c>
      <c r="E36" s="98">
        <v>100</v>
      </c>
      <c r="F36" s="109"/>
      <c r="G36" s="109"/>
      <c r="H36" s="182">
        <v>128</v>
      </c>
      <c r="I36" s="183">
        <v>39620</v>
      </c>
      <c r="J36" s="185" t="s">
        <v>44</v>
      </c>
      <c r="K36" s="98" t="str">
        <f t="shared" si="0"/>
        <v>Full</v>
      </c>
      <c r="L36" s="98">
        <v>92.11</v>
      </c>
      <c r="O36" s="18">
        <v>46</v>
      </c>
      <c r="P36" s="19">
        <v>29989</v>
      </c>
      <c r="Q36" s="3" t="s">
        <v>14</v>
      </c>
      <c r="R36" s="98" t="str">
        <f t="shared" si="1"/>
        <v>Full</v>
      </c>
      <c r="S36" s="98">
        <v>100</v>
      </c>
    </row>
    <row r="37" spans="1:26" x14ac:dyDescent="0.25">
      <c r="A37" s="18">
        <v>37</v>
      </c>
      <c r="B37" s="19">
        <v>27615</v>
      </c>
      <c r="C37" s="3" t="s">
        <v>14</v>
      </c>
      <c r="D37" s="98" t="s">
        <v>639</v>
      </c>
      <c r="E37" s="98">
        <v>6.97</v>
      </c>
      <c r="F37" s="109"/>
      <c r="G37" s="109"/>
      <c r="H37" s="182">
        <v>129</v>
      </c>
      <c r="I37" s="183">
        <v>39699</v>
      </c>
      <c r="J37" s="185" t="s">
        <v>44</v>
      </c>
      <c r="K37" s="98" t="str">
        <f t="shared" si="0"/>
        <v>Gibbous</v>
      </c>
      <c r="L37" s="98">
        <v>60.17</v>
      </c>
      <c r="O37" s="18">
        <v>48</v>
      </c>
      <c r="P37" s="19">
        <v>30213</v>
      </c>
      <c r="Q37" s="3" t="s">
        <v>14</v>
      </c>
      <c r="R37" s="98" t="str">
        <f t="shared" si="1"/>
        <v>New</v>
      </c>
      <c r="S37" s="98">
        <v>6.25</v>
      </c>
    </row>
    <row r="38" spans="1:26" x14ac:dyDescent="0.25">
      <c r="A38" s="18">
        <v>38</v>
      </c>
      <c r="B38" s="19">
        <v>27734</v>
      </c>
      <c r="C38" s="3" t="s">
        <v>14</v>
      </c>
      <c r="D38" s="98" t="s">
        <v>639</v>
      </c>
      <c r="E38" s="98">
        <v>15.34</v>
      </c>
      <c r="F38" s="109"/>
      <c r="G38" s="109"/>
      <c r="H38" s="182">
        <v>130</v>
      </c>
      <c r="I38" s="183">
        <v>39909</v>
      </c>
      <c r="J38" s="185" t="s">
        <v>44</v>
      </c>
      <c r="K38" s="98" t="str">
        <f t="shared" si="0"/>
        <v>Gibbous</v>
      </c>
      <c r="L38" s="98">
        <v>89.9</v>
      </c>
      <c r="O38" s="18">
        <v>49</v>
      </c>
      <c r="P38" s="19">
        <v>30219</v>
      </c>
      <c r="Q38" s="3" t="s">
        <v>19</v>
      </c>
      <c r="R38" s="98" t="str">
        <f t="shared" si="1"/>
        <v>Half</v>
      </c>
      <c r="S38" s="98">
        <v>55.88</v>
      </c>
    </row>
    <row r="39" spans="1:26" x14ac:dyDescent="0.25">
      <c r="A39" s="18">
        <v>39</v>
      </c>
      <c r="B39" s="19">
        <v>28051</v>
      </c>
      <c r="C39" s="3" t="s">
        <v>19</v>
      </c>
      <c r="D39" s="98" t="s">
        <v>637</v>
      </c>
      <c r="E39" s="98">
        <v>25.35</v>
      </c>
      <c r="F39" s="109"/>
      <c r="G39" s="109"/>
      <c r="H39" s="182">
        <v>132</v>
      </c>
      <c r="I39" s="183">
        <v>40055</v>
      </c>
      <c r="J39" s="185" t="s">
        <v>44</v>
      </c>
      <c r="K39" s="98" t="str">
        <f t="shared" si="0"/>
        <v>Gibbous</v>
      </c>
      <c r="L39" s="98">
        <v>78.63</v>
      </c>
      <c r="O39" s="89">
        <v>51</v>
      </c>
      <c r="P39" s="80">
        <v>30942</v>
      </c>
      <c r="Q39" s="81" t="s">
        <v>19</v>
      </c>
      <c r="R39" s="98" t="str">
        <f t="shared" si="1"/>
        <v>Gibbous</v>
      </c>
      <c r="S39" s="98">
        <v>56.08</v>
      </c>
    </row>
    <row r="40" spans="1:26" x14ac:dyDescent="0.25">
      <c r="A40" s="18">
        <v>40</v>
      </c>
      <c r="B40" s="19">
        <v>28051</v>
      </c>
      <c r="C40" s="3" t="s">
        <v>14</v>
      </c>
      <c r="D40" s="98" t="s">
        <v>637</v>
      </c>
      <c r="E40" s="98">
        <v>25.35</v>
      </c>
      <c r="F40" s="109"/>
      <c r="G40" s="109"/>
      <c r="H40" s="182">
        <v>134</v>
      </c>
      <c r="I40" s="183">
        <v>40122</v>
      </c>
      <c r="J40" s="185" t="s">
        <v>44</v>
      </c>
      <c r="K40" s="98" t="str">
        <f t="shared" si="0"/>
        <v>Gibbous</v>
      </c>
      <c r="L40" s="98">
        <v>89.87</v>
      </c>
      <c r="O40" s="18">
        <v>52</v>
      </c>
      <c r="P40" s="19">
        <v>30955</v>
      </c>
      <c r="Q40" s="3" t="s">
        <v>14</v>
      </c>
      <c r="R40" s="98" t="str">
        <f t="shared" si="1"/>
        <v>Crescent</v>
      </c>
      <c r="S40" s="98">
        <v>38.340000000000003</v>
      </c>
    </row>
    <row r="41" spans="1:26" x14ac:dyDescent="0.25">
      <c r="A41" s="18">
        <v>41</v>
      </c>
      <c r="B41" s="19">
        <v>28351</v>
      </c>
      <c r="C41" s="3" t="s">
        <v>14</v>
      </c>
      <c r="D41" s="98" t="s">
        <v>643</v>
      </c>
      <c r="E41" s="98">
        <v>0</v>
      </c>
      <c r="F41" s="109"/>
      <c r="G41" s="109"/>
      <c r="H41" s="182">
        <v>135</v>
      </c>
      <c r="I41" s="183">
        <v>40361</v>
      </c>
      <c r="J41" s="185" t="s">
        <v>44</v>
      </c>
      <c r="K41" s="98" t="str">
        <f t="shared" si="0"/>
        <v>Gibbous</v>
      </c>
      <c r="L41" s="98">
        <v>68.2</v>
      </c>
      <c r="O41" s="18">
        <v>53</v>
      </c>
      <c r="P41" s="19">
        <v>31096</v>
      </c>
      <c r="Q41" s="3" t="s">
        <v>19</v>
      </c>
      <c r="R41" s="98" t="str">
        <f t="shared" si="1"/>
        <v>New</v>
      </c>
      <c r="S41" s="98">
        <v>0.88</v>
      </c>
    </row>
    <row r="42" spans="1:26" x14ac:dyDescent="0.25">
      <c r="A42" s="89">
        <v>42</v>
      </c>
      <c r="B42" s="80">
        <v>28707</v>
      </c>
      <c r="C42" s="81" t="s">
        <v>19</v>
      </c>
      <c r="D42" s="98" t="s">
        <v>643</v>
      </c>
      <c r="E42" s="98">
        <v>2.8</v>
      </c>
      <c r="F42" s="109"/>
      <c r="G42" s="109"/>
      <c r="H42" s="182">
        <v>137</v>
      </c>
      <c r="I42" s="183">
        <v>40392</v>
      </c>
      <c r="J42" s="185" t="s">
        <v>44</v>
      </c>
      <c r="K42" s="98" t="str">
        <f t="shared" si="0"/>
        <v>Half</v>
      </c>
      <c r="L42" s="98">
        <v>54.45</v>
      </c>
      <c r="O42" s="89">
        <v>54</v>
      </c>
      <c r="P42" s="80">
        <v>31193</v>
      </c>
      <c r="Q42" s="81" t="s">
        <v>19</v>
      </c>
      <c r="R42" s="98" t="str">
        <f t="shared" si="1"/>
        <v>Crescent</v>
      </c>
      <c r="S42" s="98">
        <v>41.8</v>
      </c>
    </row>
    <row r="43" spans="1:26" x14ac:dyDescent="0.25">
      <c r="A43" s="18">
        <v>43</v>
      </c>
      <c r="B43" s="19">
        <v>28925</v>
      </c>
      <c r="C43" s="3" t="s">
        <v>44</v>
      </c>
      <c r="D43" s="98" t="s">
        <v>641</v>
      </c>
      <c r="E43" s="98">
        <v>99.42</v>
      </c>
      <c r="F43" s="109"/>
      <c r="G43" s="109"/>
      <c r="H43" s="182">
        <v>138</v>
      </c>
      <c r="I43" s="183">
        <v>40404</v>
      </c>
      <c r="J43" s="185" t="s">
        <v>44</v>
      </c>
      <c r="K43" s="98" t="str">
        <f t="shared" si="0"/>
        <v>Crescent</v>
      </c>
      <c r="L43" s="98">
        <v>27.57</v>
      </c>
      <c r="O43" s="89">
        <v>56</v>
      </c>
      <c r="P43" s="80">
        <v>31342</v>
      </c>
      <c r="Q43" s="81" t="s">
        <v>19</v>
      </c>
      <c r="R43" s="98" t="str">
        <f t="shared" si="1"/>
        <v>Gibbous</v>
      </c>
      <c r="S43" s="98">
        <v>69.89</v>
      </c>
    </row>
    <row r="44" spans="1:26" x14ac:dyDescent="0.25">
      <c r="A44" s="18">
        <v>44</v>
      </c>
      <c r="B44" s="19">
        <v>29511</v>
      </c>
      <c r="C44" s="3" t="s">
        <v>44</v>
      </c>
      <c r="D44" s="98" t="s">
        <v>642</v>
      </c>
      <c r="E44" s="98">
        <v>56.8</v>
      </c>
      <c r="F44" s="109"/>
      <c r="G44" s="109"/>
      <c r="H44" s="89">
        <v>140</v>
      </c>
      <c r="I44" s="80">
        <v>40700</v>
      </c>
      <c r="J44" s="188" t="s">
        <v>44</v>
      </c>
      <c r="K44" s="98" t="str">
        <f t="shared" si="0"/>
        <v>Crescent</v>
      </c>
      <c r="L44" s="98">
        <v>24.07</v>
      </c>
      <c r="O44" s="18">
        <v>57</v>
      </c>
      <c r="P44" s="19">
        <v>31752</v>
      </c>
      <c r="Q44" s="3" t="s">
        <v>14</v>
      </c>
      <c r="R44" s="98" t="str">
        <f t="shared" si="1"/>
        <v>Crescent</v>
      </c>
      <c r="S44" s="98">
        <v>33.619999999999997</v>
      </c>
    </row>
    <row r="45" spans="1:26" x14ac:dyDescent="0.25">
      <c r="A45" s="18">
        <v>45</v>
      </c>
      <c r="B45" s="19">
        <v>29939</v>
      </c>
      <c r="C45" s="3" t="s">
        <v>23</v>
      </c>
      <c r="D45" s="98" t="s">
        <v>637</v>
      </c>
      <c r="E45" s="98">
        <v>34.520000000000003</v>
      </c>
      <c r="F45" s="109"/>
      <c r="G45" s="109"/>
      <c r="H45" s="182">
        <v>141</v>
      </c>
      <c r="I45" s="183">
        <v>40718</v>
      </c>
      <c r="J45" s="184" t="s">
        <v>44</v>
      </c>
      <c r="K45" s="98" t="str">
        <f t="shared" si="0"/>
        <v>Crescent</v>
      </c>
      <c r="L45" s="98">
        <v>39.01</v>
      </c>
      <c r="O45" s="18">
        <v>58</v>
      </c>
      <c r="P45" s="19">
        <v>32004</v>
      </c>
      <c r="Q45" s="3" t="s">
        <v>19</v>
      </c>
      <c r="R45" s="98" t="str">
        <f t="shared" si="1"/>
        <v>Crescent</v>
      </c>
      <c r="S45" s="98">
        <v>29.93</v>
      </c>
    </row>
    <row r="46" spans="1:26" x14ac:dyDescent="0.25">
      <c r="A46" s="18">
        <v>46</v>
      </c>
      <c r="B46" s="19">
        <v>29989</v>
      </c>
      <c r="C46" s="3" t="s">
        <v>14</v>
      </c>
      <c r="D46" s="98" t="s">
        <v>641</v>
      </c>
      <c r="E46" s="98">
        <v>100</v>
      </c>
      <c r="F46" s="109"/>
      <c r="G46" s="109"/>
      <c r="H46" s="182">
        <v>142</v>
      </c>
      <c r="I46" s="183">
        <v>40797</v>
      </c>
      <c r="J46" s="184" t="s">
        <v>44</v>
      </c>
      <c r="K46" s="98" t="str">
        <f t="shared" si="0"/>
        <v>Full</v>
      </c>
      <c r="L46" s="98">
        <v>100</v>
      </c>
      <c r="O46" s="18">
        <v>59</v>
      </c>
      <c r="P46" s="19">
        <v>32076</v>
      </c>
      <c r="Q46" s="3" t="s">
        <v>19</v>
      </c>
      <c r="R46" s="98" t="str">
        <f t="shared" si="1"/>
        <v>Crescent</v>
      </c>
      <c r="S46" s="98">
        <v>18.989999999999998</v>
      </c>
    </row>
    <row r="47" spans="1:26" x14ac:dyDescent="0.25">
      <c r="A47" s="18">
        <v>47</v>
      </c>
      <c r="B47" s="19">
        <v>30156</v>
      </c>
      <c r="C47" s="3" t="s">
        <v>44</v>
      </c>
      <c r="D47" s="98" t="s">
        <v>639</v>
      </c>
      <c r="E47" s="98">
        <v>20.83</v>
      </c>
      <c r="F47" s="109"/>
      <c r="G47" s="109"/>
      <c r="H47" s="182">
        <v>144</v>
      </c>
      <c r="I47" s="183">
        <v>40869</v>
      </c>
      <c r="J47" s="184" t="s">
        <v>44</v>
      </c>
      <c r="K47" s="98" t="str">
        <f t="shared" si="0"/>
        <v>New</v>
      </c>
      <c r="L47" s="98">
        <v>9.44</v>
      </c>
      <c r="O47" s="18">
        <v>61</v>
      </c>
      <c r="P47" s="19">
        <v>32366</v>
      </c>
      <c r="Q47" s="3" t="s">
        <v>19</v>
      </c>
      <c r="R47" s="98" t="str">
        <f t="shared" si="1"/>
        <v>New</v>
      </c>
      <c r="S47" s="98">
        <v>0.69</v>
      </c>
    </row>
    <row r="48" spans="1:26" x14ac:dyDescent="0.25">
      <c r="A48" s="18">
        <v>48</v>
      </c>
      <c r="B48" s="19">
        <v>30213</v>
      </c>
      <c r="C48" s="3" t="s">
        <v>14</v>
      </c>
      <c r="D48" s="98" t="s">
        <v>639</v>
      </c>
      <c r="E48" s="98">
        <v>6.25</v>
      </c>
      <c r="F48" s="109"/>
      <c r="G48" s="109"/>
      <c r="H48" s="182">
        <v>145</v>
      </c>
      <c r="I48" s="183">
        <v>41035</v>
      </c>
      <c r="J48" s="184" t="s">
        <v>44</v>
      </c>
      <c r="K48" s="98" t="str">
        <f t="shared" si="0"/>
        <v>Full</v>
      </c>
      <c r="L48" s="98">
        <v>100</v>
      </c>
      <c r="O48" s="18">
        <v>63</v>
      </c>
      <c r="P48" s="19">
        <v>32760</v>
      </c>
      <c r="Q48" s="3" t="s">
        <v>14</v>
      </c>
      <c r="R48" s="98" t="str">
        <f t="shared" si="1"/>
        <v>Gibbous</v>
      </c>
      <c r="S48" s="98">
        <v>62.53</v>
      </c>
    </row>
    <row r="49" spans="1:19" x14ac:dyDescent="0.25">
      <c r="A49" s="18">
        <v>49</v>
      </c>
      <c r="B49" s="19">
        <v>30219</v>
      </c>
      <c r="C49" s="3" t="s">
        <v>19</v>
      </c>
      <c r="D49" s="98" t="s">
        <v>642</v>
      </c>
      <c r="E49" s="98">
        <v>55.88</v>
      </c>
      <c r="F49" s="109"/>
      <c r="G49" s="109"/>
      <c r="H49" s="182">
        <v>146</v>
      </c>
      <c r="I49" s="183">
        <v>41041</v>
      </c>
      <c r="J49" s="184" t="s">
        <v>44</v>
      </c>
      <c r="K49" s="98" t="str">
        <f t="shared" si="0"/>
        <v>Half</v>
      </c>
      <c r="L49" s="98">
        <v>52.56</v>
      </c>
      <c r="O49" s="18">
        <v>65</v>
      </c>
      <c r="P49" s="19">
        <v>33113</v>
      </c>
      <c r="Q49" s="3" t="s">
        <v>19</v>
      </c>
      <c r="R49" s="98" t="str">
        <f t="shared" si="1"/>
        <v>Half</v>
      </c>
      <c r="S49" s="98">
        <v>53.34</v>
      </c>
    </row>
    <row r="50" spans="1:19" x14ac:dyDescent="0.25">
      <c r="A50" s="18">
        <v>50</v>
      </c>
      <c r="B50" s="19">
        <v>30940</v>
      </c>
      <c r="C50" s="3" t="s">
        <v>23</v>
      </c>
      <c r="D50" s="98" t="s">
        <v>640</v>
      </c>
      <c r="E50" s="98">
        <v>74.86</v>
      </c>
      <c r="F50" s="109"/>
      <c r="G50" s="109"/>
      <c r="H50" s="182">
        <v>147</v>
      </c>
      <c r="I50" s="183">
        <v>41097</v>
      </c>
      <c r="J50" s="184" t="s">
        <v>44</v>
      </c>
      <c r="K50" s="98" t="str">
        <f t="shared" si="0"/>
        <v>Gibbous</v>
      </c>
      <c r="L50" s="98">
        <v>81.77</v>
      </c>
      <c r="O50" s="18">
        <v>67</v>
      </c>
      <c r="P50" s="19">
        <v>33124</v>
      </c>
      <c r="Q50" s="3" t="s">
        <v>14</v>
      </c>
      <c r="R50" s="98" t="str">
        <f t="shared" si="1"/>
        <v>Gibbous</v>
      </c>
      <c r="S50" s="98">
        <v>83.87</v>
      </c>
    </row>
    <row r="51" spans="1:19" x14ac:dyDescent="0.25">
      <c r="A51" s="89">
        <v>51</v>
      </c>
      <c r="B51" s="80">
        <v>30942</v>
      </c>
      <c r="C51" s="81" t="s">
        <v>19</v>
      </c>
      <c r="D51" s="98" t="s">
        <v>640</v>
      </c>
      <c r="E51" s="98">
        <v>56.08</v>
      </c>
      <c r="F51" s="109"/>
      <c r="G51" s="109"/>
      <c r="H51" s="182">
        <v>149</v>
      </c>
      <c r="I51" s="183">
        <v>41189</v>
      </c>
      <c r="J51" s="184" t="s">
        <v>44</v>
      </c>
      <c r="K51" s="98" t="str">
        <f t="shared" si="0"/>
        <v>Gibbous</v>
      </c>
      <c r="L51" s="98">
        <v>56.11</v>
      </c>
      <c r="O51" s="18">
        <v>68</v>
      </c>
      <c r="P51" s="19">
        <v>33180</v>
      </c>
      <c r="Q51" s="3" t="s">
        <v>14</v>
      </c>
      <c r="R51" s="98" t="str">
        <f t="shared" si="1"/>
        <v>Full</v>
      </c>
      <c r="S51" s="98">
        <v>99.15</v>
      </c>
    </row>
    <row r="52" spans="1:19" x14ac:dyDescent="0.25">
      <c r="A52" s="18">
        <v>52</v>
      </c>
      <c r="B52" s="19">
        <v>30955</v>
      </c>
      <c r="C52" s="3" t="s">
        <v>14</v>
      </c>
      <c r="D52" s="98" t="s">
        <v>639</v>
      </c>
      <c r="E52" s="98">
        <v>38.340000000000003</v>
      </c>
      <c r="F52" s="109"/>
      <c r="G52" s="109"/>
      <c r="H52" s="182">
        <v>152</v>
      </c>
      <c r="I52" s="189">
        <v>41450</v>
      </c>
      <c r="J52" s="182" t="s">
        <v>44</v>
      </c>
      <c r="K52" s="98" t="str">
        <f t="shared" si="0"/>
        <v>Full</v>
      </c>
      <c r="L52" s="98">
        <v>92.76</v>
      </c>
      <c r="O52" s="18">
        <v>69</v>
      </c>
      <c r="P52" s="19">
        <v>33420</v>
      </c>
      <c r="Q52" s="3" t="s">
        <v>14</v>
      </c>
      <c r="R52" s="98" t="str">
        <f t="shared" si="1"/>
        <v>Gibbous</v>
      </c>
      <c r="S52" s="98">
        <v>82.21</v>
      </c>
    </row>
    <row r="53" spans="1:19" x14ac:dyDescent="0.25">
      <c r="A53" s="18">
        <v>53</v>
      </c>
      <c r="B53" s="19">
        <v>31096</v>
      </c>
      <c r="C53" s="3" t="s">
        <v>19</v>
      </c>
      <c r="D53" s="98" t="s">
        <v>643</v>
      </c>
      <c r="E53" s="98">
        <v>0.88</v>
      </c>
      <c r="F53" s="109"/>
      <c r="G53" s="109"/>
      <c r="H53" s="182">
        <v>153</v>
      </c>
      <c r="I53" s="189">
        <v>41503</v>
      </c>
      <c r="J53" s="182" t="s">
        <v>44</v>
      </c>
      <c r="K53" s="98" t="str">
        <f t="shared" si="0"/>
        <v>Gibbous</v>
      </c>
      <c r="L53" s="98">
        <v>84</v>
      </c>
      <c r="O53" s="18">
        <v>70</v>
      </c>
      <c r="P53" s="19">
        <v>33516</v>
      </c>
      <c r="Q53" s="3" t="s">
        <v>14</v>
      </c>
      <c r="R53" s="98" t="str">
        <f t="shared" si="1"/>
        <v>New</v>
      </c>
      <c r="S53" s="98">
        <v>6.17</v>
      </c>
    </row>
    <row r="54" spans="1:19" x14ac:dyDescent="0.25">
      <c r="A54" s="89">
        <v>54</v>
      </c>
      <c r="B54" s="80">
        <v>31193</v>
      </c>
      <c r="C54" s="81" t="s">
        <v>19</v>
      </c>
      <c r="D54" s="98" t="s">
        <v>639</v>
      </c>
      <c r="E54" s="98">
        <v>41.8</v>
      </c>
      <c r="F54" s="109"/>
      <c r="G54" s="109"/>
      <c r="H54" s="182">
        <v>156</v>
      </c>
      <c r="I54" s="189">
        <v>41825</v>
      </c>
      <c r="J54" s="182" t="s">
        <v>44</v>
      </c>
      <c r="K54" s="98" t="str">
        <f t="shared" si="0"/>
        <v>Half</v>
      </c>
      <c r="L54" s="98">
        <v>51.75</v>
      </c>
      <c r="O54" s="18">
        <v>74</v>
      </c>
      <c r="P54" s="19">
        <v>33906</v>
      </c>
      <c r="Q54" s="3" t="s">
        <v>19</v>
      </c>
      <c r="R54" s="98" t="str">
        <f t="shared" si="1"/>
        <v>Crescent</v>
      </c>
      <c r="S54" s="98">
        <v>16.59</v>
      </c>
    </row>
    <row r="55" spans="1:19" x14ac:dyDescent="0.25">
      <c r="A55" s="18">
        <v>55</v>
      </c>
      <c r="B55" s="19">
        <v>31318</v>
      </c>
      <c r="C55" s="3" t="s">
        <v>44</v>
      </c>
      <c r="D55" s="98" t="s">
        <v>641</v>
      </c>
      <c r="E55" s="98">
        <v>100</v>
      </c>
      <c r="F55" s="109"/>
      <c r="G55" s="109"/>
      <c r="H55" s="182">
        <v>157</v>
      </c>
      <c r="I55" s="189">
        <v>41895</v>
      </c>
      <c r="J55" s="182" t="s">
        <v>44</v>
      </c>
      <c r="K55" s="98" t="str">
        <f t="shared" si="0"/>
        <v>Gibbous</v>
      </c>
      <c r="L55" s="98">
        <v>73.95</v>
      </c>
      <c r="O55" s="89">
        <v>75</v>
      </c>
      <c r="P55" s="80">
        <v>33919</v>
      </c>
      <c r="Q55" s="81" t="s">
        <v>19</v>
      </c>
      <c r="R55" s="98" t="str">
        <f t="shared" si="1"/>
        <v>Full</v>
      </c>
      <c r="S55" s="98">
        <v>98.09</v>
      </c>
    </row>
    <row r="56" spans="1:19" x14ac:dyDescent="0.25">
      <c r="A56" s="89">
        <v>56</v>
      </c>
      <c r="B56" s="80">
        <v>31342</v>
      </c>
      <c r="C56" s="81" t="s">
        <v>19</v>
      </c>
      <c r="D56" s="98" t="s">
        <v>642</v>
      </c>
      <c r="E56" s="98">
        <v>69.89</v>
      </c>
      <c r="F56" s="109"/>
      <c r="G56" s="109"/>
      <c r="H56" s="182">
        <v>159</v>
      </c>
      <c r="I56" s="189">
        <v>41915</v>
      </c>
      <c r="J56" s="182" t="s">
        <v>44</v>
      </c>
      <c r="K56" s="98" t="str">
        <f t="shared" si="0"/>
        <v>Gibbous</v>
      </c>
      <c r="L56" s="98">
        <v>70.62</v>
      </c>
      <c r="O56" s="89">
        <v>77</v>
      </c>
      <c r="P56" s="80">
        <v>33937</v>
      </c>
      <c r="Q56" s="81" t="s">
        <v>19</v>
      </c>
      <c r="R56" s="98" t="str">
        <f t="shared" si="1"/>
        <v>Crescent</v>
      </c>
      <c r="S56" s="98">
        <v>26.79</v>
      </c>
    </row>
    <row r="57" spans="1:19" x14ac:dyDescent="0.25">
      <c r="A57" s="18">
        <v>57</v>
      </c>
      <c r="B57" s="19">
        <v>31752</v>
      </c>
      <c r="C57" s="3" t="s">
        <v>14</v>
      </c>
      <c r="D57" s="98" t="s">
        <v>639</v>
      </c>
      <c r="E57" s="98">
        <v>33.619999999999997</v>
      </c>
      <c r="F57" s="109"/>
      <c r="G57" s="109"/>
      <c r="H57" s="182">
        <v>160</v>
      </c>
      <c r="I57" s="189">
        <v>41915</v>
      </c>
      <c r="J57" s="182" t="s">
        <v>44</v>
      </c>
      <c r="K57" s="98" t="str">
        <f t="shared" si="0"/>
        <v>Gibbous</v>
      </c>
      <c r="L57" s="98">
        <v>70.62</v>
      </c>
      <c r="O57" s="18">
        <v>79</v>
      </c>
      <c r="P57" s="19">
        <v>34193</v>
      </c>
      <c r="Q57" s="3" t="s">
        <v>14</v>
      </c>
      <c r="R57" s="98" t="str">
        <f t="shared" si="1"/>
        <v>Crescent</v>
      </c>
      <c r="S57" s="98">
        <v>30.21</v>
      </c>
    </row>
    <row r="58" spans="1:19" x14ac:dyDescent="0.25">
      <c r="A58" s="18">
        <v>58</v>
      </c>
      <c r="B58" s="19">
        <v>32004</v>
      </c>
      <c r="C58" s="3" t="s">
        <v>19</v>
      </c>
      <c r="D58" s="98" t="s">
        <v>637</v>
      </c>
      <c r="E58" s="98">
        <v>29.93</v>
      </c>
      <c r="F58" s="109"/>
      <c r="G58" s="109"/>
      <c r="H58" s="182">
        <v>161</v>
      </c>
      <c r="I58" s="189">
        <v>41931</v>
      </c>
      <c r="J58" s="182" t="s">
        <v>44</v>
      </c>
      <c r="K58" s="98" t="str">
        <f t="shared" si="0"/>
        <v>Crescent</v>
      </c>
      <c r="L58" s="98">
        <v>16.59</v>
      </c>
      <c r="O58" s="18">
        <v>81</v>
      </c>
      <c r="P58" s="19">
        <v>34272</v>
      </c>
      <c r="Q58" s="3" t="s">
        <v>14</v>
      </c>
      <c r="R58" s="98" t="str">
        <f t="shared" si="1"/>
        <v>Full</v>
      </c>
      <c r="S58" s="98">
        <v>100</v>
      </c>
    </row>
    <row r="59" spans="1:19" x14ac:dyDescent="0.25">
      <c r="A59" s="18">
        <v>59</v>
      </c>
      <c r="B59" s="19">
        <v>32076</v>
      </c>
      <c r="C59" s="3" t="s">
        <v>19</v>
      </c>
      <c r="D59" s="98" t="s">
        <v>639</v>
      </c>
      <c r="E59" s="98">
        <v>18.989999999999998</v>
      </c>
      <c r="F59" s="109"/>
      <c r="G59" s="109"/>
      <c r="H59" s="182">
        <v>163</v>
      </c>
      <c r="I59" s="189">
        <v>42195</v>
      </c>
      <c r="J59" s="182" t="s">
        <v>44</v>
      </c>
      <c r="K59" s="98" t="str">
        <f t="shared" si="0"/>
        <v>Crescent</v>
      </c>
      <c r="L59" s="98">
        <v>30.04</v>
      </c>
      <c r="O59" s="18">
        <v>83</v>
      </c>
      <c r="P59" s="19">
        <v>34874</v>
      </c>
      <c r="Q59" s="3" t="s">
        <v>19</v>
      </c>
      <c r="R59" s="98" t="str">
        <f t="shared" si="1"/>
        <v>New</v>
      </c>
      <c r="S59" s="98">
        <v>9.91</v>
      </c>
    </row>
    <row r="60" spans="1:19" x14ac:dyDescent="0.25">
      <c r="A60" s="18">
        <v>60</v>
      </c>
      <c r="B60" s="19">
        <v>32257</v>
      </c>
      <c r="C60" s="3" t="s">
        <v>44</v>
      </c>
      <c r="D60" s="98" t="s">
        <v>642</v>
      </c>
      <c r="E60" s="98">
        <v>57.96</v>
      </c>
      <c r="F60" s="109"/>
      <c r="G60" s="109"/>
      <c r="H60" s="182">
        <v>164</v>
      </c>
      <c r="I60" s="189">
        <v>42234</v>
      </c>
      <c r="J60" s="182" t="s">
        <v>44</v>
      </c>
      <c r="K60" s="98" t="str">
        <f t="shared" si="0"/>
        <v>Crescent</v>
      </c>
      <c r="L60" s="98">
        <v>14.28</v>
      </c>
      <c r="O60" s="18">
        <v>84</v>
      </c>
      <c r="P60" s="19">
        <v>34880</v>
      </c>
      <c r="Q60" s="3" t="s">
        <v>14</v>
      </c>
      <c r="R60" s="98" t="str">
        <f t="shared" si="1"/>
        <v>New</v>
      </c>
      <c r="S60" s="98">
        <v>6.37</v>
      </c>
    </row>
    <row r="61" spans="1:19" x14ac:dyDescent="0.25">
      <c r="A61" s="18">
        <v>61</v>
      </c>
      <c r="B61" s="19">
        <v>32366</v>
      </c>
      <c r="C61" s="3" t="s">
        <v>19</v>
      </c>
      <c r="D61" s="98" t="s">
        <v>643</v>
      </c>
      <c r="E61" s="98">
        <v>0.69</v>
      </c>
      <c r="F61" s="109"/>
      <c r="G61" s="109"/>
      <c r="H61" s="182">
        <v>165</v>
      </c>
      <c r="I61" s="189">
        <v>42245</v>
      </c>
      <c r="J61" s="182" t="s">
        <v>44</v>
      </c>
      <c r="K61" s="98" t="str">
        <f t="shared" si="0"/>
        <v>Full</v>
      </c>
      <c r="L61" s="98">
        <v>100</v>
      </c>
      <c r="O61" s="18">
        <v>85</v>
      </c>
      <c r="P61" s="19">
        <v>34945</v>
      </c>
      <c r="Q61" s="3" t="s">
        <v>14</v>
      </c>
      <c r="R61" s="98" t="str">
        <f t="shared" si="1"/>
        <v>Gibbous</v>
      </c>
      <c r="S61" s="98">
        <v>64.75</v>
      </c>
    </row>
    <row r="62" spans="1:19" x14ac:dyDescent="0.25">
      <c r="A62" s="18">
        <v>62</v>
      </c>
      <c r="B62" s="19">
        <v>32534</v>
      </c>
      <c r="C62" s="3" t="s">
        <v>23</v>
      </c>
      <c r="D62" s="98" t="s">
        <v>640</v>
      </c>
      <c r="E62" s="98">
        <v>79.790000000000006</v>
      </c>
      <c r="F62" s="109"/>
      <c r="G62" s="109"/>
      <c r="H62" s="182">
        <v>167</v>
      </c>
      <c r="I62" s="189">
        <v>42253</v>
      </c>
      <c r="J62" s="182" t="s">
        <v>44</v>
      </c>
      <c r="K62" s="98" t="str">
        <f t="shared" si="0"/>
        <v>Crescent</v>
      </c>
      <c r="L62" s="98">
        <v>36.83</v>
      </c>
      <c r="O62" s="18">
        <v>86</v>
      </c>
      <c r="P62" s="19">
        <v>34970</v>
      </c>
      <c r="Q62" s="3" t="s">
        <v>19</v>
      </c>
      <c r="R62" s="98" t="str">
        <f t="shared" si="1"/>
        <v>Crescent</v>
      </c>
      <c r="S62" s="98">
        <v>18.73</v>
      </c>
    </row>
    <row r="63" spans="1:19" x14ac:dyDescent="0.25">
      <c r="A63" s="18">
        <v>63</v>
      </c>
      <c r="B63" s="19">
        <v>32760</v>
      </c>
      <c r="C63" s="3" t="s">
        <v>14</v>
      </c>
      <c r="D63" s="98" t="s">
        <v>642</v>
      </c>
      <c r="E63" s="98">
        <v>62.53</v>
      </c>
      <c r="F63" s="109"/>
      <c r="G63" s="109"/>
      <c r="H63" s="182">
        <v>172</v>
      </c>
      <c r="I63" s="189">
        <v>42630</v>
      </c>
      <c r="J63" s="182" t="s">
        <v>44</v>
      </c>
      <c r="K63" s="98" t="str">
        <f t="shared" si="0"/>
        <v>Full</v>
      </c>
      <c r="L63" s="98">
        <v>98.9</v>
      </c>
      <c r="O63" s="18">
        <v>87</v>
      </c>
      <c r="P63" s="19">
        <v>35290</v>
      </c>
      <c r="Q63" s="3" t="s">
        <v>14</v>
      </c>
      <c r="R63" s="98" t="str">
        <f t="shared" si="1"/>
        <v>New</v>
      </c>
      <c r="S63" s="98">
        <v>0</v>
      </c>
    </row>
    <row r="64" spans="1:19" x14ac:dyDescent="0.25">
      <c r="A64" s="18">
        <v>64</v>
      </c>
      <c r="B64" s="19">
        <v>32885</v>
      </c>
      <c r="C64" s="3" t="s">
        <v>44</v>
      </c>
      <c r="D64" s="98" t="s">
        <v>641</v>
      </c>
      <c r="E64" s="98">
        <v>97.24</v>
      </c>
      <c r="F64" s="109"/>
      <c r="G64" s="109"/>
      <c r="H64" s="182">
        <v>173</v>
      </c>
      <c r="I64" s="189">
        <v>42812</v>
      </c>
      <c r="J64" s="182" t="s">
        <v>44</v>
      </c>
      <c r="K64" s="98" t="str">
        <f t="shared" si="0"/>
        <v>Gibbous</v>
      </c>
      <c r="L64" s="98">
        <v>68.53</v>
      </c>
      <c r="O64" s="18">
        <v>89</v>
      </c>
      <c r="P64" s="19">
        <v>35343</v>
      </c>
      <c r="Q64" s="3" t="s">
        <v>14</v>
      </c>
      <c r="R64" s="98" t="str">
        <f t="shared" si="1"/>
        <v>Crescent</v>
      </c>
      <c r="S64" s="98">
        <v>38.93</v>
      </c>
    </row>
    <row r="65" spans="1:19" x14ac:dyDescent="0.25">
      <c r="A65" s="18">
        <v>65</v>
      </c>
      <c r="B65" s="19">
        <v>33113</v>
      </c>
      <c r="C65" s="3" t="s">
        <v>19</v>
      </c>
      <c r="D65" s="98" t="s">
        <v>642</v>
      </c>
      <c r="E65" s="98">
        <v>53.34</v>
      </c>
      <c r="F65" s="109"/>
      <c r="G65" s="109"/>
      <c r="H65" s="182">
        <v>175</v>
      </c>
      <c r="I65" s="189">
        <v>42927</v>
      </c>
      <c r="J65" s="182" t="s">
        <v>44</v>
      </c>
      <c r="K65" s="98" t="str">
        <f t="shared" si="0"/>
        <v>Full</v>
      </c>
      <c r="L65" s="98">
        <v>94.12</v>
      </c>
      <c r="O65" s="18">
        <v>90</v>
      </c>
      <c r="P65" s="19">
        <v>35398</v>
      </c>
      <c r="Q65" s="3" t="s">
        <v>19</v>
      </c>
      <c r="R65" s="98" t="str">
        <f t="shared" si="1"/>
        <v>Gibbous</v>
      </c>
      <c r="S65" s="98">
        <v>80.66</v>
      </c>
    </row>
    <row r="66" spans="1:19" x14ac:dyDescent="0.25">
      <c r="A66" s="18">
        <v>66</v>
      </c>
      <c r="B66" s="19">
        <v>33121</v>
      </c>
      <c r="C66" s="3" t="s">
        <v>44</v>
      </c>
      <c r="D66" s="98" t="s">
        <v>641</v>
      </c>
      <c r="E66" s="98">
        <v>100</v>
      </c>
      <c r="F66" s="109"/>
      <c r="G66" s="109"/>
      <c r="H66" s="182">
        <v>176</v>
      </c>
      <c r="I66" s="189">
        <v>42936</v>
      </c>
      <c r="J66" s="182" t="s">
        <v>44</v>
      </c>
      <c r="K66" s="98" t="str">
        <f t="shared" si="0"/>
        <v>New</v>
      </c>
      <c r="L66" s="98">
        <v>10.82</v>
      </c>
      <c r="O66" s="18">
        <v>91</v>
      </c>
      <c r="P66" s="19">
        <v>35666</v>
      </c>
      <c r="Q66" s="3" t="s">
        <v>14</v>
      </c>
      <c r="R66" s="98" t="str">
        <f t="shared" si="1"/>
        <v>Half</v>
      </c>
      <c r="S66" s="98">
        <v>54.5</v>
      </c>
    </row>
    <row r="67" spans="1:19" x14ac:dyDescent="0.25">
      <c r="A67" s="18">
        <v>67</v>
      </c>
      <c r="B67" s="19">
        <v>33124</v>
      </c>
      <c r="C67" s="3" t="s">
        <v>14</v>
      </c>
      <c r="D67" s="98" t="s">
        <v>640</v>
      </c>
      <c r="E67" s="98">
        <v>83.87</v>
      </c>
      <c r="F67" s="109"/>
      <c r="G67" s="109"/>
      <c r="H67" s="182">
        <v>177</v>
      </c>
      <c r="I67" s="189">
        <v>42936</v>
      </c>
      <c r="J67" s="182" t="s">
        <v>44</v>
      </c>
      <c r="K67" s="98" t="str">
        <f t="shared" ref="K67:K81" si="8">LOOKUP(L67,$AC$2:$AC$6,$AE$2:$AE$6)</f>
        <v>New</v>
      </c>
      <c r="L67" s="98">
        <v>10.82</v>
      </c>
      <c r="O67" s="18">
        <v>92</v>
      </c>
      <c r="P67" s="19">
        <v>36033</v>
      </c>
      <c r="Q67" s="3" t="s">
        <v>14</v>
      </c>
      <c r="R67" s="98" t="str">
        <f t="shared" ref="R67:R110" si="9">LOOKUP(S67,$AC$2:$AC$6,$AE$2:$AE$6)</f>
        <v>Crescent</v>
      </c>
      <c r="S67" s="98">
        <v>18.93</v>
      </c>
    </row>
    <row r="68" spans="1:19" x14ac:dyDescent="0.25">
      <c r="A68" s="18">
        <v>68</v>
      </c>
      <c r="B68" s="19">
        <v>33180</v>
      </c>
      <c r="C68" s="3" t="s">
        <v>14</v>
      </c>
      <c r="D68" s="98" t="s">
        <v>641</v>
      </c>
      <c r="E68" s="98">
        <v>99.15</v>
      </c>
      <c r="F68" s="109"/>
      <c r="G68" s="109"/>
      <c r="H68" s="182">
        <v>178</v>
      </c>
      <c r="I68" s="189">
        <v>42948</v>
      </c>
      <c r="J68" s="182" t="s">
        <v>44</v>
      </c>
      <c r="K68" s="98" t="str">
        <f t="shared" si="8"/>
        <v>Gibbous</v>
      </c>
      <c r="L68" s="98">
        <v>68.98</v>
      </c>
      <c r="O68" s="18">
        <v>95</v>
      </c>
      <c r="P68" s="19">
        <v>36834</v>
      </c>
      <c r="Q68" s="3" t="s">
        <v>14</v>
      </c>
      <c r="R68" s="98" t="str">
        <f t="shared" si="9"/>
        <v>Half</v>
      </c>
      <c r="S68" s="98">
        <v>53.64</v>
      </c>
    </row>
    <row r="69" spans="1:19" x14ac:dyDescent="0.25">
      <c r="A69" s="18">
        <v>69</v>
      </c>
      <c r="B69" s="19">
        <v>33420</v>
      </c>
      <c r="C69" s="3" t="s">
        <v>14</v>
      </c>
      <c r="D69" s="98" t="s">
        <v>640</v>
      </c>
      <c r="E69" s="98">
        <v>82.21</v>
      </c>
      <c r="F69" s="109"/>
      <c r="G69" s="109"/>
      <c r="H69" s="182">
        <v>181</v>
      </c>
      <c r="I69" s="189">
        <v>43276</v>
      </c>
      <c r="J69" s="182" t="s">
        <v>44</v>
      </c>
      <c r="K69" s="98" t="str">
        <f t="shared" si="8"/>
        <v>Full</v>
      </c>
      <c r="L69" s="98">
        <v>94.03</v>
      </c>
      <c r="O69" s="18">
        <v>97</v>
      </c>
      <c r="P69" s="19">
        <v>37407</v>
      </c>
      <c r="Q69" s="5" t="s">
        <v>14</v>
      </c>
      <c r="R69" s="98" t="str">
        <f t="shared" si="9"/>
        <v>Gibbous</v>
      </c>
      <c r="S69" s="98">
        <v>71.84</v>
      </c>
    </row>
    <row r="70" spans="1:19" x14ac:dyDescent="0.25">
      <c r="A70" s="18">
        <v>70</v>
      </c>
      <c r="B70" s="19">
        <v>33516</v>
      </c>
      <c r="C70" s="3" t="s">
        <v>14</v>
      </c>
      <c r="D70" s="98" t="s">
        <v>637</v>
      </c>
      <c r="E70" s="98">
        <v>6.17</v>
      </c>
      <c r="F70" s="109"/>
      <c r="G70" s="109"/>
      <c r="H70" s="98">
        <v>182</v>
      </c>
      <c r="I70" s="95">
        <v>43336</v>
      </c>
      <c r="J70" s="98" t="s">
        <v>44</v>
      </c>
      <c r="K70" s="98" t="str">
        <f t="shared" si="8"/>
        <v>Full</v>
      </c>
      <c r="L70" s="98">
        <v>96.96</v>
      </c>
      <c r="O70" s="18">
        <v>99</v>
      </c>
      <c r="P70" s="19">
        <v>37588</v>
      </c>
      <c r="Q70" s="3" t="s">
        <v>14</v>
      </c>
      <c r="R70" s="98" t="str">
        <f t="shared" si="9"/>
        <v>Crescent</v>
      </c>
      <c r="S70" s="98">
        <v>38.06</v>
      </c>
    </row>
    <row r="71" spans="1:19" x14ac:dyDescent="0.25">
      <c r="A71" s="18">
        <v>71</v>
      </c>
      <c r="B71" s="19">
        <v>33520</v>
      </c>
      <c r="C71" s="3" t="s">
        <v>44</v>
      </c>
      <c r="D71" s="98" t="s">
        <v>643</v>
      </c>
      <c r="E71" s="98">
        <v>3.6</v>
      </c>
      <c r="F71" s="109"/>
      <c r="G71" s="109"/>
      <c r="H71" s="98">
        <v>186</v>
      </c>
      <c r="I71" s="95">
        <v>43592</v>
      </c>
      <c r="J71" s="98" t="s">
        <v>44</v>
      </c>
      <c r="K71" s="98" t="str">
        <f t="shared" si="8"/>
        <v>New</v>
      </c>
      <c r="L71" s="98">
        <v>8.2899999999999991</v>
      </c>
      <c r="O71" s="18">
        <v>104</v>
      </c>
      <c r="P71" s="19">
        <v>38219</v>
      </c>
      <c r="Q71" s="3" t="s">
        <v>19</v>
      </c>
      <c r="R71" s="98" t="str">
        <f t="shared" si="9"/>
        <v>Crescent</v>
      </c>
      <c r="S71" s="98">
        <v>21.38</v>
      </c>
    </row>
    <row r="72" spans="1:19" x14ac:dyDescent="0.25">
      <c r="A72" s="18">
        <v>72</v>
      </c>
      <c r="B72" s="19">
        <v>33576</v>
      </c>
      <c r="C72" s="3" t="s">
        <v>44</v>
      </c>
      <c r="D72" s="98" t="s">
        <v>643</v>
      </c>
      <c r="E72" s="98">
        <v>2.08</v>
      </c>
      <c r="F72" s="109"/>
      <c r="G72" s="109"/>
      <c r="H72" s="111">
        <v>187</v>
      </c>
      <c r="I72" s="112">
        <v>43709</v>
      </c>
      <c r="J72" s="111" t="s">
        <v>44</v>
      </c>
      <c r="K72" s="98" t="str">
        <f t="shared" si="8"/>
        <v>New</v>
      </c>
      <c r="L72" s="98">
        <v>7.51</v>
      </c>
      <c r="O72" s="18">
        <v>107</v>
      </c>
      <c r="P72" s="19">
        <v>38270</v>
      </c>
      <c r="Q72" s="3" t="s">
        <v>19</v>
      </c>
      <c r="R72" s="98" t="str">
        <f t="shared" si="9"/>
        <v>Crescent</v>
      </c>
      <c r="S72" s="98">
        <v>13.21</v>
      </c>
    </row>
    <row r="73" spans="1:19" x14ac:dyDescent="0.25">
      <c r="A73" s="18">
        <v>73</v>
      </c>
      <c r="B73" s="19">
        <v>33834</v>
      </c>
      <c r="C73" s="3" t="s">
        <v>44</v>
      </c>
      <c r="D73" s="98" t="s">
        <v>640</v>
      </c>
      <c r="E73" s="98">
        <v>76.650000000000006</v>
      </c>
      <c r="F73" s="109"/>
      <c r="G73" s="109"/>
      <c r="H73" s="98">
        <v>188</v>
      </c>
      <c r="I73" s="95">
        <v>43743</v>
      </c>
      <c r="J73" s="98" t="s">
        <v>44</v>
      </c>
      <c r="K73" s="98" t="str">
        <f t="shared" si="8"/>
        <v>Gibbous</v>
      </c>
      <c r="L73" s="98">
        <v>59.45</v>
      </c>
      <c r="O73" s="18">
        <v>108</v>
      </c>
      <c r="P73" s="19">
        <v>38302</v>
      </c>
      <c r="Q73" s="3" t="s">
        <v>14</v>
      </c>
      <c r="R73" s="98" t="str">
        <f t="shared" si="9"/>
        <v>New</v>
      </c>
      <c r="S73" s="98">
        <v>1.1000000000000001</v>
      </c>
    </row>
    <row r="74" spans="1:19" x14ac:dyDescent="0.25">
      <c r="A74" s="18">
        <v>74</v>
      </c>
      <c r="B74" s="19">
        <v>33906</v>
      </c>
      <c r="C74" s="3" t="s">
        <v>19</v>
      </c>
      <c r="D74" s="98" t="s">
        <v>639</v>
      </c>
      <c r="E74" s="98">
        <v>16.59</v>
      </c>
      <c r="F74" s="109"/>
      <c r="G74" s="109"/>
      <c r="H74" s="98">
        <v>190</v>
      </c>
      <c r="I74" s="95">
        <v>43917</v>
      </c>
      <c r="J74" s="98" t="s">
        <v>44</v>
      </c>
      <c r="K74" s="98" t="str">
        <f t="shared" si="8"/>
        <v>New</v>
      </c>
      <c r="L74" s="98">
        <v>9.39</v>
      </c>
      <c r="O74" s="18">
        <v>109</v>
      </c>
      <c r="P74" s="19">
        <v>38588</v>
      </c>
      <c r="Q74" s="3" t="s">
        <v>19</v>
      </c>
      <c r="R74" s="98" t="str">
        <f t="shared" si="9"/>
        <v>Gibbous</v>
      </c>
      <c r="S74" s="98">
        <v>70.03</v>
      </c>
    </row>
    <row r="75" spans="1:19" x14ac:dyDescent="0.25">
      <c r="A75" s="89">
        <v>75</v>
      </c>
      <c r="B75" s="80">
        <v>33919</v>
      </c>
      <c r="C75" s="81" t="s">
        <v>19</v>
      </c>
      <c r="D75" s="98" t="s">
        <v>641</v>
      </c>
      <c r="E75" s="98">
        <v>98.09</v>
      </c>
      <c r="F75" s="109"/>
      <c r="G75" s="109"/>
      <c r="H75" s="98">
        <v>193</v>
      </c>
      <c r="I75" s="95">
        <v>43976</v>
      </c>
      <c r="J75" s="98" t="s">
        <v>44</v>
      </c>
      <c r="K75" s="98" t="str">
        <f t="shared" si="8"/>
        <v>New</v>
      </c>
      <c r="L75" s="98">
        <v>8.66</v>
      </c>
      <c r="O75" s="18">
        <v>110</v>
      </c>
      <c r="P75" s="19">
        <v>38644</v>
      </c>
      <c r="Q75" s="3" t="s">
        <v>14</v>
      </c>
      <c r="R75" s="98" t="str">
        <f t="shared" si="9"/>
        <v>Full</v>
      </c>
      <c r="S75" s="98">
        <v>94.21</v>
      </c>
    </row>
    <row r="76" spans="1:19" x14ac:dyDescent="0.25">
      <c r="A76" s="18">
        <v>76</v>
      </c>
      <c r="B76" s="19">
        <v>33922</v>
      </c>
      <c r="C76" s="3" t="s">
        <v>44</v>
      </c>
      <c r="D76" s="98" t="s">
        <v>640</v>
      </c>
      <c r="E76" s="98">
        <v>79.459999999999994</v>
      </c>
      <c r="F76" s="109"/>
      <c r="G76" s="109"/>
      <c r="H76" s="98">
        <v>194</v>
      </c>
      <c r="I76" s="95">
        <v>44001</v>
      </c>
      <c r="J76" s="98" t="s">
        <v>44</v>
      </c>
      <c r="K76" s="98" t="str">
        <f t="shared" si="8"/>
        <v>Crescent</v>
      </c>
      <c r="L76" s="98">
        <v>27.6</v>
      </c>
      <c r="O76" s="18">
        <v>111</v>
      </c>
      <c r="P76" s="19">
        <v>38646</v>
      </c>
      <c r="Q76" s="3" t="s">
        <v>19</v>
      </c>
      <c r="R76" s="98" t="str">
        <f t="shared" si="9"/>
        <v>Gibbous</v>
      </c>
      <c r="S76" s="98">
        <v>80.8</v>
      </c>
    </row>
    <row r="77" spans="1:19" x14ac:dyDescent="0.25">
      <c r="A77" s="89">
        <v>77</v>
      </c>
      <c r="B77" s="80">
        <v>33937</v>
      </c>
      <c r="C77" s="81" t="s">
        <v>19</v>
      </c>
      <c r="D77" s="98" t="s">
        <v>639</v>
      </c>
      <c r="E77" s="98">
        <v>26.79</v>
      </c>
      <c r="F77" s="109"/>
      <c r="G77" s="109"/>
      <c r="H77" s="98">
        <v>196</v>
      </c>
      <c r="I77" s="95">
        <v>44071</v>
      </c>
      <c r="J77" s="98" t="s">
        <v>44</v>
      </c>
      <c r="K77" s="98" t="str">
        <f t="shared" si="8"/>
        <v>Gibbous</v>
      </c>
      <c r="L77" s="98">
        <v>79.78</v>
      </c>
      <c r="O77" s="18">
        <v>116</v>
      </c>
      <c r="P77" s="19">
        <v>39061</v>
      </c>
      <c r="Q77" s="3" t="s">
        <v>19</v>
      </c>
      <c r="R77" s="98" t="str">
        <f t="shared" si="9"/>
        <v>Gibbous</v>
      </c>
      <c r="S77" s="98">
        <v>67.849999999999994</v>
      </c>
    </row>
    <row r="78" spans="1:19" x14ac:dyDescent="0.25">
      <c r="A78" s="18">
        <v>78</v>
      </c>
      <c r="B78" s="19">
        <v>34040</v>
      </c>
      <c r="C78" s="3" t="s">
        <v>44</v>
      </c>
      <c r="D78" s="98" t="s">
        <v>640</v>
      </c>
      <c r="E78" s="98">
        <v>75.510000000000005</v>
      </c>
      <c r="F78" s="109"/>
      <c r="G78" s="109"/>
      <c r="H78" s="98">
        <v>197</v>
      </c>
      <c r="I78" s="95">
        <v>44195</v>
      </c>
      <c r="J78" s="98" t="s">
        <v>44</v>
      </c>
      <c r="K78" s="98" t="str">
        <f t="shared" si="8"/>
        <v>Full</v>
      </c>
      <c r="L78" s="98">
        <v>100</v>
      </c>
      <c r="O78" s="89">
        <v>117</v>
      </c>
      <c r="P78" s="80">
        <v>39263</v>
      </c>
      <c r="Q78" s="81" t="s">
        <v>19</v>
      </c>
      <c r="R78" s="98" t="str">
        <f t="shared" si="9"/>
        <v>Full</v>
      </c>
      <c r="S78" s="98">
        <v>100</v>
      </c>
    </row>
    <row r="79" spans="1:19" x14ac:dyDescent="0.25">
      <c r="A79" s="18">
        <v>79</v>
      </c>
      <c r="B79" s="19">
        <v>34193</v>
      </c>
      <c r="C79" s="3" t="s">
        <v>14</v>
      </c>
      <c r="D79" s="98" t="s">
        <v>637</v>
      </c>
      <c r="E79" s="98">
        <v>30.21</v>
      </c>
      <c r="F79" s="109"/>
      <c r="G79" s="109"/>
      <c r="H79" s="98">
        <v>200</v>
      </c>
      <c r="I79" s="95">
        <v>44382</v>
      </c>
      <c r="J79" s="98" t="s">
        <v>44</v>
      </c>
      <c r="K79" s="98" t="str">
        <f t="shared" si="8"/>
        <v>Crescent</v>
      </c>
      <c r="L79" s="98">
        <v>16.95</v>
      </c>
      <c r="O79" s="89">
        <v>118</v>
      </c>
      <c r="P79" s="80">
        <v>39280</v>
      </c>
      <c r="Q79" s="81" t="s">
        <v>19</v>
      </c>
      <c r="R79" s="98" t="str">
        <f t="shared" si="9"/>
        <v>New</v>
      </c>
      <c r="S79" s="98">
        <v>10.99</v>
      </c>
    </row>
    <row r="80" spans="1:19" x14ac:dyDescent="0.25">
      <c r="A80" s="18">
        <v>80</v>
      </c>
      <c r="B80" s="19">
        <v>34252</v>
      </c>
      <c r="C80" s="3" t="s">
        <v>44</v>
      </c>
      <c r="D80" s="98" t="s">
        <v>637</v>
      </c>
      <c r="E80" s="98">
        <v>30.22</v>
      </c>
      <c r="F80" s="109"/>
      <c r="G80" s="109"/>
      <c r="H80" s="98">
        <v>201</v>
      </c>
      <c r="I80" s="95">
        <v>44399</v>
      </c>
      <c r="J80" s="98" t="s">
        <v>44</v>
      </c>
      <c r="K80" s="98" t="str">
        <f t="shared" si="8"/>
        <v>Full</v>
      </c>
      <c r="L80" s="98">
        <v>97.16</v>
      </c>
      <c r="O80" s="18">
        <v>122</v>
      </c>
      <c r="P80" s="19">
        <v>39322</v>
      </c>
      <c r="Q80" s="3" t="s">
        <v>14</v>
      </c>
      <c r="R80" s="98" t="str">
        <f t="shared" si="9"/>
        <v>Full</v>
      </c>
      <c r="S80" s="98">
        <v>100</v>
      </c>
    </row>
    <row r="81" spans="1:19" x14ac:dyDescent="0.25">
      <c r="A81" s="18">
        <v>81</v>
      </c>
      <c r="B81" s="19">
        <v>34272</v>
      </c>
      <c r="C81" s="3" t="s">
        <v>14</v>
      </c>
      <c r="D81" s="98" t="s">
        <v>641</v>
      </c>
      <c r="E81" s="98">
        <v>100</v>
      </c>
      <c r="F81" s="109"/>
      <c r="G81" s="109"/>
      <c r="H81" s="98">
        <v>203</v>
      </c>
      <c r="I81" s="95">
        <v>44552</v>
      </c>
      <c r="J81" s="98" t="s">
        <v>44</v>
      </c>
      <c r="K81" s="98" t="str">
        <f t="shared" si="8"/>
        <v>Gibbous</v>
      </c>
      <c r="L81" s="98">
        <v>89.02</v>
      </c>
      <c r="O81" s="89">
        <v>124</v>
      </c>
      <c r="P81" s="80">
        <v>39355</v>
      </c>
      <c r="Q81" s="81" t="s">
        <v>19</v>
      </c>
      <c r="R81" s="98" t="str">
        <f t="shared" si="9"/>
        <v>Gibbous</v>
      </c>
      <c r="S81" s="98">
        <v>79.55</v>
      </c>
    </row>
    <row r="82" spans="1:19" x14ac:dyDescent="0.25">
      <c r="A82" s="18">
        <v>82</v>
      </c>
      <c r="B82" s="19">
        <v>34677</v>
      </c>
      <c r="C82" s="3" t="s">
        <v>23</v>
      </c>
      <c r="D82" s="98" t="s">
        <v>639</v>
      </c>
      <c r="E82" s="98">
        <v>48.09</v>
      </c>
      <c r="F82" s="109"/>
      <c r="G82" s="109"/>
      <c r="H82" s="109"/>
      <c r="I82" s="109"/>
      <c r="J82" s="109"/>
      <c r="K82" s="109"/>
      <c r="L82" s="109"/>
      <c r="O82" s="89">
        <v>125</v>
      </c>
      <c r="P82" s="80">
        <v>39362</v>
      </c>
      <c r="Q82" s="81" t="s">
        <v>19</v>
      </c>
      <c r="R82" s="98" t="str">
        <f t="shared" si="9"/>
        <v>Crescent</v>
      </c>
      <c r="S82" s="98">
        <v>11.42</v>
      </c>
    </row>
    <row r="83" spans="1:19" x14ac:dyDescent="0.25">
      <c r="A83" s="18">
        <v>83</v>
      </c>
      <c r="B83" s="19">
        <v>34874</v>
      </c>
      <c r="C83" s="3" t="s">
        <v>19</v>
      </c>
      <c r="D83" s="98" t="s">
        <v>637</v>
      </c>
      <c r="E83" s="98">
        <v>9.91</v>
      </c>
      <c r="F83" s="109"/>
      <c r="G83" s="109"/>
      <c r="H83" s="109"/>
      <c r="I83" s="109"/>
      <c r="J83" s="109"/>
      <c r="K83" s="109"/>
      <c r="L83" s="109"/>
      <c r="O83" s="18">
        <v>131</v>
      </c>
      <c r="P83" s="19">
        <v>40050</v>
      </c>
      <c r="Q83" s="5" t="s">
        <v>19</v>
      </c>
      <c r="R83" s="98" t="str">
        <f t="shared" si="9"/>
        <v>Crescent</v>
      </c>
      <c r="S83" s="98">
        <v>31.97</v>
      </c>
    </row>
    <row r="84" spans="1:19" x14ac:dyDescent="0.25">
      <c r="A84" s="18">
        <v>84</v>
      </c>
      <c r="B84" s="19">
        <v>34880</v>
      </c>
      <c r="C84" s="3" t="s">
        <v>14</v>
      </c>
      <c r="D84" s="98" t="s">
        <v>639</v>
      </c>
      <c r="E84" s="98">
        <v>6.37</v>
      </c>
      <c r="F84" s="109"/>
      <c r="G84" s="109"/>
      <c r="H84" s="109"/>
      <c r="I84" s="109"/>
      <c r="J84" s="109"/>
      <c r="K84" s="109"/>
      <c r="L84" s="109"/>
      <c r="O84" s="89">
        <v>133</v>
      </c>
      <c r="P84" s="86">
        <v>40110</v>
      </c>
      <c r="Q84" s="10" t="s">
        <v>19</v>
      </c>
      <c r="R84" s="98" t="str">
        <f t="shared" si="9"/>
        <v>Crescent</v>
      </c>
      <c r="S84" s="98">
        <v>37.299999999999997</v>
      </c>
    </row>
    <row r="85" spans="1:19" x14ac:dyDescent="0.25">
      <c r="A85" s="18">
        <v>85</v>
      </c>
      <c r="B85" s="19">
        <v>34945</v>
      </c>
      <c r="C85" s="3" t="s">
        <v>14</v>
      </c>
      <c r="D85" s="98" t="s">
        <v>642</v>
      </c>
      <c r="E85" s="98">
        <v>64.75</v>
      </c>
      <c r="F85" s="109"/>
      <c r="G85" s="109"/>
      <c r="H85" s="109"/>
      <c r="I85" s="109"/>
      <c r="J85" s="109"/>
      <c r="K85" s="109"/>
      <c r="L85" s="109"/>
      <c r="O85" s="89">
        <v>136</v>
      </c>
      <c r="P85" s="80">
        <v>40361</v>
      </c>
      <c r="Q85" s="84" t="s">
        <v>19</v>
      </c>
      <c r="R85" s="98" t="str">
        <f t="shared" si="9"/>
        <v>Gibbous</v>
      </c>
      <c r="S85" s="98">
        <v>68.2</v>
      </c>
    </row>
    <row r="86" spans="1:19" x14ac:dyDescent="0.25">
      <c r="A86" s="18">
        <v>86</v>
      </c>
      <c r="B86" s="19">
        <v>34970</v>
      </c>
      <c r="C86" s="3" t="s">
        <v>19</v>
      </c>
      <c r="D86" s="98" t="s">
        <v>639</v>
      </c>
      <c r="E86" s="98">
        <v>18.73</v>
      </c>
      <c r="F86" s="109"/>
      <c r="G86" s="109"/>
      <c r="H86" s="109"/>
      <c r="I86" s="109"/>
      <c r="J86" s="109"/>
      <c r="K86" t="s">
        <v>644</v>
      </c>
      <c r="L86">
        <f>COUNTIF(K3:K81,"Full")</f>
        <v>18</v>
      </c>
      <c r="O86" s="18">
        <v>143</v>
      </c>
      <c r="P86" s="19">
        <v>40845</v>
      </c>
      <c r="Q86" s="3" t="s">
        <v>14</v>
      </c>
      <c r="R86" s="98" t="str">
        <f t="shared" si="9"/>
        <v>Crescent</v>
      </c>
      <c r="S86" s="98">
        <v>11.41</v>
      </c>
    </row>
    <row r="87" spans="1:19" x14ac:dyDescent="0.25">
      <c r="A87" s="18">
        <v>87</v>
      </c>
      <c r="B87" s="19">
        <v>35290</v>
      </c>
      <c r="C87" s="3" t="s">
        <v>14</v>
      </c>
      <c r="D87" s="98" t="s">
        <v>643</v>
      </c>
      <c r="E87" s="98">
        <v>0</v>
      </c>
      <c r="F87" s="109"/>
      <c r="G87" s="109"/>
      <c r="H87" s="109"/>
      <c r="I87" s="109"/>
      <c r="J87" s="109"/>
      <c r="K87" t="s">
        <v>693</v>
      </c>
      <c r="L87">
        <f>COUNTIF(K3:K81,"Gibbous")</f>
        <v>28</v>
      </c>
      <c r="O87" s="89">
        <v>148</v>
      </c>
      <c r="P87" s="86">
        <v>41121</v>
      </c>
      <c r="Q87" s="7" t="s">
        <v>19</v>
      </c>
      <c r="R87" s="98" t="str">
        <f t="shared" si="9"/>
        <v>Full</v>
      </c>
      <c r="S87" s="98">
        <v>97.18</v>
      </c>
    </row>
    <row r="88" spans="1:19" x14ac:dyDescent="0.25">
      <c r="A88" s="18">
        <v>88</v>
      </c>
      <c r="B88" s="19">
        <v>35341</v>
      </c>
      <c r="C88" s="3" t="s">
        <v>44</v>
      </c>
      <c r="D88" s="98" t="s">
        <v>640</v>
      </c>
      <c r="E88" s="98">
        <v>58.1</v>
      </c>
      <c r="F88" s="109"/>
      <c r="G88" s="109"/>
      <c r="H88" s="109"/>
      <c r="I88" s="109"/>
      <c r="J88" s="109"/>
      <c r="K88" t="s">
        <v>648</v>
      </c>
      <c r="L88">
        <f>COUNTIF(K3:K81,"Half")</f>
        <v>5</v>
      </c>
      <c r="O88" s="18">
        <v>151</v>
      </c>
      <c r="P88" s="19">
        <v>41212</v>
      </c>
      <c r="Q88" s="3" t="s">
        <v>14</v>
      </c>
      <c r="R88" s="98" t="str">
        <f t="shared" si="9"/>
        <v>Full</v>
      </c>
      <c r="S88" s="98">
        <v>99.36</v>
      </c>
    </row>
    <row r="89" spans="1:19" x14ac:dyDescent="0.25">
      <c r="A89" s="18">
        <v>89</v>
      </c>
      <c r="B89" s="19">
        <v>35343</v>
      </c>
      <c r="C89" s="3" t="s">
        <v>14</v>
      </c>
      <c r="D89" s="98" t="s">
        <v>637</v>
      </c>
      <c r="E89" s="98">
        <v>38.93</v>
      </c>
      <c r="F89" s="109"/>
      <c r="G89" s="109"/>
      <c r="H89" s="109"/>
      <c r="I89" s="109"/>
      <c r="J89" s="109"/>
      <c r="K89" t="s">
        <v>694</v>
      </c>
      <c r="L89">
        <f>COUNTIF(K3:K81,"Crescent")</f>
        <v>14</v>
      </c>
      <c r="O89" s="89">
        <v>154</v>
      </c>
      <c r="P89" s="83">
        <v>41517</v>
      </c>
      <c r="Q89" s="87" t="s">
        <v>19</v>
      </c>
      <c r="R89" s="98" t="str">
        <f t="shared" si="9"/>
        <v>Crescent</v>
      </c>
      <c r="S89" s="98">
        <v>20.89</v>
      </c>
    </row>
    <row r="90" spans="1:19" x14ac:dyDescent="0.25">
      <c r="A90" s="18">
        <v>90</v>
      </c>
      <c r="B90" s="19">
        <v>35398</v>
      </c>
      <c r="C90" s="3" t="s">
        <v>19</v>
      </c>
      <c r="D90" s="98" t="s">
        <v>640</v>
      </c>
      <c r="E90" s="98">
        <v>80.66</v>
      </c>
      <c r="F90" s="109"/>
      <c r="G90" s="109"/>
      <c r="H90" s="109"/>
      <c r="I90" s="109"/>
      <c r="J90" s="109"/>
      <c r="K90" t="s">
        <v>645</v>
      </c>
      <c r="L90">
        <f>COUNTIF(K3:K81,"New")</f>
        <v>14</v>
      </c>
      <c r="O90" s="18">
        <v>155</v>
      </c>
      <c r="P90" s="29">
        <v>41553</v>
      </c>
      <c r="Q90" s="18" t="s">
        <v>14</v>
      </c>
      <c r="R90" s="98" t="str">
        <f t="shared" si="9"/>
        <v>New</v>
      </c>
      <c r="S90" s="98">
        <v>3.22</v>
      </c>
    </row>
    <row r="91" spans="1:19" x14ac:dyDescent="0.25">
      <c r="A91" s="18">
        <v>91</v>
      </c>
      <c r="B91" s="19">
        <v>35666</v>
      </c>
      <c r="C91" s="3" t="s">
        <v>14</v>
      </c>
      <c r="D91" s="98" t="s">
        <v>640</v>
      </c>
      <c r="E91" s="98">
        <v>54.5</v>
      </c>
      <c r="F91" s="109"/>
      <c r="G91" s="109"/>
      <c r="H91" s="109"/>
      <c r="I91" s="109"/>
      <c r="J91" s="109"/>
      <c r="O91" s="18">
        <v>158</v>
      </c>
      <c r="P91" s="29">
        <v>41914</v>
      </c>
      <c r="Q91" s="18" t="s">
        <v>19</v>
      </c>
      <c r="R91" s="98" t="str">
        <f t="shared" si="9"/>
        <v>Gibbous</v>
      </c>
      <c r="S91" s="98">
        <v>59.66</v>
      </c>
    </row>
    <row r="92" spans="1:19" x14ac:dyDescent="0.25">
      <c r="A92" s="18">
        <v>92</v>
      </c>
      <c r="B92" s="19">
        <v>36033</v>
      </c>
      <c r="C92" s="3" t="s">
        <v>14</v>
      </c>
      <c r="D92" s="98" t="s">
        <v>639</v>
      </c>
      <c r="E92" s="98">
        <v>18.93</v>
      </c>
      <c r="F92" s="109"/>
      <c r="G92" s="109"/>
      <c r="H92" s="109"/>
      <c r="I92" s="109"/>
      <c r="J92" s="109"/>
      <c r="K92"/>
      <c r="L92"/>
      <c r="O92" s="18">
        <v>162</v>
      </c>
      <c r="P92" s="29">
        <v>42001</v>
      </c>
      <c r="Q92" s="18" t="s">
        <v>14</v>
      </c>
      <c r="R92" s="98" t="str">
        <f t="shared" si="9"/>
        <v>Half</v>
      </c>
      <c r="S92" s="98">
        <v>49.17</v>
      </c>
    </row>
    <row r="93" spans="1:19" x14ac:dyDescent="0.25">
      <c r="A93" s="18">
        <v>93</v>
      </c>
      <c r="B93" s="19">
        <v>36479</v>
      </c>
      <c r="C93" s="3" t="s">
        <v>44</v>
      </c>
      <c r="D93" s="98" t="s">
        <v>639</v>
      </c>
      <c r="E93" s="98">
        <v>43.71</v>
      </c>
      <c r="F93" s="109"/>
      <c r="G93" s="109"/>
      <c r="H93" s="109"/>
      <c r="I93" s="109"/>
      <c r="J93" s="109"/>
      <c r="K93" s="109"/>
      <c r="L93" s="109"/>
      <c r="O93" s="89">
        <v>166</v>
      </c>
      <c r="P93" s="83">
        <v>42252</v>
      </c>
      <c r="Q93" s="87" t="s">
        <v>19</v>
      </c>
      <c r="R93" s="98" t="str">
        <f t="shared" si="9"/>
        <v>Half</v>
      </c>
      <c r="S93" s="98">
        <v>47.26</v>
      </c>
    </row>
    <row r="94" spans="1:19" x14ac:dyDescent="0.25">
      <c r="A94" s="18">
        <v>94</v>
      </c>
      <c r="B94" s="19">
        <v>36798</v>
      </c>
      <c r="C94" s="3" t="s">
        <v>44</v>
      </c>
      <c r="D94" s="98" t="s">
        <v>643</v>
      </c>
      <c r="E94" s="98">
        <v>4.25</v>
      </c>
      <c r="F94" s="109"/>
      <c r="G94" s="109"/>
      <c r="H94" s="109"/>
      <c r="I94" s="109"/>
      <c r="J94" s="109"/>
      <c r="K94" s="109"/>
      <c r="L94" s="109"/>
      <c r="O94" s="89">
        <v>168</v>
      </c>
      <c r="P94" s="143">
        <v>42267</v>
      </c>
      <c r="Q94" s="89" t="s">
        <v>19</v>
      </c>
      <c r="R94" s="98" t="str">
        <f t="shared" si="9"/>
        <v>Crescent</v>
      </c>
      <c r="S94" s="98">
        <v>42.84</v>
      </c>
    </row>
    <row r="95" spans="1:19" x14ac:dyDescent="0.25">
      <c r="A95" s="18">
        <v>95</v>
      </c>
      <c r="B95" s="19">
        <v>36834</v>
      </c>
      <c r="C95" s="3" t="s">
        <v>14</v>
      </c>
      <c r="D95" s="98" t="s">
        <v>642</v>
      </c>
      <c r="E95" s="98">
        <v>53.64</v>
      </c>
      <c r="F95" s="109"/>
      <c r="G95" s="109"/>
      <c r="H95" s="109"/>
      <c r="I95" s="109"/>
      <c r="J95" s="109"/>
      <c r="K95" s="109"/>
      <c r="L95" s="109"/>
      <c r="O95" s="18">
        <v>169</v>
      </c>
      <c r="P95" s="29">
        <v>42271</v>
      </c>
      <c r="Q95" s="18" t="s">
        <v>19</v>
      </c>
      <c r="R95" s="98" t="str">
        <f t="shared" si="9"/>
        <v>Gibbous</v>
      </c>
      <c r="S95" s="98">
        <v>83.26</v>
      </c>
    </row>
    <row r="96" spans="1:19" x14ac:dyDescent="0.25">
      <c r="A96" s="18">
        <v>97</v>
      </c>
      <c r="B96" s="19">
        <v>37407</v>
      </c>
      <c r="C96" s="5" t="s">
        <v>14</v>
      </c>
      <c r="D96" s="98" t="s">
        <v>640</v>
      </c>
      <c r="E96" s="98">
        <v>71.84</v>
      </c>
      <c r="F96" s="109"/>
      <c r="G96" s="109"/>
      <c r="H96" s="109"/>
      <c r="I96" s="109"/>
      <c r="J96" s="109"/>
      <c r="K96" s="109"/>
      <c r="L96" s="109"/>
      <c r="O96" s="18">
        <v>170</v>
      </c>
      <c r="P96" s="29">
        <v>42519</v>
      </c>
      <c r="Q96" s="18" t="s">
        <v>14</v>
      </c>
      <c r="R96" s="98" t="str">
        <f t="shared" si="9"/>
        <v>Half</v>
      </c>
      <c r="S96" s="98">
        <v>48.28</v>
      </c>
    </row>
    <row r="97" spans="1:19" x14ac:dyDescent="0.25">
      <c r="A97" s="18">
        <v>98</v>
      </c>
      <c r="B97" s="19">
        <v>37520</v>
      </c>
      <c r="C97" s="5" t="s">
        <v>44</v>
      </c>
      <c r="D97" s="98" t="s">
        <v>641</v>
      </c>
      <c r="E97" s="98">
        <v>100</v>
      </c>
      <c r="F97" s="109"/>
      <c r="G97" s="109"/>
      <c r="H97" s="109"/>
      <c r="I97" s="109"/>
      <c r="J97" s="109"/>
      <c r="K97" s="109"/>
      <c r="L97" s="109"/>
      <c r="O97" s="18">
        <v>171</v>
      </c>
      <c r="P97" s="29">
        <v>42614</v>
      </c>
      <c r="Q97" s="18" t="s">
        <v>19</v>
      </c>
      <c r="R97" s="98" t="str">
        <f t="shared" si="9"/>
        <v>New</v>
      </c>
      <c r="S97" s="98">
        <v>0</v>
      </c>
    </row>
    <row r="98" spans="1:19" x14ac:dyDescent="0.25">
      <c r="A98" s="18">
        <v>99</v>
      </c>
      <c r="B98" s="19">
        <v>37588</v>
      </c>
      <c r="C98" s="3" t="s">
        <v>14</v>
      </c>
      <c r="D98" s="98" t="s">
        <v>637</v>
      </c>
      <c r="E98" s="98">
        <v>38.06</v>
      </c>
      <c r="F98" s="109"/>
      <c r="G98" s="109"/>
      <c r="H98" s="109"/>
      <c r="I98" s="109"/>
      <c r="J98" s="109"/>
      <c r="K98" s="109"/>
      <c r="L98" s="109"/>
      <c r="O98" s="18">
        <v>174</v>
      </c>
      <c r="P98" s="29">
        <v>42854</v>
      </c>
      <c r="Q98" s="18" t="s">
        <v>14</v>
      </c>
      <c r="R98" s="98" t="str">
        <f t="shared" si="9"/>
        <v>Crescent</v>
      </c>
      <c r="S98" s="98">
        <v>14.29</v>
      </c>
    </row>
    <row r="99" spans="1:19" x14ac:dyDescent="0.25">
      <c r="A99" s="18">
        <v>100</v>
      </c>
      <c r="B99" s="19">
        <v>37852</v>
      </c>
      <c r="C99" s="3" t="s">
        <v>23</v>
      </c>
      <c r="D99" s="98" t="s">
        <v>640</v>
      </c>
      <c r="E99" s="98">
        <v>53.29</v>
      </c>
      <c r="F99" s="109"/>
      <c r="G99" s="109"/>
      <c r="H99" s="109"/>
      <c r="I99" s="109"/>
      <c r="J99" s="109"/>
      <c r="K99" s="109"/>
      <c r="L99" s="109"/>
      <c r="O99" s="18">
        <v>179</v>
      </c>
      <c r="P99" s="29">
        <v>43063</v>
      </c>
      <c r="Q99" s="18" t="s">
        <v>14</v>
      </c>
      <c r="R99" s="98" t="str">
        <f t="shared" si="9"/>
        <v>Crescent</v>
      </c>
      <c r="S99" s="98">
        <v>31.12</v>
      </c>
    </row>
    <row r="100" spans="1:19" x14ac:dyDescent="0.25">
      <c r="A100" s="18">
        <v>101</v>
      </c>
      <c r="B100" s="19">
        <v>38135</v>
      </c>
      <c r="C100" s="3" t="s">
        <v>44</v>
      </c>
      <c r="D100" s="98" t="s">
        <v>642</v>
      </c>
      <c r="E100" s="98">
        <v>63.89</v>
      </c>
      <c r="F100" s="109"/>
      <c r="G100" s="109"/>
      <c r="H100" s="109"/>
      <c r="I100" s="109"/>
      <c r="J100" s="109"/>
      <c r="K100" s="109"/>
      <c r="L100" s="109"/>
      <c r="O100" s="18">
        <v>180</v>
      </c>
      <c r="P100" s="29">
        <v>43099</v>
      </c>
      <c r="Q100" s="18" t="s">
        <v>19</v>
      </c>
      <c r="R100" s="98" t="str">
        <f t="shared" si="9"/>
        <v>Full</v>
      </c>
      <c r="S100" s="98">
        <v>91.46</v>
      </c>
    </row>
    <row r="101" spans="1:19" x14ac:dyDescent="0.25">
      <c r="A101" s="18">
        <v>102</v>
      </c>
      <c r="B101" s="19">
        <v>38164</v>
      </c>
      <c r="C101" s="3" t="s">
        <v>44</v>
      </c>
      <c r="D101" s="98" t="s">
        <v>642</v>
      </c>
      <c r="E101" s="98">
        <v>59.32</v>
      </c>
      <c r="F101" s="109"/>
      <c r="G101" s="109"/>
      <c r="H101" s="109"/>
      <c r="I101" s="109"/>
      <c r="J101" s="109"/>
      <c r="K101" s="109"/>
      <c r="L101" s="109"/>
      <c r="O101" s="99">
        <v>183</v>
      </c>
      <c r="P101" s="100">
        <v>43372</v>
      </c>
      <c r="Q101" s="99" t="s">
        <v>14</v>
      </c>
      <c r="R101" s="98" t="str">
        <f t="shared" si="9"/>
        <v>Gibbous</v>
      </c>
      <c r="S101" s="98">
        <v>78.75</v>
      </c>
    </row>
    <row r="102" spans="1:19" x14ac:dyDescent="0.25">
      <c r="A102" s="18">
        <v>103</v>
      </c>
      <c r="B102" s="19">
        <v>38214</v>
      </c>
      <c r="C102" s="3" t="s">
        <v>23</v>
      </c>
      <c r="D102" s="98" t="s">
        <v>643</v>
      </c>
      <c r="E102" s="98">
        <v>0</v>
      </c>
      <c r="F102" s="109"/>
      <c r="G102" s="109"/>
      <c r="H102" s="109"/>
      <c r="I102" s="109"/>
      <c r="J102" s="109"/>
      <c r="K102" s="109"/>
      <c r="L102" s="109"/>
      <c r="O102" s="99">
        <v>184</v>
      </c>
      <c r="P102" s="100">
        <v>43396</v>
      </c>
      <c r="Q102" s="99" t="s">
        <v>14</v>
      </c>
      <c r="R102" s="98" t="str">
        <f t="shared" si="9"/>
        <v>Full</v>
      </c>
      <c r="S102" s="98">
        <v>98.78</v>
      </c>
    </row>
    <row r="103" spans="1:19" x14ac:dyDescent="0.25">
      <c r="A103" s="18">
        <v>104</v>
      </c>
      <c r="B103" s="19">
        <v>38219</v>
      </c>
      <c r="C103" s="3" t="s">
        <v>19</v>
      </c>
      <c r="D103" s="98" t="s">
        <v>639</v>
      </c>
      <c r="E103" s="98">
        <v>21.38</v>
      </c>
      <c r="F103" s="109"/>
      <c r="G103" s="109"/>
      <c r="H103" s="109"/>
      <c r="I103" s="109"/>
      <c r="J103" s="109"/>
      <c r="K103" s="109"/>
      <c r="L103" s="109"/>
      <c r="O103" s="99">
        <v>185</v>
      </c>
      <c r="P103" s="100">
        <v>43473</v>
      </c>
      <c r="Q103" s="99" t="s">
        <v>14</v>
      </c>
      <c r="R103" s="98" t="str">
        <f t="shared" si="9"/>
        <v>New</v>
      </c>
      <c r="S103" s="98">
        <v>6.23</v>
      </c>
    </row>
    <row r="104" spans="1:19" x14ac:dyDescent="0.25">
      <c r="A104" s="18">
        <v>105</v>
      </c>
      <c r="B104" s="19">
        <v>38261</v>
      </c>
      <c r="C104" s="3" t="s">
        <v>44</v>
      </c>
      <c r="D104" s="98" t="s">
        <v>640</v>
      </c>
      <c r="E104" s="98">
        <v>89.69</v>
      </c>
      <c r="F104" s="109"/>
      <c r="G104" s="109"/>
      <c r="H104" s="109"/>
      <c r="I104" s="109"/>
      <c r="J104" s="109"/>
      <c r="K104" s="109"/>
      <c r="L104" s="109"/>
      <c r="O104" s="98">
        <v>189</v>
      </c>
      <c r="P104" s="95">
        <v>43820</v>
      </c>
      <c r="Q104" s="98" t="s">
        <v>14</v>
      </c>
      <c r="R104" s="98" t="str">
        <f t="shared" si="9"/>
        <v>Crescent</v>
      </c>
      <c r="S104" s="98">
        <v>23.01</v>
      </c>
    </row>
    <row r="105" spans="1:19" x14ac:dyDescent="0.25">
      <c r="A105" s="18">
        <v>106</v>
      </c>
      <c r="B105" s="19">
        <v>38262</v>
      </c>
      <c r="C105" s="3" t="s">
        <v>44</v>
      </c>
      <c r="D105" s="98" t="s">
        <v>640</v>
      </c>
      <c r="E105" s="98">
        <v>82.89</v>
      </c>
      <c r="F105" s="109"/>
      <c r="G105" s="109"/>
      <c r="H105" s="109"/>
      <c r="I105" s="109"/>
      <c r="J105" s="109"/>
      <c r="K105" s="109"/>
      <c r="L105" s="109"/>
      <c r="O105" s="98">
        <v>191</v>
      </c>
      <c r="P105" s="95">
        <v>43952</v>
      </c>
      <c r="Q105" s="98" t="s">
        <v>19</v>
      </c>
      <c r="R105" s="98" t="str">
        <f t="shared" si="9"/>
        <v>Gibbous</v>
      </c>
      <c r="S105" s="98">
        <v>59.09</v>
      </c>
    </row>
    <row r="106" spans="1:19" x14ac:dyDescent="0.25">
      <c r="A106" s="18">
        <v>107</v>
      </c>
      <c r="B106" s="19">
        <v>38270</v>
      </c>
      <c r="C106" s="3" t="s">
        <v>19</v>
      </c>
      <c r="D106" s="98" t="s">
        <v>637</v>
      </c>
      <c r="E106" s="98">
        <v>13.21</v>
      </c>
      <c r="F106" s="109"/>
      <c r="G106" s="109"/>
      <c r="H106" s="109"/>
      <c r="I106" s="109"/>
      <c r="J106" s="109"/>
      <c r="K106" s="109"/>
      <c r="L106" s="109"/>
      <c r="O106" s="98">
        <v>195</v>
      </c>
      <c r="P106" s="95">
        <v>44055</v>
      </c>
      <c r="Q106" s="98" t="s">
        <v>19</v>
      </c>
      <c r="R106" s="98" t="str">
        <f t="shared" si="9"/>
        <v>Crescent</v>
      </c>
      <c r="S106" s="98">
        <v>40.71</v>
      </c>
    </row>
    <row r="107" spans="1:19" x14ac:dyDescent="0.25">
      <c r="A107" s="18">
        <v>108</v>
      </c>
      <c r="B107" s="19">
        <v>38302</v>
      </c>
      <c r="C107" s="3" t="s">
        <v>14</v>
      </c>
      <c r="D107" s="98" t="s">
        <v>643</v>
      </c>
      <c r="E107" s="98">
        <v>1.1000000000000001</v>
      </c>
      <c r="F107" s="109"/>
      <c r="G107" s="109"/>
      <c r="H107" s="109"/>
      <c r="I107" s="109"/>
      <c r="J107" s="109"/>
      <c r="K107" s="109"/>
      <c r="L107" s="109"/>
      <c r="O107" s="98">
        <v>198</v>
      </c>
      <c r="P107" s="95">
        <v>44373</v>
      </c>
      <c r="Q107" s="98" t="s">
        <v>14</v>
      </c>
      <c r="R107" s="98" t="str">
        <f t="shared" si="9"/>
        <v>Full</v>
      </c>
      <c r="S107" s="98">
        <v>94.92</v>
      </c>
    </row>
    <row r="108" spans="1:19" x14ac:dyDescent="0.25">
      <c r="A108" s="18">
        <v>109</v>
      </c>
      <c r="B108" s="19">
        <v>38588</v>
      </c>
      <c r="C108" s="3" t="s">
        <v>19</v>
      </c>
      <c r="D108" s="98" t="s">
        <v>640</v>
      </c>
      <c r="E108" s="98">
        <v>70.03</v>
      </c>
      <c r="F108" s="109"/>
      <c r="G108" s="109"/>
      <c r="H108" s="109"/>
      <c r="I108" s="109"/>
      <c r="J108" s="109"/>
      <c r="K108" s="109"/>
      <c r="L108" s="109"/>
      <c r="O108" s="98">
        <v>199</v>
      </c>
      <c r="P108" s="95">
        <v>44377</v>
      </c>
      <c r="Q108" s="98" t="s">
        <v>19</v>
      </c>
      <c r="R108" s="98" t="str">
        <f t="shared" si="9"/>
        <v>Gibbous</v>
      </c>
      <c r="S108" s="98">
        <v>62.12</v>
      </c>
    </row>
    <row r="109" spans="1:19" x14ac:dyDescent="0.25">
      <c r="A109" s="18">
        <v>110</v>
      </c>
      <c r="B109" s="19">
        <v>38644</v>
      </c>
      <c r="C109" s="3" t="s">
        <v>14</v>
      </c>
      <c r="D109" s="98" t="s">
        <v>640</v>
      </c>
      <c r="E109" s="98">
        <v>94.21</v>
      </c>
      <c r="F109" s="109"/>
      <c r="G109" s="109"/>
      <c r="H109" s="109"/>
      <c r="I109" s="109"/>
      <c r="J109" s="109"/>
      <c r="K109" s="109"/>
      <c r="L109" s="109"/>
      <c r="O109" s="98">
        <v>202</v>
      </c>
      <c r="P109" s="95">
        <v>44472</v>
      </c>
      <c r="Q109" s="98" t="s">
        <v>14</v>
      </c>
      <c r="R109" s="98" t="str">
        <f t="shared" si="9"/>
        <v>New</v>
      </c>
      <c r="S109" s="98">
        <v>9.89</v>
      </c>
    </row>
    <row r="110" spans="1:19" x14ac:dyDescent="0.25">
      <c r="A110" s="18">
        <v>111</v>
      </c>
      <c r="B110" s="19">
        <v>38646</v>
      </c>
      <c r="C110" s="3" t="s">
        <v>19</v>
      </c>
      <c r="D110" s="98" t="s">
        <v>640</v>
      </c>
      <c r="E110" s="98">
        <v>80.8</v>
      </c>
      <c r="F110" s="109"/>
      <c r="G110" s="109"/>
      <c r="H110" s="109"/>
      <c r="I110" s="109"/>
      <c r="J110" s="109"/>
      <c r="K110" s="109"/>
      <c r="L110" s="109"/>
      <c r="O110" s="98">
        <v>205</v>
      </c>
      <c r="P110" s="95">
        <v>44618</v>
      </c>
      <c r="Q110" s="98" t="s">
        <v>14</v>
      </c>
      <c r="R110" s="98" t="str">
        <f t="shared" si="9"/>
        <v>Crescent</v>
      </c>
      <c r="S110" s="98">
        <v>20.13</v>
      </c>
    </row>
    <row r="111" spans="1:19" x14ac:dyDescent="0.25">
      <c r="A111" s="18">
        <v>112</v>
      </c>
      <c r="B111" s="19">
        <v>38658</v>
      </c>
      <c r="C111" s="3" t="s">
        <v>44</v>
      </c>
      <c r="D111" s="98" t="s">
        <v>643</v>
      </c>
      <c r="E111" s="98">
        <v>0</v>
      </c>
      <c r="F111" s="109"/>
      <c r="G111" s="109"/>
      <c r="H111" s="109"/>
      <c r="I111" s="109"/>
      <c r="J111" s="109"/>
      <c r="K111" s="109"/>
      <c r="L111" s="109"/>
      <c r="O111" s="24"/>
      <c r="P111" s="11"/>
      <c r="Q111" s="24"/>
      <c r="R111" s="11"/>
      <c r="S111" s="11"/>
    </row>
    <row r="112" spans="1:19" x14ac:dyDescent="0.25">
      <c r="A112" s="18">
        <v>113</v>
      </c>
      <c r="B112" s="19">
        <v>38658</v>
      </c>
      <c r="C112" s="3" t="s">
        <v>44</v>
      </c>
      <c r="D112" s="98" t="s">
        <v>643</v>
      </c>
      <c r="E112" s="98">
        <v>0</v>
      </c>
      <c r="F112" s="109"/>
      <c r="G112" s="109"/>
      <c r="H112" s="109"/>
      <c r="I112" s="109"/>
      <c r="J112" s="109"/>
      <c r="K112" s="109"/>
      <c r="L112" s="109"/>
      <c r="P112" s="11"/>
      <c r="Q112" s="24"/>
      <c r="R112" s="11" t="s">
        <v>644</v>
      </c>
      <c r="S112" s="173">
        <f>(COUNTIF(S3:S109,"&gt;95")/(COUNT(S3:S109)))</f>
        <v>0.14018691588785046</v>
      </c>
    </row>
    <row r="113" spans="1:20" x14ac:dyDescent="0.25">
      <c r="A113" s="18">
        <v>114</v>
      </c>
      <c r="B113" s="19">
        <v>38735</v>
      </c>
      <c r="C113" s="3" t="s">
        <v>44</v>
      </c>
      <c r="D113" s="98" t="s">
        <v>640</v>
      </c>
      <c r="E113" s="98">
        <v>84.16</v>
      </c>
      <c r="F113" s="109"/>
      <c r="G113" s="109"/>
      <c r="H113" s="109"/>
      <c r="I113" s="109"/>
      <c r="J113" s="109"/>
      <c r="K113" s="109"/>
      <c r="L113" s="109"/>
      <c r="O113" s="24"/>
      <c r="Q113" s="24"/>
      <c r="R113" s="11" t="s">
        <v>645</v>
      </c>
      <c r="S113" s="173">
        <f>(COUNTIF(S3:S109,"&lt;5")/(COUNT(S3:S109)))</f>
        <v>0.12149532710280374</v>
      </c>
    </row>
    <row r="114" spans="1:20" x14ac:dyDescent="0.25">
      <c r="A114" s="18">
        <v>115</v>
      </c>
      <c r="B114" s="19">
        <v>38885</v>
      </c>
      <c r="C114" s="3" t="s">
        <v>44</v>
      </c>
      <c r="D114" s="98" t="s">
        <v>640</v>
      </c>
      <c r="E114" s="98">
        <v>51.49</v>
      </c>
      <c r="F114" s="109"/>
      <c r="G114" s="109"/>
      <c r="H114" s="109"/>
      <c r="I114" s="109"/>
      <c r="J114" s="109"/>
      <c r="K114" s="109"/>
      <c r="L114" s="109"/>
      <c r="O114" s="109"/>
      <c r="P114" s="110"/>
      <c r="Q114" s="24"/>
      <c r="R114" s="11" t="s">
        <v>648</v>
      </c>
      <c r="S114" s="173">
        <f>(COUNTIFS(S3:S109,"&gt;45",S3:S109,"&lt;55")/(COUNT(S3:S109)))</f>
        <v>5.6074766355140186E-2</v>
      </c>
    </row>
    <row r="115" spans="1:20" x14ac:dyDescent="0.25">
      <c r="A115" s="18">
        <v>116</v>
      </c>
      <c r="B115" s="19">
        <v>39061</v>
      </c>
      <c r="C115" s="3" t="s">
        <v>19</v>
      </c>
      <c r="D115" s="98" t="s">
        <v>640</v>
      </c>
      <c r="E115" s="98">
        <v>67.849999999999994</v>
      </c>
      <c r="F115" s="109"/>
      <c r="G115" s="109"/>
      <c r="H115" s="109"/>
      <c r="I115" s="109"/>
      <c r="J115" s="109"/>
      <c r="K115" s="109"/>
      <c r="L115" s="109"/>
      <c r="O115" s="24"/>
      <c r="P115" s="35"/>
      <c r="Q115" s="109"/>
      <c r="R115" s="11" t="s">
        <v>649</v>
      </c>
      <c r="S115" s="173">
        <f>(123-T130)/123</f>
        <v>0.72357723577235777</v>
      </c>
    </row>
    <row r="116" spans="1:20" x14ac:dyDescent="0.25">
      <c r="A116" s="89">
        <v>117</v>
      </c>
      <c r="B116" s="80">
        <v>39263</v>
      </c>
      <c r="C116" s="81" t="s">
        <v>19</v>
      </c>
      <c r="D116" s="98" t="s">
        <v>641</v>
      </c>
      <c r="E116" s="98">
        <v>100</v>
      </c>
      <c r="F116" s="109"/>
      <c r="G116" s="109"/>
      <c r="H116" s="109"/>
      <c r="I116" s="109"/>
      <c r="J116" s="109"/>
      <c r="K116" s="109"/>
      <c r="L116" s="109"/>
      <c r="S116" s="122">
        <f>SUM(S112:S115)</f>
        <v>1.0413342451181522</v>
      </c>
    </row>
    <row r="117" spans="1:20" x14ac:dyDescent="0.25">
      <c r="A117" s="89">
        <v>118</v>
      </c>
      <c r="B117" s="80">
        <v>39280</v>
      </c>
      <c r="C117" s="81" t="s">
        <v>19</v>
      </c>
      <c r="D117" s="98" t="s">
        <v>639</v>
      </c>
      <c r="E117" s="98">
        <v>10.99</v>
      </c>
      <c r="F117" s="109"/>
      <c r="G117" s="109"/>
      <c r="H117" s="109"/>
      <c r="I117" s="109"/>
      <c r="J117" s="109"/>
      <c r="K117" s="109"/>
      <c r="L117" s="109"/>
    </row>
    <row r="118" spans="1:20" x14ac:dyDescent="0.25">
      <c r="A118" s="18">
        <v>119</v>
      </c>
      <c r="B118" s="19">
        <v>39284</v>
      </c>
      <c r="C118" s="3" t="s">
        <v>44</v>
      </c>
      <c r="D118" s="98" t="s">
        <v>639</v>
      </c>
      <c r="E118" s="98">
        <v>44.4</v>
      </c>
      <c r="F118" s="109"/>
      <c r="G118" s="109"/>
      <c r="H118" s="109"/>
      <c r="I118" s="109"/>
      <c r="J118" s="109"/>
      <c r="K118" s="109"/>
      <c r="L118" s="109"/>
      <c r="R118" s="11" t="s">
        <v>652</v>
      </c>
      <c r="S118" s="103">
        <f>(COUNTIF(S3:S109,"&gt;75")/(COUNT(S3:S109)))</f>
        <v>0.27102803738317754</v>
      </c>
    </row>
    <row r="119" spans="1:20" x14ac:dyDescent="0.25">
      <c r="A119" s="18">
        <v>120</v>
      </c>
      <c r="B119" s="25">
        <v>39285</v>
      </c>
      <c r="C119" s="26" t="s">
        <v>44</v>
      </c>
      <c r="D119" s="98" t="s">
        <v>642</v>
      </c>
      <c r="E119" s="98">
        <v>53.8</v>
      </c>
      <c r="F119" s="109"/>
      <c r="G119" s="109"/>
      <c r="H119" s="109"/>
      <c r="I119" s="109"/>
      <c r="J119" s="109"/>
      <c r="K119" s="109"/>
      <c r="L119" s="109"/>
      <c r="R119" s="11" t="s">
        <v>653</v>
      </c>
      <c r="S119" s="103">
        <f>(COUNTIF(S3:S109,"&lt;75")/(COUNT(S3:S109)))</f>
        <v>0.7289719626168224</v>
      </c>
    </row>
    <row r="120" spans="1:20" x14ac:dyDescent="0.25">
      <c r="A120" s="89">
        <v>121</v>
      </c>
      <c r="B120" s="86">
        <v>39291</v>
      </c>
      <c r="C120" s="7" t="s">
        <v>44</v>
      </c>
      <c r="D120" s="98" t="s">
        <v>641</v>
      </c>
      <c r="E120" s="98">
        <v>97.7</v>
      </c>
      <c r="F120" s="109"/>
      <c r="G120" s="109"/>
      <c r="H120" s="109"/>
      <c r="I120" s="109"/>
      <c r="J120" s="109"/>
      <c r="K120" s="109"/>
      <c r="L120" s="109"/>
    </row>
    <row r="121" spans="1:20" x14ac:dyDescent="0.25">
      <c r="A121" s="18">
        <v>122</v>
      </c>
      <c r="B121" s="19">
        <v>39322</v>
      </c>
      <c r="C121" s="3" t="s">
        <v>14</v>
      </c>
      <c r="D121" s="98" t="s">
        <v>641</v>
      </c>
      <c r="E121" s="98">
        <v>100</v>
      </c>
      <c r="F121" s="109"/>
      <c r="G121" s="109"/>
      <c r="H121" s="109"/>
      <c r="I121" s="109"/>
      <c r="J121" s="109"/>
      <c r="K121" s="109"/>
      <c r="L121" s="109"/>
      <c r="R121" t="s">
        <v>644</v>
      </c>
      <c r="S121">
        <f>COUNTIF(R3:R109,"Full")</f>
        <v>21</v>
      </c>
    </row>
    <row r="122" spans="1:20" x14ac:dyDescent="0.25">
      <c r="A122" s="18">
        <v>123</v>
      </c>
      <c r="B122" s="19">
        <v>39352</v>
      </c>
      <c r="C122" s="3" t="s">
        <v>44</v>
      </c>
      <c r="D122" s="98" t="s">
        <v>641</v>
      </c>
      <c r="E122" s="98">
        <v>98.91</v>
      </c>
      <c r="F122" s="109"/>
      <c r="G122" s="109"/>
      <c r="H122" s="109"/>
      <c r="I122" s="109"/>
      <c r="J122" s="109"/>
      <c r="K122" s="109"/>
      <c r="L122" s="109"/>
      <c r="R122" t="s">
        <v>693</v>
      </c>
      <c r="S122">
        <f>COUNTIF(R3:R109,"Gibbous")</f>
        <v>22</v>
      </c>
    </row>
    <row r="123" spans="1:20" x14ac:dyDescent="0.25">
      <c r="A123" s="89">
        <v>124</v>
      </c>
      <c r="B123" s="80">
        <v>39355</v>
      </c>
      <c r="C123" s="81" t="s">
        <v>19</v>
      </c>
      <c r="D123" s="98" t="s">
        <v>640</v>
      </c>
      <c r="E123" s="98">
        <v>79.55</v>
      </c>
      <c r="F123" s="109"/>
      <c r="G123" s="109"/>
      <c r="H123" s="109"/>
      <c r="I123" s="109"/>
      <c r="J123" s="109"/>
      <c r="K123" s="109"/>
      <c r="L123" s="109"/>
      <c r="R123" t="s">
        <v>648</v>
      </c>
      <c r="S123">
        <f>COUNTIF(R3:R109,"Half")</f>
        <v>8</v>
      </c>
    </row>
    <row r="124" spans="1:20" x14ac:dyDescent="0.25">
      <c r="A124" s="89">
        <v>125</v>
      </c>
      <c r="B124" s="80">
        <v>39362</v>
      </c>
      <c r="C124" s="81" t="s">
        <v>19</v>
      </c>
      <c r="D124" s="98" t="s">
        <v>637</v>
      </c>
      <c r="E124" s="98">
        <v>11.42</v>
      </c>
      <c r="F124" s="109"/>
      <c r="G124" s="109"/>
      <c r="H124" s="109"/>
      <c r="I124" s="109"/>
      <c r="J124" s="109"/>
      <c r="K124" s="109"/>
      <c r="L124" s="109"/>
      <c r="R124" t="s">
        <v>694</v>
      </c>
      <c r="S124">
        <f>COUNTIF(R3:R109,"Crescent")</f>
        <v>32</v>
      </c>
    </row>
    <row r="125" spans="1:20" x14ac:dyDescent="0.25">
      <c r="A125" s="18">
        <v>126</v>
      </c>
      <c r="B125" s="19">
        <v>39514</v>
      </c>
      <c r="C125" s="3" t="s">
        <v>44</v>
      </c>
      <c r="D125" s="98" t="s">
        <v>643</v>
      </c>
      <c r="E125" s="98">
        <v>0</v>
      </c>
      <c r="F125" s="109"/>
      <c r="G125" s="109"/>
      <c r="H125" s="109"/>
      <c r="I125" s="109"/>
      <c r="J125" s="109"/>
      <c r="K125" s="109"/>
      <c r="L125" s="109"/>
      <c r="R125" t="s">
        <v>645</v>
      </c>
      <c r="S125">
        <f>COUNTIF(R3:R109,"New")</f>
        <v>24</v>
      </c>
    </row>
    <row r="126" spans="1:20" x14ac:dyDescent="0.25">
      <c r="A126" s="18">
        <v>127</v>
      </c>
      <c r="B126" s="19">
        <v>39563</v>
      </c>
      <c r="C126" s="5" t="s">
        <v>23</v>
      </c>
      <c r="D126" s="98" t="s">
        <v>640</v>
      </c>
      <c r="E126" s="98">
        <v>77.03</v>
      </c>
      <c r="F126" s="109"/>
      <c r="G126" s="109"/>
      <c r="H126" s="109"/>
      <c r="I126" s="109"/>
      <c r="J126" s="109"/>
      <c r="K126" s="109"/>
      <c r="L126" s="109"/>
    </row>
    <row r="127" spans="1:20" x14ac:dyDescent="0.25">
      <c r="A127" s="18">
        <v>128</v>
      </c>
      <c r="B127" s="19">
        <v>39620</v>
      </c>
      <c r="C127" s="5" t="s">
        <v>44</v>
      </c>
      <c r="D127" s="98" t="s">
        <v>640</v>
      </c>
      <c r="E127" s="98">
        <v>92.11</v>
      </c>
      <c r="F127" s="109"/>
      <c r="G127" s="109"/>
      <c r="H127" s="109"/>
      <c r="I127" s="109"/>
      <c r="J127" s="109"/>
      <c r="K127" s="109"/>
      <c r="L127" s="109"/>
      <c r="T127">
        <f>COUNTIF(S3:S109,"&gt;95")</f>
        <v>15</v>
      </c>
    </row>
    <row r="128" spans="1:20" x14ac:dyDescent="0.25">
      <c r="A128" s="18">
        <v>129</v>
      </c>
      <c r="B128" s="19">
        <v>39699</v>
      </c>
      <c r="C128" s="5" t="s">
        <v>44</v>
      </c>
      <c r="D128" s="98" t="s">
        <v>642</v>
      </c>
      <c r="E128" s="98">
        <v>60.17</v>
      </c>
      <c r="F128" s="109"/>
      <c r="G128" s="109"/>
      <c r="H128" s="109"/>
      <c r="I128" s="109"/>
      <c r="J128" s="109"/>
      <c r="K128" s="109"/>
      <c r="L128" s="109"/>
      <c r="T128">
        <f>COUNTIF(S3:S109,"&lt;5")</f>
        <v>13</v>
      </c>
    </row>
    <row r="129" spans="1:20" x14ac:dyDescent="0.25">
      <c r="A129" s="18">
        <v>130</v>
      </c>
      <c r="B129" s="19">
        <v>39909</v>
      </c>
      <c r="C129" s="5" t="s">
        <v>44</v>
      </c>
      <c r="D129" s="98" t="s">
        <v>642</v>
      </c>
      <c r="E129" s="98">
        <v>89.9</v>
      </c>
      <c r="F129" s="109"/>
      <c r="G129" s="109"/>
      <c r="H129" s="109"/>
      <c r="I129" s="109"/>
      <c r="J129" s="109"/>
      <c r="K129" s="109"/>
      <c r="L129" s="109"/>
      <c r="T129">
        <f>COUNTIFS(S3:S109,"&gt;45",S3:S109,"&lt;55")</f>
        <v>6</v>
      </c>
    </row>
    <row r="130" spans="1:20" x14ac:dyDescent="0.25">
      <c r="A130" s="18">
        <v>131</v>
      </c>
      <c r="B130" s="19">
        <v>40050</v>
      </c>
      <c r="C130" s="5" t="s">
        <v>19</v>
      </c>
      <c r="D130" s="98" t="s">
        <v>639</v>
      </c>
      <c r="E130" s="98">
        <v>31.97</v>
      </c>
      <c r="F130" s="109"/>
      <c r="G130" s="109"/>
      <c r="H130" s="109"/>
      <c r="I130" s="109"/>
      <c r="J130" s="109"/>
      <c r="K130" s="109"/>
      <c r="L130" s="109"/>
      <c r="T130">
        <f>SUM(T127:T129)</f>
        <v>34</v>
      </c>
    </row>
    <row r="131" spans="1:20" x14ac:dyDescent="0.25">
      <c r="A131" s="18">
        <v>132</v>
      </c>
      <c r="B131" s="19">
        <v>40055</v>
      </c>
      <c r="C131" s="5" t="s">
        <v>44</v>
      </c>
      <c r="D131" s="98" t="s">
        <v>642</v>
      </c>
      <c r="E131" s="98">
        <v>78.63</v>
      </c>
      <c r="F131" s="109"/>
      <c r="G131" s="109"/>
      <c r="H131" s="109"/>
      <c r="I131" s="109"/>
      <c r="J131" s="109"/>
      <c r="K131" s="109"/>
      <c r="L131" s="109"/>
    </row>
    <row r="132" spans="1:20" x14ac:dyDescent="0.25">
      <c r="A132" s="89">
        <v>133</v>
      </c>
      <c r="B132" s="86">
        <v>40110</v>
      </c>
      <c r="C132" s="10" t="s">
        <v>19</v>
      </c>
      <c r="D132" s="98" t="s">
        <v>639</v>
      </c>
      <c r="E132" s="98">
        <v>37.299999999999997</v>
      </c>
      <c r="F132" s="109"/>
      <c r="G132" s="109"/>
      <c r="H132" s="109"/>
      <c r="I132" s="109"/>
      <c r="J132" s="109"/>
      <c r="K132" s="109"/>
      <c r="L132" s="109"/>
    </row>
    <row r="133" spans="1:20" x14ac:dyDescent="0.25">
      <c r="A133" s="18">
        <v>134</v>
      </c>
      <c r="B133" s="19">
        <v>40122</v>
      </c>
      <c r="C133" s="5" t="s">
        <v>44</v>
      </c>
      <c r="D133" s="98" t="s">
        <v>640</v>
      </c>
      <c r="E133" s="98">
        <v>89.87</v>
      </c>
      <c r="F133" s="109"/>
      <c r="G133" s="109"/>
      <c r="H133" s="109"/>
      <c r="I133" s="109"/>
      <c r="J133" s="109"/>
      <c r="K133" s="109"/>
      <c r="L133" s="109"/>
    </row>
    <row r="134" spans="1:20" x14ac:dyDescent="0.25">
      <c r="A134" s="18">
        <v>135</v>
      </c>
      <c r="B134" s="19">
        <v>40361</v>
      </c>
      <c r="C134" s="5" t="s">
        <v>44</v>
      </c>
      <c r="D134" s="98" t="s">
        <v>640</v>
      </c>
      <c r="E134" s="98">
        <v>68.2</v>
      </c>
      <c r="F134" s="109"/>
      <c r="G134" s="109"/>
      <c r="H134" s="109"/>
      <c r="I134" s="109"/>
      <c r="J134" s="109"/>
      <c r="K134" s="109"/>
      <c r="L134" s="109"/>
    </row>
    <row r="135" spans="1:20" x14ac:dyDescent="0.25">
      <c r="A135" s="89">
        <v>136</v>
      </c>
      <c r="B135" s="80">
        <v>40361</v>
      </c>
      <c r="C135" s="84" t="s">
        <v>19</v>
      </c>
      <c r="D135" s="98" t="s">
        <v>640</v>
      </c>
      <c r="E135" s="98">
        <v>68.2</v>
      </c>
      <c r="F135" s="109"/>
      <c r="G135" s="109"/>
      <c r="H135" s="109"/>
      <c r="I135" s="109"/>
      <c r="J135" s="109"/>
      <c r="K135" s="109"/>
      <c r="L135" s="109"/>
    </row>
    <row r="136" spans="1:20" x14ac:dyDescent="0.25">
      <c r="A136" s="18">
        <v>137</v>
      </c>
      <c r="B136" s="19">
        <v>40392</v>
      </c>
      <c r="C136" s="5" t="s">
        <v>44</v>
      </c>
      <c r="D136" s="98" t="s">
        <v>640</v>
      </c>
      <c r="E136" s="98">
        <v>54.45</v>
      </c>
      <c r="F136" s="109"/>
      <c r="G136" s="109"/>
      <c r="H136" s="109"/>
      <c r="I136" s="109"/>
      <c r="J136" s="109"/>
      <c r="K136" s="109"/>
      <c r="L136" s="109"/>
    </row>
    <row r="137" spans="1:20" x14ac:dyDescent="0.25">
      <c r="A137" s="18">
        <v>138</v>
      </c>
      <c r="B137" s="19">
        <v>40404</v>
      </c>
      <c r="C137" s="5" t="s">
        <v>44</v>
      </c>
      <c r="D137" s="98" t="s">
        <v>639</v>
      </c>
      <c r="E137" s="98">
        <v>27.57</v>
      </c>
      <c r="F137" s="109"/>
      <c r="G137" s="109"/>
      <c r="H137" s="109"/>
      <c r="I137" s="109"/>
      <c r="J137" s="109"/>
      <c r="K137" s="109"/>
      <c r="L137" s="109"/>
    </row>
    <row r="138" spans="1:20" x14ac:dyDescent="0.25">
      <c r="A138" s="18">
        <v>139</v>
      </c>
      <c r="B138" s="19">
        <v>40473</v>
      </c>
      <c r="C138" s="3" t="s">
        <v>23</v>
      </c>
      <c r="D138" s="98" t="s">
        <v>641</v>
      </c>
      <c r="E138" s="98">
        <v>100</v>
      </c>
      <c r="F138" s="109"/>
      <c r="G138" s="109"/>
      <c r="H138" s="109"/>
      <c r="I138" s="109"/>
      <c r="J138" s="109"/>
      <c r="K138" s="109"/>
      <c r="L138" s="109"/>
    </row>
    <row r="139" spans="1:20" x14ac:dyDescent="0.25">
      <c r="A139" s="89">
        <v>140</v>
      </c>
      <c r="B139" s="80">
        <v>40700</v>
      </c>
      <c r="C139" s="81" t="s">
        <v>44</v>
      </c>
      <c r="D139" s="98" t="s">
        <v>639</v>
      </c>
      <c r="E139" s="98">
        <v>24.07</v>
      </c>
      <c r="F139" s="109"/>
      <c r="G139" s="109"/>
      <c r="H139" s="109"/>
      <c r="I139" s="109"/>
      <c r="J139" s="109"/>
      <c r="K139" s="109"/>
      <c r="L139" s="109"/>
    </row>
    <row r="140" spans="1:20" x14ac:dyDescent="0.25">
      <c r="A140" s="18">
        <v>141</v>
      </c>
      <c r="B140" s="19">
        <v>40718</v>
      </c>
      <c r="C140" s="3" t="s">
        <v>44</v>
      </c>
      <c r="D140" s="98" t="s">
        <v>637</v>
      </c>
      <c r="E140" s="98">
        <v>39.01</v>
      </c>
      <c r="F140" s="109"/>
      <c r="G140" s="109"/>
      <c r="H140" s="109"/>
      <c r="I140" s="109"/>
      <c r="J140" s="109"/>
      <c r="K140" s="109"/>
      <c r="L140" s="109"/>
    </row>
    <row r="141" spans="1:20" x14ac:dyDescent="0.25">
      <c r="A141" s="18">
        <v>142</v>
      </c>
      <c r="B141" s="19">
        <v>40797</v>
      </c>
      <c r="C141" s="3" t="s">
        <v>44</v>
      </c>
      <c r="D141" s="98" t="s">
        <v>641</v>
      </c>
      <c r="E141" s="98">
        <v>100</v>
      </c>
      <c r="F141" s="109"/>
      <c r="G141" s="109"/>
      <c r="H141" s="109"/>
      <c r="I141" s="109"/>
      <c r="J141" s="109"/>
      <c r="K141" s="109"/>
      <c r="L141" s="109"/>
    </row>
    <row r="142" spans="1:20" x14ac:dyDescent="0.25">
      <c r="A142" s="18">
        <v>143</v>
      </c>
      <c r="B142" s="19">
        <v>40845</v>
      </c>
      <c r="C142" s="3" t="s">
        <v>14</v>
      </c>
      <c r="D142" s="98" t="s">
        <v>639</v>
      </c>
      <c r="E142" s="98">
        <v>11.41</v>
      </c>
      <c r="F142" s="109"/>
      <c r="G142" s="109"/>
      <c r="H142" s="109"/>
      <c r="I142" s="109"/>
      <c r="J142" s="109"/>
      <c r="K142" s="109"/>
      <c r="L142" s="109"/>
    </row>
    <row r="143" spans="1:20" x14ac:dyDescent="0.25">
      <c r="A143" s="18">
        <v>144</v>
      </c>
      <c r="B143" s="19">
        <v>40869</v>
      </c>
      <c r="C143" s="3" t="s">
        <v>44</v>
      </c>
      <c r="D143" s="98" t="s">
        <v>637</v>
      </c>
      <c r="E143" s="98">
        <v>9.44</v>
      </c>
      <c r="F143" s="109"/>
      <c r="G143" s="109"/>
      <c r="H143" s="109"/>
      <c r="I143" s="109"/>
      <c r="J143" s="109"/>
      <c r="K143" s="109"/>
      <c r="L143" s="109"/>
    </row>
    <row r="144" spans="1:20" x14ac:dyDescent="0.25">
      <c r="A144" s="18">
        <v>145</v>
      </c>
      <c r="B144" s="19">
        <v>41035</v>
      </c>
      <c r="C144" s="3" t="s">
        <v>44</v>
      </c>
      <c r="D144" s="98" t="s">
        <v>641</v>
      </c>
      <c r="E144" s="98">
        <v>100</v>
      </c>
      <c r="F144" s="109"/>
      <c r="G144" s="109"/>
      <c r="H144" s="109"/>
      <c r="I144" s="109"/>
      <c r="J144" s="109"/>
      <c r="K144" s="109"/>
      <c r="L144" s="109"/>
    </row>
    <row r="145" spans="1:12" x14ac:dyDescent="0.25">
      <c r="A145" s="18">
        <v>146</v>
      </c>
      <c r="B145" s="19">
        <v>41041</v>
      </c>
      <c r="C145" s="3" t="s">
        <v>44</v>
      </c>
      <c r="D145" s="98" t="s">
        <v>640</v>
      </c>
      <c r="E145" s="98">
        <v>52.56</v>
      </c>
      <c r="F145" s="109"/>
      <c r="G145" s="109"/>
      <c r="H145" s="109"/>
      <c r="I145" s="109"/>
      <c r="J145" s="109"/>
      <c r="K145" s="109"/>
      <c r="L145" s="109"/>
    </row>
    <row r="146" spans="1:12" x14ac:dyDescent="0.25">
      <c r="A146" s="18">
        <v>147</v>
      </c>
      <c r="B146" s="19">
        <v>41097</v>
      </c>
      <c r="C146" s="3" t="s">
        <v>44</v>
      </c>
      <c r="D146" s="98" t="s">
        <v>640</v>
      </c>
      <c r="E146" s="98">
        <v>81.77</v>
      </c>
      <c r="F146" s="109"/>
      <c r="G146" s="109"/>
      <c r="H146" s="109"/>
      <c r="I146" s="109"/>
      <c r="J146" s="109"/>
      <c r="K146" s="109"/>
      <c r="L146" s="109"/>
    </row>
    <row r="147" spans="1:12" x14ac:dyDescent="0.25">
      <c r="A147" s="89">
        <v>148</v>
      </c>
      <c r="B147" s="86">
        <v>41121</v>
      </c>
      <c r="C147" s="7" t="s">
        <v>19</v>
      </c>
      <c r="D147" s="98" t="s">
        <v>641</v>
      </c>
      <c r="E147" s="98">
        <v>97.18</v>
      </c>
      <c r="F147" s="109"/>
      <c r="G147" s="109"/>
      <c r="H147" s="109"/>
      <c r="I147" s="109"/>
      <c r="J147" s="109"/>
      <c r="K147" s="109"/>
      <c r="L147" s="109"/>
    </row>
    <row r="148" spans="1:12" x14ac:dyDescent="0.25">
      <c r="A148" s="18">
        <v>149</v>
      </c>
      <c r="B148" s="19">
        <v>41189</v>
      </c>
      <c r="C148" s="3" t="s">
        <v>44</v>
      </c>
      <c r="D148" s="98" t="s">
        <v>640</v>
      </c>
      <c r="E148" s="98">
        <v>56.11</v>
      </c>
      <c r="F148" s="109"/>
      <c r="G148" s="109"/>
      <c r="H148" s="109"/>
      <c r="I148" s="109"/>
      <c r="J148" s="109"/>
      <c r="K148" s="109"/>
      <c r="L148" s="109"/>
    </row>
    <row r="149" spans="1:12" x14ac:dyDescent="0.25">
      <c r="A149" s="18">
        <v>150</v>
      </c>
      <c r="B149" s="19">
        <v>41205</v>
      </c>
      <c r="C149" s="3" t="s">
        <v>23</v>
      </c>
      <c r="D149" s="98" t="s">
        <v>642</v>
      </c>
      <c r="E149" s="98">
        <v>66.19</v>
      </c>
      <c r="F149" s="109"/>
      <c r="G149" s="109"/>
      <c r="H149" s="109"/>
      <c r="I149" s="109"/>
      <c r="J149" s="109"/>
      <c r="K149" s="109"/>
      <c r="L149" s="109"/>
    </row>
    <row r="150" spans="1:12" x14ac:dyDescent="0.25">
      <c r="A150" s="18">
        <v>151</v>
      </c>
      <c r="B150" s="19">
        <v>41212</v>
      </c>
      <c r="C150" s="3" t="s">
        <v>14</v>
      </c>
      <c r="D150" s="98" t="s">
        <v>641</v>
      </c>
      <c r="E150" s="98">
        <v>99.36</v>
      </c>
      <c r="F150" s="109"/>
      <c r="G150" s="109"/>
      <c r="H150" s="109"/>
      <c r="I150" s="109"/>
      <c r="J150" s="109"/>
      <c r="K150" s="109"/>
      <c r="L150" s="109"/>
    </row>
    <row r="151" spans="1:12" x14ac:dyDescent="0.25">
      <c r="A151" s="18">
        <v>152</v>
      </c>
      <c r="B151" s="29">
        <v>41450</v>
      </c>
      <c r="C151" s="18" t="s">
        <v>44</v>
      </c>
      <c r="D151" s="98" t="s">
        <v>640</v>
      </c>
      <c r="E151" s="98">
        <v>92.76</v>
      </c>
      <c r="F151" s="109"/>
      <c r="G151" s="109"/>
      <c r="H151" s="109"/>
      <c r="I151" s="109"/>
      <c r="J151" s="109"/>
      <c r="K151" s="109"/>
      <c r="L151" s="109"/>
    </row>
    <row r="152" spans="1:12" x14ac:dyDescent="0.25">
      <c r="A152" s="18">
        <v>153</v>
      </c>
      <c r="B152" s="29">
        <v>41503</v>
      </c>
      <c r="C152" s="18" t="s">
        <v>44</v>
      </c>
      <c r="D152" s="98" t="s">
        <v>642</v>
      </c>
      <c r="E152" s="98">
        <v>84</v>
      </c>
      <c r="F152" s="109"/>
      <c r="G152" s="109"/>
      <c r="H152" s="109"/>
      <c r="I152" s="109"/>
      <c r="J152" s="109"/>
      <c r="K152" s="109"/>
      <c r="L152" s="109"/>
    </row>
    <row r="153" spans="1:12" x14ac:dyDescent="0.25">
      <c r="A153" s="89">
        <v>154</v>
      </c>
      <c r="B153" s="83">
        <v>41517</v>
      </c>
      <c r="C153" s="87" t="s">
        <v>19</v>
      </c>
      <c r="D153" s="98" t="s">
        <v>637</v>
      </c>
      <c r="E153" s="98">
        <v>20.89</v>
      </c>
      <c r="F153" s="109"/>
      <c r="G153" s="109"/>
      <c r="H153" s="109"/>
      <c r="I153" s="109"/>
      <c r="J153" s="109"/>
      <c r="K153" s="109"/>
      <c r="L153" s="109"/>
    </row>
    <row r="154" spans="1:12" x14ac:dyDescent="0.25">
      <c r="A154" s="18">
        <v>155</v>
      </c>
      <c r="B154" s="29">
        <v>41553</v>
      </c>
      <c r="C154" s="18" t="s">
        <v>14</v>
      </c>
      <c r="D154" s="98" t="s">
        <v>643</v>
      </c>
      <c r="E154" s="98">
        <v>3.22</v>
      </c>
      <c r="F154" s="109"/>
      <c r="G154" s="109"/>
      <c r="H154" s="109"/>
      <c r="I154" s="109"/>
      <c r="J154" s="109"/>
      <c r="K154" s="109"/>
      <c r="L154" s="109"/>
    </row>
    <row r="155" spans="1:12" x14ac:dyDescent="0.25">
      <c r="A155" s="18">
        <v>156</v>
      </c>
      <c r="B155" s="29">
        <v>41825</v>
      </c>
      <c r="C155" s="18" t="s">
        <v>44</v>
      </c>
      <c r="D155" s="98" t="s">
        <v>642</v>
      </c>
      <c r="E155" s="98">
        <v>51.75</v>
      </c>
      <c r="F155" s="109"/>
      <c r="G155" s="109"/>
      <c r="H155" s="109"/>
      <c r="I155" s="109"/>
      <c r="J155" s="109"/>
      <c r="K155" s="109"/>
      <c r="L155" s="109"/>
    </row>
    <row r="156" spans="1:12" x14ac:dyDescent="0.25">
      <c r="A156" s="18">
        <v>157</v>
      </c>
      <c r="B156" s="29">
        <v>41895</v>
      </c>
      <c r="C156" s="18" t="s">
        <v>44</v>
      </c>
      <c r="D156" s="98" t="s">
        <v>640</v>
      </c>
      <c r="E156" s="98">
        <v>73.95</v>
      </c>
      <c r="F156" s="109"/>
      <c r="G156" s="109"/>
      <c r="H156" s="109"/>
      <c r="I156" s="109"/>
      <c r="J156" s="109"/>
      <c r="K156" s="109"/>
      <c r="L156" s="109"/>
    </row>
    <row r="157" spans="1:12" x14ac:dyDescent="0.25">
      <c r="A157" s="18">
        <v>158</v>
      </c>
      <c r="B157" s="29">
        <v>41914</v>
      </c>
      <c r="C157" s="18" t="s">
        <v>19</v>
      </c>
      <c r="D157" s="98" t="s">
        <v>642</v>
      </c>
      <c r="E157" s="98">
        <v>59.66</v>
      </c>
      <c r="F157" s="109"/>
      <c r="G157" s="109"/>
      <c r="H157" s="109"/>
      <c r="I157" s="109"/>
      <c r="J157" s="109"/>
      <c r="K157" s="109"/>
      <c r="L157" s="109"/>
    </row>
    <row r="158" spans="1:12" x14ac:dyDescent="0.25">
      <c r="A158" s="18">
        <v>159</v>
      </c>
      <c r="B158" s="29">
        <v>41915</v>
      </c>
      <c r="C158" s="18" t="s">
        <v>44</v>
      </c>
      <c r="D158" s="98" t="s">
        <v>642</v>
      </c>
      <c r="E158" s="98">
        <v>70.62</v>
      </c>
      <c r="F158" s="109"/>
      <c r="G158" s="109"/>
      <c r="H158" s="109"/>
      <c r="I158" s="109"/>
      <c r="J158" s="109"/>
      <c r="K158" s="109"/>
      <c r="L158" s="109"/>
    </row>
    <row r="159" spans="1:12" x14ac:dyDescent="0.25">
      <c r="A159" s="18">
        <v>160</v>
      </c>
      <c r="B159" s="29">
        <v>41915</v>
      </c>
      <c r="C159" s="18" t="s">
        <v>44</v>
      </c>
      <c r="D159" s="98" t="s">
        <v>642</v>
      </c>
      <c r="E159" s="98">
        <v>70.62</v>
      </c>
      <c r="F159" s="109"/>
      <c r="G159" s="109"/>
      <c r="H159" s="109"/>
      <c r="I159" s="109"/>
      <c r="J159" s="109"/>
      <c r="K159" s="109"/>
      <c r="L159" s="109"/>
    </row>
    <row r="160" spans="1:12" x14ac:dyDescent="0.25">
      <c r="A160" s="18">
        <v>161</v>
      </c>
      <c r="B160" s="29">
        <v>41931</v>
      </c>
      <c r="C160" s="18" t="s">
        <v>44</v>
      </c>
      <c r="D160" s="98" t="s">
        <v>637</v>
      </c>
      <c r="E160" s="98">
        <v>16.59</v>
      </c>
      <c r="F160" s="109"/>
      <c r="G160" s="109"/>
      <c r="H160" s="109"/>
      <c r="I160" s="109"/>
      <c r="J160" s="109"/>
      <c r="K160" s="109"/>
      <c r="L160" s="109"/>
    </row>
    <row r="161" spans="1:12" x14ac:dyDescent="0.25">
      <c r="A161" s="18">
        <v>162</v>
      </c>
      <c r="B161" s="29">
        <v>42001</v>
      </c>
      <c r="C161" s="18" t="s">
        <v>14</v>
      </c>
      <c r="D161" s="98" t="s">
        <v>639</v>
      </c>
      <c r="E161" s="98">
        <v>49.17</v>
      </c>
      <c r="F161" s="109"/>
      <c r="G161" s="109"/>
      <c r="H161" s="109"/>
      <c r="I161" s="109"/>
      <c r="J161" s="109"/>
      <c r="K161" s="109"/>
      <c r="L161" s="109"/>
    </row>
    <row r="162" spans="1:12" x14ac:dyDescent="0.25">
      <c r="A162" s="18">
        <v>163</v>
      </c>
      <c r="B162" s="29">
        <v>42195</v>
      </c>
      <c r="C162" s="18" t="s">
        <v>44</v>
      </c>
      <c r="D162" s="98" t="s">
        <v>637</v>
      </c>
      <c r="E162" s="98">
        <v>30.04</v>
      </c>
      <c r="F162" s="109"/>
      <c r="G162" s="109"/>
      <c r="H162" s="109"/>
      <c r="I162" s="109"/>
      <c r="J162" s="109"/>
      <c r="K162" s="109"/>
      <c r="L162" s="109"/>
    </row>
    <row r="163" spans="1:12" x14ac:dyDescent="0.25">
      <c r="A163" s="18">
        <v>164</v>
      </c>
      <c r="B163" s="29">
        <v>42234</v>
      </c>
      <c r="C163" s="18" t="s">
        <v>44</v>
      </c>
      <c r="D163" s="98" t="s">
        <v>639</v>
      </c>
      <c r="E163" s="98">
        <v>14.28</v>
      </c>
      <c r="F163" s="109"/>
      <c r="G163" s="109"/>
      <c r="H163" s="109"/>
      <c r="I163" s="109"/>
      <c r="J163" s="109"/>
      <c r="K163" s="109"/>
      <c r="L163" s="109"/>
    </row>
    <row r="164" spans="1:12" x14ac:dyDescent="0.25">
      <c r="A164" s="18">
        <v>165</v>
      </c>
      <c r="B164" s="29">
        <v>42245</v>
      </c>
      <c r="C164" s="18" t="s">
        <v>44</v>
      </c>
      <c r="D164" s="98" t="s">
        <v>641</v>
      </c>
      <c r="E164" s="98">
        <v>100</v>
      </c>
      <c r="F164" s="109"/>
      <c r="G164" s="109"/>
      <c r="H164" s="109"/>
      <c r="I164" s="109"/>
      <c r="J164" s="109"/>
      <c r="K164" s="109"/>
      <c r="L164" s="109"/>
    </row>
    <row r="165" spans="1:12" x14ac:dyDescent="0.25">
      <c r="A165" s="89">
        <v>166</v>
      </c>
      <c r="B165" s="83">
        <v>42252</v>
      </c>
      <c r="C165" s="87" t="s">
        <v>19</v>
      </c>
      <c r="D165" s="98" t="s">
        <v>637</v>
      </c>
      <c r="E165" s="98">
        <v>47.26</v>
      </c>
      <c r="F165" s="109"/>
      <c r="G165" s="109"/>
      <c r="H165" s="109"/>
      <c r="I165" s="109"/>
      <c r="J165" s="109"/>
      <c r="K165" s="109"/>
      <c r="L165" s="109"/>
    </row>
    <row r="166" spans="1:12" x14ac:dyDescent="0.25">
      <c r="A166" s="18">
        <v>167</v>
      </c>
      <c r="B166" s="29">
        <v>42253</v>
      </c>
      <c r="C166" s="18" t="s">
        <v>44</v>
      </c>
      <c r="D166" s="98" t="s">
        <v>637</v>
      </c>
      <c r="E166" s="98">
        <v>36.83</v>
      </c>
      <c r="F166" s="109"/>
      <c r="G166" s="109"/>
      <c r="H166" s="109"/>
      <c r="I166" s="109"/>
      <c r="J166" s="109"/>
      <c r="K166" s="109"/>
      <c r="L166" s="109"/>
    </row>
    <row r="167" spans="1:12" x14ac:dyDescent="0.25">
      <c r="A167" s="89">
        <v>168</v>
      </c>
      <c r="B167" s="143">
        <v>42267</v>
      </c>
      <c r="C167" s="89" t="s">
        <v>19</v>
      </c>
      <c r="D167" s="98" t="s">
        <v>639</v>
      </c>
      <c r="E167" s="98">
        <v>42.84</v>
      </c>
      <c r="F167" s="109"/>
      <c r="G167" s="109"/>
      <c r="H167" s="109"/>
      <c r="I167" s="109"/>
      <c r="J167" s="109"/>
      <c r="K167" s="109"/>
      <c r="L167" s="109"/>
    </row>
    <row r="168" spans="1:12" x14ac:dyDescent="0.25">
      <c r="A168" s="18">
        <v>169</v>
      </c>
      <c r="B168" s="29">
        <v>42271</v>
      </c>
      <c r="C168" s="18" t="s">
        <v>19</v>
      </c>
      <c r="D168" s="98" t="s">
        <v>642</v>
      </c>
      <c r="E168" s="98">
        <v>83.26</v>
      </c>
      <c r="F168" s="109"/>
      <c r="G168" s="109"/>
      <c r="H168" s="109"/>
      <c r="I168" s="109"/>
      <c r="J168" s="109"/>
      <c r="K168" s="109"/>
      <c r="L168" s="109"/>
    </row>
    <row r="169" spans="1:12" x14ac:dyDescent="0.25">
      <c r="A169" s="18">
        <v>170</v>
      </c>
      <c r="B169" s="29">
        <v>42519</v>
      </c>
      <c r="C169" s="18" t="s">
        <v>14</v>
      </c>
      <c r="D169" s="98" t="s">
        <v>637</v>
      </c>
      <c r="E169" s="98">
        <v>48.28</v>
      </c>
      <c r="F169" s="109"/>
      <c r="G169" s="109"/>
      <c r="H169" s="109"/>
      <c r="I169" s="109"/>
      <c r="J169" s="109"/>
      <c r="K169" s="109"/>
      <c r="L169" s="109"/>
    </row>
    <row r="170" spans="1:12" x14ac:dyDescent="0.25">
      <c r="A170" s="18">
        <v>171</v>
      </c>
      <c r="B170" s="29">
        <v>42614</v>
      </c>
      <c r="C170" s="18" t="s">
        <v>19</v>
      </c>
      <c r="D170" s="98" t="s">
        <v>643</v>
      </c>
      <c r="E170" s="98">
        <v>0</v>
      </c>
      <c r="F170" s="109"/>
      <c r="G170" s="109"/>
      <c r="H170" s="109"/>
      <c r="I170" s="109"/>
      <c r="J170" s="109"/>
      <c r="K170" s="109"/>
      <c r="L170" s="109"/>
    </row>
    <row r="171" spans="1:12" x14ac:dyDescent="0.25">
      <c r="A171" s="18">
        <v>172</v>
      </c>
      <c r="B171" s="29">
        <v>42630</v>
      </c>
      <c r="C171" s="18" t="s">
        <v>44</v>
      </c>
      <c r="D171" s="98" t="s">
        <v>641</v>
      </c>
      <c r="E171" s="98">
        <v>98.9</v>
      </c>
      <c r="F171" s="109"/>
      <c r="G171" s="109"/>
      <c r="H171" s="109"/>
      <c r="I171" s="109"/>
      <c r="J171" s="109"/>
      <c r="K171" s="109"/>
      <c r="L171" s="109"/>
    </row>
    <row r="172" spans="1:12" x14ac:dyDescent="0.25">
      <c r="A172" s="18">
        <v>173</v>
      </c>
      <c r="B172" s="29">
        <v>42812</v>
      </c>
      <c r="C172" s="18" t="s">
        <v>44</v>
      </c>
      <c r="D172" s="98" t="s">
        <v>647</v>
      </c>
      <c r="E172" s="98">
        <v>68.53</v>
      </c>
      <c r="F172" s="109"/>
      <c r="G172" s="109"/>
      <c r="H172" s="109"/>
      <c r="I172" s="109"/>
      <c r="J172" s="109"/>
      <c r="K172" s="109"/>
      <c r="L172" s="109"/>
    </row>
    <row r="173" spans="1:12" x14ac:dyDescent="0.25">
      <c r="A173" s="18">
        <v>174</v>
      </c>
      <c r="B173" s="29">
        <v>42854</v>
      </c>
      <c r="C173" s="18" t="s">
        <v>14</v>
      </c>
      <c r="D173" s="98" t="s">
        <v>639</v>
      </c>
      <c r="E173" s="98">
        <v>14.29</v>
      </c>
      <c r="F173" s="109"/>
      <c r="G173" s="109"/>
      <c r="H173" s="109"/>
      <c r="I173" s="109"/>
      <c r="J173" s="109"/>
      <c r="K173" s="109"/>
      <c r="L173" s="109"/>
    </row>
    <row r="174" spans="1:12" x14ac:dyDescent="0.25">
      <c r="A174" s="18">
        <v>175</v>
      </c>
      <c r="B174" s="29">
        <v>42927</v>
      </c>
      <c r="C174" s="18" t="s">
        <v>44</v>
      </c>
      <c r="D174" s="98" t="s">
        <v>640</v>
      </c>
      <c r="E174" s="98">
        <v>94.12</v>
      </c>
      <c r="F174" s="109"/>
      <c r="G174" s="109"/>
      <c r="H174" s="109"/>
      <c r="I174" s="109"/>
      <c r="J174" s="109"/>
      <c r="K174" s="109"/>
      <c r="L174" s="109"/>
    </row>
    <row r="175" spans="1:12" x14ac:dyDescent="0.25">
      <c r="A175" s="18">
        <v>176</v>
      </c>
      <c r="B175" s="29">
        <v>42936</v>
      </c>
      <c r="C175" s="18" t="s">
        <v>44</v>
      </c>
      <c r="D175" s="98" t="s">
        <v>637</v>
      </c>
      <c r="E175" s="98">
        <v>10.82</v>
      </c>
      <c r="F175" s="109"/>
      <c r="G175" s="109"/>
      <c r="H175" s="109"/>
      <c r="I175" s="109"/>
      <c r="J175" s="109"/>
      <c r="K175" s="109"/>
      <c r="L175" s="109"/>
    </row>
    <row r="176" spans="1:12" x14ac:dyDescent="0.25">
      <c r="A176" s="18">
        <v>177</v>
      </c>
      <c r="B176" s="29">
        <v>42936</v>
      </c>
      <c r="C176" s="18" t="s">
        <v>44</v>
      </c>
      <c r="D176" s="98" t="s">
        <v>637</v>
      </c>
      <c r="E176" s="98">
        <v>10.82</v>
      </c>
      <c r="F176" s="109"/>
      <c r="G176" s="109"/>
      <c r="H176" s="109"/>
      <c r="I176" s="109"/>
      <c r="J176" s="109"/>
      <c r="K176" s="109"/>
      <c r="L176" s="109"/>
    </row>
    <row r="177" spans="1:12" x14ac:dyDescent="0.25">
      <c r="A177" s="18">
        <v>178</v>
      </c>
      <c r="B177" s="29">
        <v>42948</v>
      </c>
      <c r="C177" s="18" t="s">
        <v>44</v>
      </c>
      <c r="D177" s="98" t="s">
        <v>642</v>
      </c>
      <c r="E177" s="98">
        <v>68.98</v>
      </c>
      <c r="F177" s="109"/>
      <c r="G177" s="109"/>
      <c r="H177" s="109"/>
      <c r="I177" s="109"/>
      <c r="J177" s="109"/>
      <c r="K177" s="109"/>
      <c r="L177" s="109"/>
    </row>
    <row r="178" spans="1:12" x14ac:dyDescent="0.25">
      <c r="A178" s="18">
        <v>179</v>
      </c>
      <c r="B178" s="29">
        <v>43063</v>
      </c>
      <c r="C178" s="18" t="s">
        <v>14</v>
      </c>
      <c r="D178" s="98" t="s">
        <v>639</v>
      </c>
      <c r="E178" s="98">
        <v>31.12</v>
      </c>
      <c r="F178" s="109"/>
      <c r="G178" s="109"/>
      <c r="H178" s="109"/>
      <c r="I178" s="109"/>
      <c r="J178" s="109"/>
      <c r="K178" s="109"/>
      <c r="L178" s="109"/>
    </row>
    <row r="179" spans="1:12" x14ac:dyDescent="0.25">
      <c r="A179" s="18">
        <v>180</v>
      </c>
      <c r="B179" s="29">
        <v>43099</v>
      </c>
      <c r="C179" s="18" t="s">
        <v>19</v>
      </c>
      <c r="D179" s="98" t="s">
        <v>642</v>
      </c>
      <c r="E179" s="98">
        <v>91.46</v>
      </c>
      <c r="F179" s="109"/>
      <c r="G179" s="109"/>
      <c r="H179" s="109"/>
      <c r="I179" s="109"/>
      <c r="J179" s="109"/>
      <c r="K179" s="109"/>
      <c r="L179" s="109"/>
    </row>
    <row r="180" spans="1:12" x14ac:dyDescent="0.25">
      <c r="A180" s="18">
        <v>181</v>
      </c>
      <c r="B180" s="29">
        <v>43276</v>
      </c>
      <c r="C180" s="18" t="s">
        <v>44</v>
      </c>
      <c r="D180" s="98" t="s">
        <v>642</v>
      </c>
      <c r="E180" s="98">
        <v>94.03</v>
      </c>
      <c r="F180" s="109"/>
      <c r="G180" s="109"/>
      <c r="H180" s="109"/>
      <c r="I180" s="109"/>
      <c r="J180" s="109"/>
      <c r="K180" s="109"/>
      <c r="L180" s="109"/>
    </row>
    <row r="181" spans="1:12" x14ac:dyDescent="0.25">
      <c r="A181" s="99">
        <v>182</v>
      </c>
      <c r="B181" s="100">
        <v>43336</v>
      </c>
      <c r="C181" s="99" t="s">
        <v>44</v>
      </c>
      <c r="D181" s="98" t="s">
        <v>641</v>
      </c>
      <c r="E181" s="98">
        <v>96.96</v>
      </c>
      <c r="F181" s="109"/>
      <c r="G181" s="109"/>
      <c r="H181" s="109"/>
      <c r="I181" s="109"/>
      <c r="J181" s="109"/>
      <c r="K181" s="109"/>
      <c r="L181" s="109"/>
    </row>
    <row r="182" spans="1:12" x14ac:dyDescent="0.25">
      <c r="A182" s="99">
        <v>183</v>
      </c>
      <c r="B182" s="100">
        <v>43372</v>
      </c>
      <c r="C182" s="99" t="s">
        <v>14</v>
      </c>
      <c r="D182" s="98" t="s">
        <v>640</v>
      </c>
      <c r="E182" s="98">
        <v>78.75</v>
      </c>
      <c r="F182" s="109"/>
      <c r="G182" s="109"/>
      <c r="H182" s="109"/>
      <c r="I182" s="109"/>
      <c r="J182" s="109"/>
      <c r="K182" s="109"/>
      <c r="L182" s="109"/>
    </row>
    <row r="183" spans="1:12" x14ac:dyDescent="0.25">
      <c r="A183" s="99">
        <v>184</v>
      </c>
      <c r="B183" s="100">
        <v>43396</v>
      </c>
      <c r="C183" s="99" t="s">
        <v>14</v>
      </c>
      <c r="D183" s="98" t="s">
        <v>641</v>
      </c>
      <c r="E183" s="98">
        <v>98.78</v>
      </c>
      <c r="F183" s="109"/>
      <c r="G183" s="109"/>
      <c r="H183" s="109"/>
      <c r="I183" s="109"/>
      <c r="J183" s="109"/>
      <c r="K183" s="109"/>
      <c r="L183" s="109"/>
    </row>
    <row r="184" spans="1:12" x14ac:dyDescent="0.25">
      <c r="A184" s="99">
        <v>185</v>
      </c>
      <c r="B184" s="100">
        <v>43473</v>
      </c>
      <c r="C184" s="99" t="s">
        <v>14</v>
      </c>
      <c r="D184" s="98" t="s">
        <v>639</v>
      </c>
      <c r="E184" s="98">
        <v>6.23</v>
      </c>
      <c r="F184" s="109"/>
      <c r="G184" s="109"/>
      <c r="H184" s="109"/>
      <c r="I184" s="109"/>
      <c r="J184" s="109"/>
      <c r="K184" s="109"/>
      <c r="L184" s="109"/>
    </row>
    <row r="185" spans="1:12" x14ac:dyDescent="0.25">
      <c r="A185" s="98">
        <v>186</v>
      </c>
      <c r="B185" s="95">
        <v>43592</v>
      </c>
      <c r="C185" s="98" t="s">
        <v>44</v>
      </c>
      <c r="D185" s="98" t="s">
        <v>639</v>
      </c>
      <c r="E185" s="98">
        <v>8.2899999999999991</v>
      </c>
      <c r="F185" s="109"/>
      <c r="G185" s="109"/>
      <c r="H185" s="109"/>
      <c r="I185" s="109"/>
      <c r="J185" s="109"/>
      <c r="K185" s="109"/>
      <c r="L185" s="109"/>
    </row>
    <row r="186" spans="1:12" x14ac:dyDescent="0.25">
      <c r="A186" s="111">
        <v>187</v>
      </c>
      <c r="B186" s="112">
        <v>43709</v>
      </c>
      <c r="C186" s="111" t="s">
        <v>44</v>
      </c>
      <c r="D186" s="98" t="s">
        <v>639</v>
      </c>
      <c r="E186" s="98">
        <v>7.51</v>
      </c>
      <c r="F186" s="109"/>
      <c r="G186" s="109"/>
      <c r="H186" s="109"/>
      <c r="I186" s="109"/>
      <c r="J186" s="109"/>
      <c r="K186" s="109"/>
      <c r="L186" s="109"/>
    </row>
    <row r="187" spans="1:12" x14ac:dyDescent="0.25">
      <c r="A187" s="98">
        <v>188</v>
      </c>
      <c r="B187" s="95">
        <v>43743</v>
      </c>
      <c r="C187" s="98" t="s">
        <v>44</v>
      </c>
      <c r="D187" s="98" t="s">
        <v>642</v>
      </c>
      <c r="E187" s="98">
        <v>59.45</v>
      </c>
      <c r="F187" s="109"/>
      <c r="G187" s="109"/>
      <c r="H187" s="109"/>
      <c r="I187" s="109"/>
      <c r="J187" s="109"/>
      <c r="K187" s="109"/>
      <c r="L187" s="109"/>
    </row>
    <row r="188" spans="1:12" x14ac:dyDescent="0.25">
      <c r="A188" s="98">
        <v>189</v>
      </c>
      <c r="B188" s="95">
        <v>43820</v>
      </c>
      <c r="C188" s="98" t="s">
        <v>14</v>
      </c>
      <c r="D188" s="98" t="s">
        <v>637</v>
      </c>
      <c r="E188" s="98">
        <v>23.01</v>
      </c>
      <c r="F188" s="109"/>
      <c r="G188" s="109"/>
      <c r="H188" s="109"/>
      <c r="I188" s="109"/>
      <c r="J188" s="109"/>
      <c r="K188" s="109"/>
      <c r="L188" s="109"/>
    </row>
    <row r="189" spans="1:12" x14ac:dyDescent="0.25">
      <c r="A189" s="98">
        <v>190</v>
      </c>
      <c r="B189" s="95">
        <v>43917</v>
      </c>
      <c r="C189" s="98" t="s">
        <v>44</v>
      </c>
      <c r="D189" s="98" t="s">
        <v>639</v>
      </c>
      <c r="E189" s="98">
        <v>9.39</v>
      </c>
      <c r="F189" s="109"/>
      <c r="G189" s="109"/>
      <c r="H189" s="109"/>
      <c r="I189" s="109"/>
      <c r="J189" s="109"/>
      <c r="K189" s="109"/>
      <c r="L189" s="109"/>
    </row>
    <row r="190" spans="1:12" x14ac:dyDescent="0.25">
      <c r="A190" s="98">
        <v>191</v>
      </c>
      <c r="B190" s="95">
        <v>43952</v>
      </c>
      <c r="C190" s="98" t="s">
        <v>19</v>
      </c>
      <c r="D190" s="98" t="s">
        <v>642</v>
      </c>
      <c r="E190" s="98">
        <v>59.09</v>
      </c>
      <c r="F190" s="109"/>
      <c r="G190" s="109"/>
      <c r="H190" s="109"/>
      <c r="I190" s="109"/>
      <c r="J190" s="109"/>
      <c r="K190" s="109"/>
      <c r="L190" s="109"/>
    </row>
    <row r="191" spans="1:12" x14ac:dyDescent="0.25">
      <c r="A191" s="98">
        <v>192</v>
      </c>
      <c r="B191" s="95">
        <v>43960</v>
      </c>
      <c r="C191" s="98" t="s">
        <v>23</v>
      </c>
      <c r="D191" s="98" t="s">
        <v>640</v>
      </c>
      <c r="E191" s="98">
        <v>93.22</v>
      </c>
      <c r="F191" s="109"/>
      <c r="G191" s="109"/>
      <c r="H191" s="109"/>
      <c r="I191" s="109"/>
      <c r="J191" s="109"/>
      <c r="K191" s="109"/>
      <c r="L191" s="109"/>
    </row>
    <row r="192" spans="1:12" x14ac:dyDescent="0.25">
      <c r="A192" s="98">
        <v>193</v>
      </c>
      <c r="B192" s="95">
        <v>43976</v>
      </c>
      <c r="C192" s="98" t="s">
        <v>44</v>
      </c>
      <c r="D192" s="98" t="s">
        <v>639</v>
      </c>
      <c r="E192" s="98">
        <v>8.66</v>
      </c>
      <c r="F192" s="109"/>
      <c r="G192" s="109"/>
      <c r="H192" s="109"/>
      <c r="I192" s="109"/>
      <c r="J192" s="109"/>
      <c r="K192" s="109"/>
      <c r="L192" s="109"/>
    </row>
    <row r="193" spans="1:13" x14ac:dyDescent="0.25">
      <c r="A193" s="98">
        <v>194</v>
      </c>
      <c r="B193" s="95">
        <v>44001</v>
      </c>
      <c r="C193" s="98" t="s">
        <v>44</v>
      </c>
      <c r="D193" s="98" t="s">
        <v>637</v>
      </c>
      <c r="E193" s="98">
        <v>27.6</v>
      </c>
      <c r="F193" s="109"/>
      <c r="G193" s="109"/>
      <c r="H193" s="109"/>
      <c r="I193" s="109"/>
      <c r="J193" s="109"/>
      <c r="K193" s="109"/>
      <c r="L193" s="109"/>
    </row>
    <row r="194" spans="1:13" x14ac:dyDescent="0.25">
      <c r="A194" s="98">
        <v>195</v>
      </c>
      <c r="B194" s="95">
        <v>44055</v>
      </c>
      <c r="C194" s="98" t="s">
        <v>19</v>
      </c>
      <c r="D194" s="98" t="s">
        <v>637</v>
      </c>
      <c r="E194" s="98">
        <v>40.71</v>
      </c>
      <c r="F194" s="109"/>
      <c r="G194" s="109"/>
      <c r="H194" s="109"/>
      <c r="I194" s="109"/>
      <c r="J194" s="109"/>
      <c r="K194" s="109"/>
      <c r="L194" s="109"/>
    </row>
    <row r="195" spans="1:13" x14ac:dyDescent="0.25">
      <c r="A195" s="98">
        <v>196</v>
      </c>
      <c r="B195" s="95">
        <v>44071</v>
      </c>
      <c r="C195" s="98" t="s">
        <v>44</v>
      </c>
      <c r="D195" s="98" t="s">
        <v>642</v>
      </c>
      <c r="E195" s="98">
        <v>79.78</v>
      </c>
      <c r="F195" s="109"/>
      <c r="G195" s="109"/>
      <c r="H195" s="109"/>
      <c r="I195" s="109"/>
      <c r="J195" s="109"/>
      <c r="K195" s="109"/>
      <c r="L195" s="109"/>
    </row>
    <row r="196" spans="1:13" x14ac:dyDescent="0.25">
      <c r="A196" s="98">
        <v>197</v>
      </c>
      <c r="B196" s="95">
        <v>44195</v>
      </c>
      <c r="C196" s="98" t="s">
        <v>44</v>
      </c>
      <c r="D196" s="98" t="s">
        <v>641</v>
      </c>
      <c r="E196" s="98">
        <v>100</v>
      </c>
      <c r="F196" s="109"/>
      <c r="G196" s="109"/>
      <c r="H196" s="109"/>
      <c r="I196" s="109"/>
      <c r="J196" s="109"/>
      <c r="K196" s="109"/>
      <c r="L196" s="109"/>
    </row>
    <row r="197" spans="1:13" x14ac:dyDescent="0.25">
      <c r="A197" s="98">
        <v>198</v>
      </c>
      <c r="B197" s="95">
        <v>44373</v>
      </c>
      <c r="C197" s="98" t="s">
        <v>14</v>
      </c>
      <c r="D197" s="98" t="s">
        <v>640</v>
      </c>
      <c r="E197" s="98">
        <v>94.92</v>
      </c>
      <c r="F197" s="109"/>
      <c r="G197" s="109"/>
      <c r="H197" s="109"/>
      <c r="I197" s="109"/>
      <c r="J197" s="109"/>
      <c r="K197" s="109"/>
      <c r="L197" s="109"/>
    </row>
    <row r="198" spans="1:13" x14ac:dyDescent="0.25">
      <c r="A198" s="98">
        <v>199</v>
      </c>
      <c r="B198" s="95">
        <v>44377</v>
      </c>
      <c r="C198" s="98" t="s">
        <v>19</v>
      </c>
      <c r="D198" s="98" t="s">
        <v>640</v>
      </c>
      <c r="E198" s="98">
        <v>62.12</v>
      </c>
      <c r="F198" s="109"/>
      <c r="G198" s="109"/>
      <c r="H198" s="109"/>
      <c r="I198" s="109"/>
      <c r="J198" s="109"/>
      <c r="K198" s="109"/>
      <c r="L198" s="109"/>
    </row>
    <row r="199" spans="1:13" x14ac:dyDescent="0.25">
      <c r="A199" s="98">
        <v>200</v>
      </c>
      <c r="B199" s="95">
        <v>44382</v>
      </c>
      <c r="C199" s="98" t="s">
        <v>44</v>
      </c>
      <c r="D199" s="98" t="s">
        <v>637</v>
      </c>
      <c r="E199" s="98">
        <v>16.95</v>
      </c>
      <c r="F199" s="109"/>
      <c r="G199" s="109"/>
      <c r="H199" s="109"/>
      <c r="I199" s="109"/>
      <c r="J199" s="109"/>
      <c r="K199" s="109"/>
      <c r="L199" s="109"/>
    </row>
    <row r="200" spans="1:13" x14ac:dyDescent="0.25">
      <c r="A200" s="98">
        <v>201</v>
      </c>
      <c r="B200" s="95">
        <v>44399</v>
      </c>
      <c r="C200" s="98" t="s">
        <v>44</v>
      </c>
      <c r="D200" s="98" t="s">
        <v>641</v>
      </c>
      <c r="E200" s="98">
        <v>97.16</v>
      </c>
      <c r="F200" s="109"/>
      <c r="G200" s="109"/>
      <c r="H200" s="109"/>
      <c r="I200" s="109"/>
      <c r="J200" s="109"/>
      <c r="K200" s="109"/>
      <c r="L200" s="109"/>
    </row>
    <row r="201" spans="1:13" x14ac:dyDescent="0.25">
      <c r="A201" s="98">
        <v>202</v>
      </c>
      <c r="B201" s="95">
        <v>44472</v>
      </c>
      <c r="C201" s="98" t="s">
        <v>14</v>
      </c>
      <c r="D201" s="98" t="s">
        <v>650</v>
      </c>
      <c r="E201" s="98">
        <v>9.89</v>
      </c>
      <c r="F201" s="109"/>
      <c r="G201" s="109"/>
      <c r="H201" s="109"/>
      <c r="I201" s="109"/>
      <c r="J201" s="109"/>
      <c r="K201" s="109"/>
      <c r="L201" s="109"/>
    </row>
    <row r="202" spans="1:13" x14ac:dyDescent="0.25">
      <c r="A202" s="98">
        <v>203</v>
      </c>
      <c r="B202" s="95">
        <v>44552</v>
      </c>
      <c r="C202" s="98" t="s">
        <v>44</v>
      </c>
      <c r="D202" s="98" t="s">
        <v>640</v>
      </c>
      <c r="E202" s="98">
        <v>89.02</v>
      </c>
      <c r="F202" s="109"/>
      <c r="G202" s="109"/>
      <c r="H202" s="109"/>
      <c r="I202" s="109"/>
      <c r="J202" s="109"/>
      <c r="K202" s="109"/>
      <c r="L202" s="109"/>
    </row>
    <row r="203" spans="1:13" x14ac:dyDescent="0.25">
      <c r="A203" s="98">
        <v>204</v>
      </c>
      <c r="B203" s="95">
        <v>44554</v>
      </c>
      <c r="C203" s="98" t="s">
        <v>23</v>
      </c>
      <c r="D203" s="98" t="s">
        <v>640</v>
      </c>
      <c r="E203" s="98">
        <v>73.900000000000006</v>
      </c>
      <c r="F203" s="109"/>
      <c r="G203" s="109"/>
      <c r="H203" s="109"/>
      <c r="I203" s="109"/>
      <c r="J203" s="109"/>
      <c r="K203" s="109"/>
      <c r="L203" s="109"/>
    </row>
    <row r="204" spans="1:13" x14ac:dyDescent="0.25">
      <c r="A204" s="98">
        <v>205</v>
      </c>
      <c r="B204" s="95">
        <v>44618</v>
      </c>
      <c r="C204" s="98" t="s">
        <v>14</v>
      </c>
      <c r="D204" s="98" t="s">
        <v>637</v>
      </c>
      <c r="E204" s="98">
        <v>20.13</v>
      </c>
      <c r="F204" s="109"/>
      <c r="G204" s="109"/>
      <c r="H204" s="109"/>
      <c r="I204" s="109"/>
      <c r="J204" s="109"/>
      <c r="K204" s="109"/>
      <c r="L204" s="109"/>
    </row>
    <row r="205" spans="1:13" x14ac:dyDescent="0.25">
      <c r="A205" s="24"/>
      <c r="B205" s="11"/>
      <c r="C205" s="24"/>
      <c r="H205" s="109"/>
      <c r="I205" s="109"/>
      <c r="J205" s="109"/>
      <c r="K205" s="109"/>
      <c r="L205" s="109"/>
    </row>
    <row r="206" spans="1:13" x14ac:dyDescent="0.25">
      <c r="B206" s="11"/>
      <c r="C206" s="24"/>
      <c r="D206" s="11" t="s">
        <v>644</v>
      </c>
      <c r="E206" s="173">
        <f>(COUNTIF(E3:E204,"&gt;95")/(COUNT(E3:E204)))</f>
        <v>0.14851485148514851</v>
      </c>
      <c r="F206" s="173"/>
      <c r="G206" s="173"/>
      <c r="M206">
        <f>COUNTIF(E3:E204,"&gt;95")</f>
        <v>30</v>
      </c>
    </row>
    <row r="207" spans="1:13" x14ac:dyDescent="0.25">
      <c r="A207" s="24"/>
      <c r="C207" s="24"/>
      <c r="D207" s="11" t="s">
        <v>645</v>
      </c>
      <c r="E207" s="173">
        <f>(COUNTIF(E3:E204,"&lt;5")/(COUNT(E3:E204)))</f>
        <v>0.10891089108910891</v>
      </c>
      <c r="F207" s="173"/>
      <c r="G207" s="173"/>
      <c r="H207" s="173"/>
      <c r="I207" s="173"/>
      <c r="J207" s="173"/>
      <c r="K207" s="173"/>
      <c r="L207" s="173"/>
      <c r="M207">
        <f>COUNTIF(E3:E204,"&lt;5")</f>
        <v>22</v>
      </c>
    </row>
    <row r="208" spans="1:13" x14ac:dyDescent="0.25">
      <c r="A208" s="109"/>
      <c r="B208" s="110"/>
      <c r="C208" s="24"/>
      <c r="D208" s="11" t="s">
        <v>648</v>
      </c>
      <c r="E208" s="173">
        <f>(COUNTIFS(E3:E204,"&gt;45",E3:E204,"&lt;55")/(COUNT(E3:E204)))</f>
        <v>6.9306930693069313E-2</v>
      </c>
      <c r="F208" s="173"/>
      <c r="G208" s="173"/>
      <c r="H208" s="173"/>
      <c r="I208" s="173"/>
      <c r="J208" s="173"/>
      <c r="K208" s="173"/>
      <c r="L208" s="173"/>
      <c r="M208">
        <f>COUNTIFS(E3:E204,"&gt;45",E3:E204,"&lt;55")</f>
        <v>14</v>
      </c>
    </row>
    <row r="209" spans="1:14" x14ac:dyDescent="0.25">
      <c r="A209" s="24"/>
      <c r="B209" s="35"/>
      <c r="C209" s="109"/>
      <c r="D209" s="11" t="s">
        <v>649</v>
      </c>
      <c r="E209" s="173">
        <f>(COUNT(A3:A204)-M209)/(COUNT(A3:A204))</f>
        <v>0.67326732673267331</v>
      </c>
      <c r="F209" s="173"/>
      <c r="G209" s="173"/>
      <c r="H209" s="173"/>
      <c r="I209" s="173"/>
      <c r="J209" s="173"/>
      <c r="K209" s="173"/>
      <c r="L209" s="173"/>
      <c r="M209">
        <f>SUM(M206:M208)</f>
        <v>66</v>
      </c>
    </row>
    <row r="210" spans="1:14" x14ac:dyDescent="0.25">
      <c r="A210" s="24"/>
      <c r="B210" s="35"/>
      <c r="C210" s="109"/>
      <c r="E210" s="173">
        <f>SUM(E206:E209)</f>
        <v>1</v>
      </c>
      <c r="F210" s="173"/>
      <c r="G210" s="173"/>
      <c r="H210" s="173"/>
      <c r="I210" s="173"/>
      <c r="J210" s="173"/>
      <c r="K210" s="173"/>
      <c r="L210" s="173"/>
    </row>
    <row r="211" spans="1:14" x14ac:dyDescent="0.25">
      <c r="C211" s="109"/>
      <c r="H211" s="173"/>
      <c r="I211" s="173"/>
      <c r="J211" s="173"/>
      <c r="K211" s="173"/>
      <c r="L211" s="173"/>
      <c r="M211" s="103"/>
      <c r="N211" s="103"/>
    </row>
    <row r="212" spans="1:14" x14ac:dyDescent="0.25">
      <c r="C212" s="101"/>
      <c r="D212" s="11" t="s">
        <v>652</v>
      </c>
      <c r="E212" s="11">
        <f>(COUNTIF(E3:E203,"&gt;75")/(COUNT(E3:E203)))</f>
        <v>0.32338308457711445</v>
      </c>
      <c r="M212" s="103"/>
      <c r="N212" s="103"/>
    </row>
    <row r="213" spans="1:14" x14ac:dyDescent="0.25">
      <c r="D213" s="11" t="s">
        <v>653</v>
      </c>
      <c r="E213" s="11">
        <f>(COUNTIF(E3:E203,"&lt;75")/(COUNT(E3:E203)))</f>
        <v>0.6766169154228856</v>
      </c>
      <c r="M213" s="103"/>
      <c r="N213" s="103"/>
    </row>
    <row r="214" spans="1:14" x14ac:dyDescent="0.25">
      <c r="M214" s="103"/>
      <c r="N214" s="103"/>
    </row>
    <row r="215" spans="1:14" x14ac:dyDescent="0.25">
      <c r="M215" s="103"/>
      <c r="N215" s="103"/>
    </row>
  </sheetData>
  <autoFilter ref="A2:E204" xr:uid="{1606CE92-CD29-4D84-95C2-79651990AE61}"/>
  <sortState xmlns:xlrd2="http://schemas.microsoft.com/office/spreadsheetml/2017/richdata2" ref="AC2:AE6">
    <sortCondition ref="AC2:AC6"/>
  </sortState>
  <dataValidations count="3">
    <dataValidation type="list" allowBlank="1" showErrorMessage="1" sqref="B209 P115 W23" xr:uid="{56EA0653-4E15-4A46-860D-FE960B9F8C62}">
      <formula1>County</formula1>
    </dataValidation>
    <dataValidation allowBlank="1" showErrorMessage="1" sqref="C2 Q2 X2 J2" xr:uid="{0974D204-AA54-4E6B-987F-5EF428CA3C58}"/>
    <dataValidation type="list" allowBlank="1" showErrorMessage="1" sqref="C206:C207 C209:C212 C3:C184 Q112:Q113 Q115 X20:X21 X23 X3:X15 J3:J70 Q3:Q103" xr:uid="{CBAEF900-F7DE-4665-9640-309653622E9A}">
      <formula1>Injury</formula1>
    </dataValidation>
  </dataValidations>
  <pageMargins left="0.7" right="0.7" top="0.75" bottom="0.75" header="0.3" footer="0.3"/>
  <pageSetup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03"/>
  <sheetViews>
    <sheetView topLeftCell="E1" workbookViewId="0">
      <pane ySplit="1" topLeftCell="A184" activePane="bottomLeft" state="frozen"/>
      <selection pane="bottomLeft" activeCell="J203" sqref="J203"/>
    </sheetView>
  </sheetViews>
  <sheetFormatPr defaultRowHeight="15" x14ac:dyDescent="0.25"/>
  <cols>
    <col min="1" max="1" width="14" bestFit="1" customWidth="1"/>
    <col min="2" max="2" width="10.7109375" bestFit="1" customWidth="1"/>
    <col min="3" max="3" width="18.140625" bestFit="1" customWidth="1"/>
    <col min="4" max="4" width="35" bestFit="1" customWidth="1"/>
    <col min="5" max="5" width="19.140625" bestFit="1" customWidth="1"/>
    <col min="6" max="6" width="6.28515625" bestFit="1" customWidth="1"/>
    <col min="7" max="7" width="15.42578125" bestFit="1" customWidth="1"/>
    <col min="8" max="8" width="11" bestFit="1" customWidth="1"/>
    <col min="9" max="9" width="13.140625" bestFit="1" customWidth="1"/>
    <col min="10" max="10" width="119.28515625" bestFit="1" customWidth="1"/>
  </cols>
  <sheetData>
    <row r="1" spans="1:13" x14ac:dyDescent="0.25">
      <c r="A1" t="s">
        <v>440</v>
      </c>
      <c r="B1" s="91" t="s">
        <v>0</v>
      </c>
      <c r="C1" t="s">
        <v>1</v>
      </c>
      <c r="D1" t="s">
        <v>2</v>
      </c>
      <c r="E1" t="s">
        <v>3</v>
      </c>
      <c r="F1" t="s">
        <v>4</v>
      </c>
      <c r="G1" t="s">
        <v>441</v>
      </c>
      <c r="H1" t="s">
        <v>5</v>
      </c>
      <c r="I1" t="s">
        <v>6</v>
      </c>
      <c r="J1" t="s">
        <v>7</v>
      </c>
      <c r="K1" t="s">
        <v>8</v>
      </c>
      <c r="L1" t="s">
        <v>9</v>
      </c>
      <c r="M1" t="s">
        <v>10</v>
      </c>
    </row>
    <row r="2" spans="1:13" x14ac:dyDescent="0.25">
      <c r="A2">
        <v>1</v>
      </c>
      <c r="B2" s="91">
        <v>18544</v>
      </c>
      <c r="C2" t="s">
        <v>11</v>
      </c>
      <c r="D2" t="s">
        <v>12</v>
      </c>
      <c r="E2" t="s">
        <v>13</v>
      </c>
      <c r="F2" t="s">
        <v>14</v>
      </c>
      <c r="G2" t="s">
        <v>443</v>
      </c>
      <c r="H2" t="s">
        <v>15</v>
      </c>
      <c r="I2" t="s">
        <v>16</v>
      </c>
      <c r="J2" t="s">
        <v>17</v>
      </c>
      <c r="K2">
        <v>-117.14666666666666</v>
      </c>
      <c r="L2">
        <v>32.588333333333331</v>
      </c>
      <c r="M2" t="s">
        <v>18</v>
      </c>
    </row>
    <row r="3" spans="1:13" x14ac:dyDescent="0.25">
      <c r="A3">
        <v>2</v>
      </c>
      <c r="B3" s="91">
        <v>19141</v>
      </c>
      <c r="C3" t="s">
        <v>11</v>
      </c>
      <c r="D3" t="s">
        <v>12</v>
      </c>
      <c r="E3" t="s">
        <v>13</v>
      </c>
      <c r="F3" t="s">
        <v>19</v>
      </c>
      <c r="G3" t="s">
        <v>443</v>
      </c>
      <c r="H3" t="s">
        <v>15</v>
      </c>
      <c r="I3" t="s">
        <v>16</v>
      </c>
      <c r="J3" t="s">
        <v>20</v>
      </c>
      <c r="K3">
        <v>-117.24666666666666</v>
      </c>
      <c r="L3">
        <v>32.588333333333331</v>
      </c>
      <c r="M3" t="s">
        <v>21</v>
      </c>
    </row>
    <row r="4" spans="1:13" x14ac:dyDescent="0.25">
      <c r="A4">
        <v>3</v>
      </c>
      <c r="B4" s="91">
        <v>19335</v>
      </c>
      <c r="C4" t="s">
        <v>22</v>
      </c>
      <c r="D4" t="s">
        <v>428</v>
      </c>
      <c r="E4" t="s">
        <v>13</v>
      </c>
      <c r="F4" t="s">
        <v>23</v>
      </c>
      <c r="G4" t="s">
        <v>442</v>
      </c>
      <c r="H4" t="s">
        <v>15</v>
      </c>
      <c r="I4" t="s">
        <v>16</v>
      </c>
      <c r="J4" t="s">
        <v>24</v>
      </c>
      <c r="K4">
        <v>-122.05</v>
      </c>
      <c r="L4">
        <v>36.626666666666665</v>
      </c>
      <c r="M4" t="s">
        <v>18</v>
      </c>
    </row>
    <row r="5" spans="1:13" x14ac:dyDescent="0.25">
      <c r="A5">
        <v>4</v>
      </c>
      <c r="B5" s="91">
        <v>20126</v>
      </c>
      <c r="C5" t="s">
        <v>22</v>
      </c>
      <c r="D5" t="s">
        <v>25</v>
      </c>
      <c r="E5" t="s">
        <v>26</v>
      </c>
      <c r="F5" t="s">
        <v>19</v>
      </c>
      <c r="G5" t="s">
        <v>443</v>
      </c>
      <c r="H5" t="s">
        <v>15</v>
      </c>
      <c r="I5" t="s">
        <v>16</v>
      </c>
      <c r="J5" t="s">
        <v>27</v>
      </c>
      <c r="K5">
        <v>-122.15</v>
      </c>
      <c r="L5">
        <v>36.626666666666665</v>
      </c>
      <c r="M5" t="s">
        <v>18</v>
      </c>
    </row>
    <row r="6" spans="1:13" x14ac:dyDescent="0.25">
      <c r="A6">
        <v>5</v>
      </c>
      <c r="B6" s="91">
        <v>20681</v>
      </c>
      <c r="C6" t="s">
        <v>28</v>
      </c>
      <c r="D6" t="s">
        <v>29</v>
      </c>
      <c r="E6" t="s">
        <v>13</v>
      </c>
      <c r="F6" t="s">
        <v>14</v>
      </c>
      <c r="G6" t="s">
        <v>443</v>
      </c>
      <c r="H6" t="s">
        <v>15</v>
      </c>
      <c r="I6" t="s">
        <v>16</v>
      </c>
      <c r="J6" t="s">
        <v>30</v>
      </c>
      <c r="K6">
        <v>-120.64666666666666</v>
      </c>
      <c r="L6">
        <v>35.138333333333335</v>
      </c>
      <c r="M6" t="s">
        <v>18</v>
      </c>
    </row>
    <row r="7" spans="1:13" x14ac:dyDescent="0.25">
      <c r="A7">
        <v>6</v>
      </c>
      <c r="B7" s="91">
        <v>20938</v>
      </c>
      <c r="C7" t="s">
        <v>28</v>
      </c>
      <c r="D7" t="s">
        <v>31</v>
      </c>
      <c r="E7" t="s">
        <v>13</v>
      </c>
      <c r="F7" t="s">
        <v>23</v>
      </c>
      <c r="G7" t="s">
        <v>442</v>
      </c>
      <c r="H7" t="s">
        <v>15</v>
      </c>
      <c r="I7" t="s">
        <v>16</v>
      </c>
      <c r="J7" t="s">
        <v>32</v>
      </c>
      <c r="K7">
        <v>-120.875</v>
      </c>
      <c r="L7">
        <v>35.403333333333336</v>
      </c>
      <c r="M7" t="s">
        <v>18</v>
      </c>
    </row>
    <row r="8" spans="1:13" x14ac:dyDescent="0.25">
      <c r="A8">
        <v>7</v>
      </c>
      <c r="B8" s="91">
        <v>21470</v>
      </c>
      <c r="C8" t="s">
        <v>11</v>
      </c>
      <c r="D8" t="s">
        <v>33</v>
      </c>
      <c r="E8" t="s">
        <v>13</v>
      </c>
      <c r="F8" t="s">
        <v>14</v>
      </c>
      <c r="G8" t="s">
        <v>443</v>
      </c>
      <c r="H8" t="s">
        <v>15</v>
      </c>
      <c r="I8" t="s">
        <v>16</v>
      </c>
      <c r="J8" t="s">
        <v>34</v>
      </c>
      <c r="K8">
        <v>-117.21666666666667</v>
      </c>
      <c r="L8">
        <v>32.685000000000002</v>
      </c>
      <c r="M8" t="s">
        <v>18</v>
      </c>
    </row>
    <row r="9" spans="1:13" x14ac:dyDescent="0.25">
      <c r="A9">
        <v>8</v>
      </c>
      <c r="B9" s="91">
        <v>21677</v>
      </c>
      <c r="C9" t="s">
        <v>35</v>
      </c>
      <c r="D9" t="s">
        <v>36</v>
      </c>
      <c r="E9" t="s">
        <v>13</v>
      </c>
      <c r="F9" t="s">
        <v>23</v>
      </c>
      <c r="G9" t="s">
        <v>442</v>
      </c>
      <c r="H9" t="s">
        <v>15</v>
      </c>
      <c r="I9" t="s">
        <v>16</v>
      </c>
      <c r="J9" t="s">
        <v>37</v>
      </c>
      <c r="K9">
        <v>-122.4836</v>
      </c>
      <c r="L9">
        <v>37.793599999999998</v>
      </c>
      <c r="M9" t="s">
        <v>18</v>
      </c>
    </row>
    <row r="10" spans="1:13" x14ac:dyDescent="0.25">
      <c r="A10">
        <v>9</v>
      </c>
      <c r="B10" s="91">
        <v>21715</v>
      </c>
      <c r="C10" t="s">
        <v>11</v>
      </c>
      <c r="D10" t="s">
        <v>38</v>
      </c>
      <c r="E10" t="s">
        <v>26</v>
      </c>
      <c r="F10" t="s">
        <v>23</v>
      </c>
      <c r="G10" t="s">
        <v>442</v>
      </c>
      <c r="H10" t="s">
        <v>15</v>
      </c>
      <c r="I10" t="s">
        <v>16</v>
      </c>
      <c r="J10" t="s">
        <v>39</v>
      </c>
      <c r="K10">
        <v>-117.28</v>
      </c>
      <c r="L10">
        <v>32.854999999999997</v>
      </c>
      <c r="M10" t="s">
        <v>18</v>
      </c>
    </row>
    <row r="11" spans="1:13" x14ac:dyDescent="0.25">
      <c r="A11">
        <v>10</v>
      </c>
      <c r="B11" s="91">
        <v>21759</v>
      </c>
      <c r="C11" t="s">
        <v>11</v>
      </c>
      <c r="D11" t="s">
        <v>38</v>
      </c>
      <c r="E11" t="s">
        <v>26</v>
      </c>
      <c r="F11" t="s">
        <v>19</v>
      </c>
      <c r="G11" t="s">
        <v>443</v>
      </c>
      <c r="H11" t="s">
        <v>15</v>
      </c>
      <c r="I11" t="s">
        <v>40</v>
      </c>
      <c r="J11" t="s">
        <v>41</v>
      </c>
      <c r="K11">
        <v>-117.38</v>
      </c>
      <c r="L11">
        <v>32.854999999999997</v>
      </c>
      <c r="M11" t="s">
        <v>18</v>
      </c>
    </row>
    <row r="12" spans="1:13" x14ac:dyDescent="0.25">
      <c r="A12">
        <v>11</v>
      </c>
      <c r="B12" s="91">
        <v>21827</v>
      </c>
      <c r="C12" t="s">
        <v>42</v>
      </c>
      <c r="D12" t="s">
        <v>43</v>
      </c>
      <c r="E12" t="s">
        <v>26</v>
      </c>
      <c r="F12" t="s">
        <v>44</v>
      </c>
      <c r="G12" t="s">
        <v>374</v>
      </c>
      <c r="H12" t="s">
        <v>15</v>
      </c>
      <c r="I12" t="s">
        <v>16</v>
      </c>
      <c r="J12" t="s">
        <v>45</v>
      </c>
      <c r="K12">
        <v>-123.04666666666667</v>
      </c>
      <c r="L12">
        <v>38.295000000000002</v>
      </c>
      <c r="M12" t="s">
        <v>18</v>
      </c>
    </row>
    <row r="13" spans="1:13" x14ac:dyDescent="0.25">
      <c r="A13">
        <v>12</v>
      </c>
      <c r="B13" s="91">
        <v>21864</v>
      </c>
      <c r="C13" t="s">
        <v>46</v>
      </c>
      <c r="D13" t="s">
        <v>47</v>
      </c>
      <c r="E13" t="s">
        <v>26</v>
      </c>
      <c r="F13" t="s">
        <v>19</v>
      </c>
      <c r="G13" t="s">
        <v>443</v>
      </c>
      <c r="H13" t="s">
        <v>15</v>
      </c>
      <c r="I13" t="s">
        <v>48</v>
      </c>
      <c r="J13" t="s">
        <v>49</v>
      </c>
      <c r="K13">
        <v>-118.78333333333333</v>
      </c>
      <c r="L13">
        <v>34.018333333333331</v>
      </c>
      <c r="M13" t="s">
        <v>18</v>
      </c>
    </row>
    <row r="14" spans="1:13" x14ac:dyDescent="0.25">
      <c r="A14">
        <v>13</v>
      </c>
      <c r="B14" s="91">
        <v>22030</v>
      </c>
      <c r="C14" t="s">
        <v>50</v>
      </c>
      <c r="D14" t="s">
        <v>429</v>
      </c>
      <c r="E14" t="s">
        <v>26</v>
      </c>
      <c r="F14" t="s">
        <v>19</v>
      </c>
      <c r="G14" t="s">
        <v>443</v>
      </c>
      <c r="H14" t="s">
        <v>15</v>
      </c>
      <c r="I14" t="s">
        <v>16</v>
      </c>
      <c r="J14" t="s">
        <v>51</v>
      </c>
      <c r="K14">
        <v>-122.965</v>
      </c>
      <c r="L14">
        <v>38.181666666666665</v>
      </c>
      <c r="M14" t="s">
        <v>18</v>
      </c>
    </row>
    <row r="15" spans="1:13" x14ac:dyDescent="0.25">
      <c r="A15">
        <v>14</v>
      </c>
      <c r="B15" s="91">
        <v>22055</v>
      </c>
      <c r="C15" t="s">
        <v>52</v>
      </c>
      <c r="D15" t="s">
        <v>53</v>
      </c>
      <c r="E15" t="s">
        <v>13</v>
      </c>
      <c r="F15" t="s">
        <v>14</v>
      </c>
      <c r="G15" t="s">
        <v>443</v>
      </c>
      <c r="H15" t="s">
        <v>15</v>
      </c>
      <c r="I15" t="s">
        <v>16</v>
      </c>
      <c r="J15" t="s">
        <v>54</v>
      </c>
      <c r="K15">
        <v>-122.095</v>
      </c>
      <c r="L15">
        <v>36.96</v>
      </c>
      <c r="M15" t="s">
        <v>18</v>
      </c>
    </row>
    <row r="16" spans="1:13" x14ac:dyDescent="0.25">
      <c r="A16">
        <v>15</v>
      </c>
      <c r="B16" s="91">
        <v>22422</v>
      </c>
      <c r="C16" t="s">
        <v>50</v>
      </c>
      <c r="D16" t="s">
        <v>429</v>
      </c>
      <c r="E16" t="s">
        <v>26</v>
      </c>
      <c r="F16" t="s">
        <v>44</v>
      </c>
      <c r="G16" t="s">
        <v>374</v>
      </c>
      <c r="H16" s="92">
        <v>25</v>
      </c>
      <c r="I16" t="s">
        <v>16</v>
      </c>
      <c r="J16" t="s">
        <v>55</v>
      </c>
      <c r="K16">
        <v>-123.065</v>
      </c>
      <c r="L16">
        <v>38.181666666666665</v>
      </c>
      <c r="M16" t="s">
        <v>18</v>
      </c>
    </row>
    <row r="17" spans="1:13" x14ac:dyDescent="0.25">
      <c r="A17">
        <v>16</v>
      </c>
      <c r="B17" s="91">
        <v>22513</v>
      </c>
      <c r="C17" t="s">
        <v>42</v>
      </c>
      <c r="D17" t="s">
        <v>56</v>
      </c>
      <c r="E17" t="s">
        <v>13</v>
      </c>
      <c r="F17" t="s">
        <v>14</v>
      </c>
      <c r="G17" t="s">
        <v>443</v>
      </c>
      <c r="H17" t="s">
        <v>15</v>
      </c>
      <c r="I17" t="s">
        <v>16</v>
      </c>
      <c r="J17" t="s">
        <v>57</v>
      </c>
      <c r="K17">
        <v>-123.07666666666667</v>
      </c>
      <c r="L17">
        <v>38.358333333333334</v>
      </c>
      <c r="M17" t="s">
        <v>18</v>
      </c>
    </row>
    <row r="18" spans="1:13" x14ac:dyDescent="0.25">
      <c r="A18">
        <v>17</v>
      </c>
      <c r="B18" s="91">
        <v>22660</v>
      </c>
      <c r="C18" t="s">
        <v>58</v>
      </c>
      <c r="D18" t="s">
        <v>59</v>
      </c>
      <c r="E18" t="s">
        <v>60</v>
      </c>
      <c r="F18" t="s">
        <v>14</v>
      </c>
      <c r="G18" t="s">
        <v>443</v>
      </c>
      <c r="H18" t="s">
        <v>15</v>
      </c>
      <c r="I18" t="s">
        <v>16</v>
      </c>
      <c r="J18" t="s">
        <v>61</v>
      </c>
      <c r="K18">
        <v>-123.03166666666667</v>
      </c>
      <c r="L18">
        <v>37.72</v>
      </c>
      <c r="M18" t="s">
        <v>18</v>
      </c>
    </row>
    <row r="19" spans="1:13" x14ac:dyDescent="0.25">
      <c r="A19">
        <v>18</v>
      </c>
      <c r="B19" s="91">
        <v>22961</v>
      </c>
      <c r="C19" t="s">
        <v>58</v>
      </c>
      <c r="D19" t="s">
        <v>59</v>
      </c>
      <c r="E19" t="s">
        <v>60</v>
      </c>
      <c r="F19" t="s">
        <v>14</v>
      </c>
      <c r="G19" t="s">
        <v>443</v>
      </c>
      <c r="H19" t="s">
        <v>15</v>
      </c>
      <c r="I19" t="s">
        <v>16</v>
      </c>
      <c r="J19" t="s">
        <v>62</v>
      </c>
      <c r="K19">
        <v>-123.13166666666666</v>
      </c>
      <c r="L19">
        <v>37.72</v>
      </c>
      <c r="M19" t="s">
        <v>18</v>
      </c>
    </row>
    <row r="20" spans="1:13" x14ac:dyDescent="0.25">
      <c r="A20">
        <v>19</v>
      </c>
      <c r="B20" s="91">
        <v>23387</v>
      </c>
      <c r="C20" t="s">
        <v>58</v>
      </c>
      <c r="D20" t="s">
        <v>59</v>
      </c>
      <c r="E20" t="s">
        <v>60</v>
      </c>
      <c r="F20" t="s">
        <v>14</v>
      </c>
      <c r="G20" t="s">
        <v>443</v>
      </c>
      <c r="H20" t="s">
        <v>15</v>
      </c>
      <c r="I20" t="s">
        <v>16</v>
      </c>
      <c r="J20" t="s">
        <v>63</v>
      </c>
      <c r="K20">
        <v>-123.23166666666665</v>
      </c>
      <c r="L20">
        <v>37.72</v>
      </c>
      <c r="M20" t="s">
        <v>18</v>
      </c>
    </row>
    <row r="21" spans="1:13" x14ac:dyDescent="0.25">
      <c r="A21">
        <v>20</v>
      </c>
      <c r="B21" s="91">
        <v>24129</v>
      </c>
      <c r="C21" t="s">
        <v>22</v>
      </c>
      <c r="D21" t="s">
        <v>430</v>
      </c>
      <c r="E21" t="s">
        <v>26</v>
      </c>
      <c r="F21" t="s">
        <v>14</v>
      </c>
      <c r="G21" t="s">
        <v>443</v>
      </c>
      <c r="H21" t="s">
        <v>15</v>
      </c>
      <c r="I21" t="s">
        <v>16</v>
      </c>
      <c r="J21" t="s">
        <v>64</v>
      </c>
      <c r="K21">
        <v>-122.0423722</v>
      </c>
      <c r="L21">
        <v>36.583333333333336</v>
      </c>
      <c r="M21" t="s">
        <v>18</v>
      </c>
    </row>
    <row r="22" spans="1:13" x14ac:dyDescent="0.25">
      <c r="A22">
        <v>21</v>
      </c>
      <c r="B22" s="91">
        <v>25046</v>
      </c>
      <c r="C22" t="s">
        <v>42</v>
      </c>
      <c r="D22" t="s">
        <v>43</v>
      </c>
      <c r="E22" t="s">
        <v>26</v>
      </c>
      <c r="F22" t="s">
        <v>14</v>
      </c>
      <c r="G22" t="s">
        <v>443</v>
      </c>
      <c r="H22" s="92">
        <v>20</v>
      </c>
      <c r="I22" t="s">
        <v>16</v>
      </c>
      <c r="J22" t="s">
        <v>65</v>
      </c>
      <c r="K22">
        <v>-123.14666666666666</v>
      </c>
      <c r="L22">
        <v>38.295000000000002</v>
      </c>
      <c r="M22" t="s">
        <v>18</v>
      </c>
    </row>
    <row r="23" spans="1:13" x14ac:dyDescent="0.25">
      <c r="A23">
        <v>23</v>
      </c>
      <c r="B23" s="91">
        <v>25452</v>
      </c>
      <c r="C23" t="s">
        <v>50</v>
      </c>
      <c r="D23" t="s">
        <v>429</v>
      </c>
      <c r="E23" t="s">
        <v>26</v>
      </c>
      <c r="F23" t="s">
        <v>14</v>
      </c>
      <c r="G23" t="s">
        <v>443</v>
      </c>
      <c r="H23" t="s">
        <v>15</v>
      </c>
      <c r="I23" t="s">
        <v>16</v>
      </c>
      <c r="J23" t="s">
        <v>68</v>
      </c>
      <c r="K23">
        <v>-123.16499999999999</v>
      </c>
      <c r="L23">
        <v>38.181666666666665</v>
      </c>
      <c r="M23" t="s">
        <v>18</v>
      </c>
    </row>
    <row r="24" spans="1:13" x14ac:dyDescent="0.25">
      <c r="A24">
        <v>24</v>
      </c>
      <c r="B24" s="91">
        <v>26133</v>
      </c>
      <c r="C24" t="s">
        <v>69</v>
      </c>
      <c r="D24" t="s">
        <v>70</v>
      </c>
      <c r="E24" t="s">
        <v>71</v>
      </c>
      <c r="F24" t="s">
        <v>14</v>
      </c>
      <c r="G24" t="s">
        <v>443</v>
      </c>
      <c r="H24" s="92">
        <v>20</v>
      </c>
      <c r="I24" t="s">
        <v>16</v>
      </c>
      <c r="J24" t="s">
        <v>72</v>
      </c>
      <c r="K24">
        <v>-120.64166666666667</v>
      </c>
      <c r="L24">
        <v>34.758333333333333</v>
      </c>
      <c r="M24" t="s">
        <v>18</v>
      </c>
    </row>
    <row r="25" spans="1:13" x14ac:dyDescent="0.25">
      <c r="A25">
        <v>25</v>
      </c>
      <c r="B25" s="91">
        <v>26208</v>
      </c>
      <c r="C25" t="s">
        <v>42</v>
      </c>
      <c r="D25" t="s">
        <v>73</v>
      </c>
      <c r="E25" t="s">
        <v>60</v>
      </c>
      <c r="F25" t="s">
        <v>14</v>
      </c>
      <c r="G25" t="s">
        <v>443</v>
      </c>
      <c r="H25" s="92">
        <v>15</v>
      </c>
      <c r="I25" t="s">
        <v>16</v>
      </c>
      <c r="J25" t="s">
        <v>74</v>
      </c>
      <c r="K25">
        <v>-123.43</v>
      </c>
      <c r="L25">
        <v>38.666666666666664</v>
      </c>
      <c r="M25" t="s">
        <v>18</v>
      </c>
    </row>
    <row r="26" spans="1:13" x14ac:dyDescent="0.25">
      <c r="A26">
        <v>26</v>
      </c>
      <c r="B26" s="91">
        <v>26447</v>
      </c>
      <c r="C26" t="s">
        <v>50</v>
      </c>
      <c r="D26" t="s">
        <v>429</v>
      </c>
      <c r="E26" t="s">
        <v>26</v>
      </c>
      <c r="F26" t="s">
        <v>14</v>
      </c>
      <c r="G26" t="s">
        <v>443</v>
      </c>
      <c r="H26" t="s">
        <v>15</v>
      </c>
      <c r="I26" t="s">
        <v>16</v>
      </c>
      <c r="J26" t="s">
        <v>75</v>
      </c>
      <c r="K26">
        <v>-123.26499999999999</v>
      </c>
      <c r="L26">
        <v>38.181666666666665</v>
      </c>
      <c r="M26" t="s">
        <v>18</v>
      </c>
    </row>
    <row r="27" spans="1:13" x14ac:dyDescent="0.25">
      <c r="A27">
        <v>28</v>
      </c>
      <c r="B27" s="91">
        <v>27175</v>
      </c>
      <c r="C27" t="s">
        <v>50</v>
      </c>
      <c r="D27" t="s">
        <v>429</v>
      </c>
      <c r="E27" t="s">
        <v>26</v>
      </c>
      <c r="F27" t="s">
        <v>14</v>
      </c>
      <c r="G27" t="s">
        <v>443</v>
      </c>
      <c r="H27" t="s">
        <v>15</v>
      </c>
      <c r="I27" t="s">
        <v>16</v>
      </c>
      <c r="J27" t="s">
        <v>77</v>
      </c>
      <c r="K27">
        <v>-123.36499999999998</v>
      </c>
      <c r="L27">
        <v>38.181666666666665</v>
      </c>
      <c r="M27" t="s">
        <v>18</v>
      </c>
    </row>
    <row r="28" spans="1:13" x14ac:dyDescent="0.25">
      <c r="A28">
        <v>29</v>
      </c>
      <c r="B28" s="91">
        <v>27236</v>
      </c>
      <c r="C28" t="s">
        <v>78</v>
      </c>
      <c r="D28" t="s">
        <v>79</v>
      </c>
      <c r="E28" t="s">
        <v>26</v>
      </c>
      <c r="F28" t="s">
        <v>19</v>
      </c>
      <c r="G28" t="s">
        <v>443</v>
      </c>
      <c r="H28" s="92">
        <v>25</v>
      </c>
      <c r="I28" t="s">
        <v>16</v>
      </c>
      <c r="J28" t="s">
        <v>80</v>
      </c>
      <c r="K28">
        <v>-123.77666666666667</v>
      </c>
      <c r="L28">
        <v>39.228333333333332</v>
      </c>
      <c r="M28" t="s">
        <v>18</v>
      </c>
    </row>
    <row r="29" spans="1:13" x14ac:dyDescent="0.25">
      <c r="A29">
        <v>30</v>
      </c>
      <c r="B29" s="91">
        <v>27246</v>
      </c>
      <c r="C29" t="s">
        <v>66</v>
      </c>
      <c r="D29" t="s">
        <v>81</v>
      </c>
      <c r="E29" t="s">
        <v>76</v>
      </c>
      <c r="F29" t="s">
        <v>19</v>
      </c>
      <c r="G29" t="s">
        <v>443</v>
      </c>
      <c r="H29" t="s">
        <v>15</v>
      </c>
      <c r="I29" t="s">
        <v>16</v>
      </c>
      <c r="J29" t="s">
        <v>82</v>
      </c>
      <c r="K29">
        <v>-122.40833333333333</v>
      </c>
      <c r="L29">
        <v>37.323333333333331</v>
      </c>
      <c r="M29" t="s">
        <v>18</v>
      </c>
    </row>
    <row r="30" spans="1:13" x14ac:dyDescent="0.25">
      <c r="A30">
        <v>31</v>
      </c>
      <c r="B30" s="91">
        <v>27274</v>
      </c>
      <c r="C30" t="s">
        <v>66</v>
      </c>
      <c r="D30" t="s">
        <v>432</v>
      </c>
      <c r="E30" t="s">
        <v>60</v>
      </c>
      <c r="F30" t="s">
        <v>19</v>
      </c>
      <c r="G30" t="s">
        <v>443</v>
      </c>
      <c r="H30" t="s">
        <v>15</v>
      </c>
      <c r="I30" t="s">
        <v>16</v>
      </c>
      <c r="J30" t="s">
        <v>83</v>
      </c>
      <c r="K30">
        <v>-122.36666666666666</v>
      </c>
      <c r="L30">
        <v>37.15</v>
      </c>
      <c r="M30" t="s">
        <v>18</v>
      </c>
    </row>
    <row r="31" spans="1:13" x14ac:dyDescent="0.25">
      <c r="A31">
        <v>32</v>
      </c>
      <c r="B31" s="91">
        <v>27274</v>
      </c>
      <c r="C31" t="s">
        <v>66</v>
      </c>
      <c r="D31" t="s">
        <v>432</v>
      </c>
      <c r="E31" t="s">
        <v>60</v>
      </c>
      <c r="F31" t="s">
        <v>19</v>
      </c>
      <c r="G31" t="s">
        <v>443</v>
      </c>
      <c r="H31" t="s">
        <v>15</v>
      </c>
      <c r="I31" t="s">
        <v>16</v>
      </c>
      <c r="J31" t="s">
        <v>83</v>
      </c>
      <c r="K31">
        <v>-122.46666666666665</v>
      </c>
      <c r="L31">
        <v>37.15</v>
      </c>
      <c r="M31" t="s">
        <v>18</v>
      </c>
    </row>
    <row r="32" spans="1:13" x14ac:dyDescent="0.25">
      <c r="A32">
        <v>33</v>
      </c>
      <c r="B32" s="91">
        <v>27286</v>
      </c>
      <c r="C32" t="s">
        <v>58</v>
      </c>
      <c r="D32" t="s">
        <v>59</v>
      </c>
      <c r="E32" t="s">
        <v>71</v>
      </c>
      <c r="F32" t="s">
        <v>14</v>
      </c>
      <c r="G32" t="s">
        <v>443</v>
      </c>
      <c r="H32" s="92">
        <v>28</v>
      </c>
      <c r="I32" t="s">
        <v>16</v>
      </c>
      <c r="J32" t="s">
        <v>84</v>
      </c>
      <c r="K32">
        <v>-123.33166666666665</v>
      </c>
      <c r="L32">
        <v>37.72</v>
      </c>
      <c r="M32" t="s">
        <v>18</v>
      </c>
    </row>
    <row r="33" spans="1:13" x14ac:dyDescent="0.25">
      <c r="A33">
        <v>34</v>
      </c>
      <c r="B33" s="91">
        <v>27300</v>
      </c>
      <c r="C33" t="s">
        <v>22</v>
      </c>
      <c r="D33" t="s">
        <v>85</v>
      </c>
      <c r="E33" t="s">
        <v>76</v>
      </c>
      <c r="F33" t="s">
        <v>14</v>
      </c>
      <c r="G33" t="s">
        <v>443</v>
      </c>
      <c r="H33" t="s">
        <v>15</v>
      </c>
      <c r="I33" t="s">
        <v>16</v>
      </c>
      <c r="J33" t="s">
        <v>86</v>
      </c>
      <c r="K33">
        <v>-121.99666666666666</v>
      </c>
      <c r="L33">
        <v>36.313333333333333</v>
      </c>
      <c r="M33" t="s">
        <v>18</v>
      </c>
    </row>
    <row r="34" spans="1:13" x14ac:dyDescent="0.25">
      <c r="A34">
        <v>35</v>
      </c>
      <c r="B34" s="91">
        <v>27594</v>
      </c>
      <c r="C34" t="s">
        <v>69</v>
      </c>
      <c r="D34" t="s">
        <v>87</v>
      </c>
      <c r="E34" t="s">
        <v>71</v>
      </c>
      <c r="F34" t="s">
        <v>44</v>
      </c>
      <c r="G34" t="s">
        <v>374</v>
      </c>
      <c r="H34" s="92">
        <v>30</v>
      </c>
      <c r="I34" t="s">
        <v>16</v>
      </c>
      <c r="J34" t="s">
        <v>88</v>
      </c>
      <c r="K34">
        <v>-120.47499999999999</v>
      </c>
      <c r="L34">
        <v>34.450000000000003</v>
      </c>
      <c r="M34" t="s">
        <v>18</v>
      </c>
    </row>
    <row r="35" spans="1:13" x14ac:dyDescent="0.25">
      <c r="A35">
        <v>36</v>
      </c>
      <c r="B35" s="91">
        <v>27598</v>
      </c>
      <c r="C35" t="s">
        <v>69</v>
      </c>
      <c r="D35" t="s">
        <v>89</v>
      </c>
      <c r="E35" t="s">
        <v>60</v>
      </c>
      <c r="F35" t="s">
        <v>14</v>
      </c>
      <c r="G35" t="s">
        <v>443</v>
      </c>
      <c r="H35" t="s">
        <v>15</v>
      </c>
      <c r="I35" t="s">
        <v>16</v>
      </c>
      <c r="J35" t="s">
        <v>90</v>
      </c>
      <c r="K35">
        <v>-120.575</v>
      </c>
      <c r="L35">
        <v>34.450000000000003</v>
      </c>
      <c r="M35" t="s">
        <v>18</v>
      </c>
    </row>
    <row r="36" spans="1:13" x14ac:dyDescent="0.25">
      <c r="A36">
        <v>37</v>
      </c>
      <c r="B36" s="91">
        <v>27615</v>
      </c>
      <c r="C36" t="s">
        <v>78</v>
      </c>
      <c r="D36" t="s">
        <v>91</v>
      </c>
      <c r="E36" t="s">
        <v>26</v>
      </c>
      <c r="F36" t="s">
        <v>14</v>
      </c>
      <c r="G36" t="s">
        <v>443</v>
      </c>
      <c r="H36" s="92">
        <v>19</v>
      </c>
      <c r="I36" t="s">
        <v>16</v>
      </c>
      <c r="J36" t="s">
        <v>92</v>
      </c>
      <c r="K36">
        <v>-123.85666666666667</v>
      </c>
      <c r="L36">
        <v>39.82</v>
      </c>
      <c r="M36" t="s">
        <v>18</v>
      </c>
    </row>
    <row r="37" spans="1:13" x14ac:dyDescent="0.25">
      <c r="A37">
        <v>38</v>
      </c>
      <c r="B37" s="91">
        <v>27734</v>
      </c>
      <c r="C37" t="s">
        <v>58</v>
      </c>
      <c r="D37" t="s">
        <v>59</v>
      </c>
      <c r="E37" t="s">
        <v>60</v>
      </c>
      <c r="F37" t="s">
        <v>14</v>
      </c>
      <c r="G37" t="s">
        <v>443</v>
      </c>
      <c r="H37" s="92">
        <v>20</v>
      </c>
      <c r="I37" t="s">
        <v>16</v>
      </c>
      <c r="J37" t="s">
        <v>93</v>
      </c>
      <c r="K37">
        <v>-123.43166666666664</v>
      </c>
      <c r="L37">
        <v>37.72</v>
      </c>
      <c r="M37" t="s">
        <v>18</v>
      </c>
    </row>
    <row r="38" spans="1:13" x14ac:dyDescent="0.25">
      <c r="A38">
        <v>39</v>
      </c>
      <c r="B38" s="91">
        <v>28051</v>
      </c>
      <c r="C38" t="s">
        <v>97</v>
      </c>
      <c r="D38" t="s">
        <v>98</v>
      </c>
      <c r="E38" t="s">
        <v>76</v>
      </c>
      <c r="F38" t="s">
        <v>19</v>
      </c>
      <c r="G38" t="s">
        <v>443</v>
      </c>
      <c r="H38" t="s">
        <v>15</v>
      </c>
      <c r="I38" t="s">
        <v>16</v>
      </c>
      <c r="J38" t="s">
        <v>99</v>
      </c>
      <c r="K38">
        <v>-124.11166666666666</v>
      </c>
      <c r="L38">
        <v>41.024999999999999</v>
      </c>
      <c r="M38" t="s">
        <v>18</v>
      </c>
    </row>
    <row r="39" spans="1:13" x14ac:dyDescent="0.25">
      <c r="A39">
        <v>40</v>
      </c>
      <c r="B39" s="91">
        <v>28051</v>
      </c>
      <c r="C39" t="s">
        <v>94</v>
      </c>
      <c r="D39" t="s">
        <v>95</v>
      </c>
      <c r="E39" t="s">
        <v>71</v>
      </c>
      <c r="F39" t="s">
        <v>14</v>
      </c>
      <c r="G39" t="s">
        <v>443</v>
      </c>
      <c r="H39" s="92">
        <v>18</v>
      </c>
      <c r="I39" t="s">
        <v>16</v>
      </c>
      <c r="J39" t="s">
        <v>96</v>
      </c>
      <c r="K39">
        <v>-120.43666666666667</v>
      </c>
      <c r="L39">
        <v>34.04</v>
      </c>
      <c r="M39" t="s">
        <v>18</v>
      </c>
    </row>
    <row r="40" spans="1:13" x14ac:dyDescent="0.25">
      <c r="A40">
        <v>41</v>
      </c>
      <c r="B40" s="91">
        <v>28351</v>
      </c>
      <c r="C40" t="s">
        <v>50</v>
      </c>
      <c r="D40" t="s">
        <v>429</v>
      </c>
      <c r="E40" t="s">
        <v>26</v>
      </c>
      <c r="F40" t="s">
        <v>14</v>
      </c>
      <c r="G40" t="s">
        <v>443</v>
      </c>
      <c r="H40" t="s">
        <v>15</v>
      </c>
      <c r="I40" t="s">
        <v>16</v>
      </c>
      <c r="J40" t="s">
        <v>100</v>
      </c>
      <c r="K40">
        <v>-123.46499999999997</v>
      </c>
      <c r="L40">
        <v>38.181666666666665</v>
      </c>
      <c r="M40" t="s">
        <v>18</v>
      </c>
    </row>
    <row r="41" spans="1:13" x14ac:dyDescent="0.25">
      <c r="A41">
        <v>42</v>
      </c>
      <c r="B41" s="91">
        <v>28707</v>
      </c>
      <c r="C41" t="s">
        <v>52</v>
      </c>
      <c r="D41" t="s">
        <v>101</v>
      </c>
      <c r="E41" t="s">
        <v>13</v>
      </c>
      <c r="F41" t="s">
        <v>19</v>
      </c>
      <c r="G41" t="s">
        <v>443</v>
      </c>
      <c r="H41" t="s">
        <v>15</v>
      </c>
      <c r="I41" t="s">
        <v>102</v>
      </c>
      <c r="J41" t="s">
        <v>103</v>
      </c>
      <c r="K41">
        <v>-121.81</v>
      </c>
      <c r="L41">
        <v>36.86</v>
      </c>
      <c r="M41" t="s">
        <v>18</v>
      </c>
    </row>
    <row r="42" spans="1:13" x14ac:dyDescent="0.25">
      <c r="A42">
        <v>43</v>
      </c>
      <c r="B42" s="91">
        <v>28925</v>
      </c>
      <c r="C42" t="s">
        <v>66</v>
      </c>
      <c r="D42" t="s">
        <v>104</v>
      </c>
      <c r="E42" t="s">
        <v>60</v>
      </c>
      <c r="F42" t="s">
        <v>44</v>
      </c>
      <c r="G42" t="s">
        <v>374</v>
      </c>
      <c r="H42" s="92">
        <v>20</v>
      </c>
      <c r="I42" t="s">
        <v>16</v>
      </c>
      <c r="J42" t="s">
        <v>105</v>
      </c>
      <c r="K42">
        <v>-122.34333333333333</v>
      </c>
      <c r="L42">
        <v>37.108333333333334</v>
      </c>
      <c r="M42" t="s">
        <v>18</v>
      </c>
    </row>
    <row r="43" spans="1:13" x14ac:dyDescent="0.25">
      <c r="A43">
        <v>44</v>
      </c>
      <c r="B43" s="91">
        <v>29511</v>
      </c>
      <c r="C43" t="s">
        <v>97</v>
      </c>
      <c r="D43" t="s">
        <v>98</v>
      </c>
      <c r="E43" t="s">
        <v>76</v>
      </c>
      <c r="F43" t="s">
        <v>44</v>
      </c>
      <c r="G43" t="s">
        <v>374</v>
      </c>
      <c r="H43" t="s">
        <v>15</v>
      </c>
      <c r="I43" t="s">
        <v>16</v>
      </c>
      <c r="J43" t="s">
        <v>106</v>
      </c>
      <c r="K43">
        <v>-124.21166666666666</v>
      </c>
      <c r="L43">
        <v>41.024999999999999</v>
      </c>
      <c r="M43" t="s">
        <v>18</v>
      </c>
    </row>
    <row r="44" spans="1:13" x14ac:dyDescent="0.25">
      <c r="A44">
        <v>45</v>
      </c>
      <c r="B44" s="91">
        <v>29939</v>
      </c>
      <c r="C44" t="s">
        <v>22</v>
      </c>
      <c r="D44" t="s">
        <v>107</v>
      </c>
      <c r="E44" t="s">
        <v>76</v>
      </c>
      <c r="F44" t="s">
        <v>23</v>
      </c>
      <c r="G44" t="s">
        <v>442</v>
      </c>
      <c r="H44" t="s">
        <v>15</v>
      </c>
      <c r="I44" t="s">
        <v>16</v>
      </c>
      <c r="J44" t="s">
        <v>108</v>
      </c>
      <c r="K44">
        <v>-122.25</v>
      </c>
      <c r="L44">
        <v>36.626666666666665</v>
      </c>
      <c r="M44" t="s">
        <v>18</v>
      </c>
    </row>
    <row r="45" spans="1:13" x14ac:dyDescent="0.25">
      <c r="A45">
        <v>46</v>
      </c>
      <c r="B45" s="91">
        <v>29989</v>
      </c>
      <c r="C45" t="s">
        <v>42</v>
      </c>
      <c r="D45" t="s">
        <v>109</v>
      </c>
      <c r="E45" t="s">
        <v>60</v>
      </c>
      <c r="F45" t="s">
        <v>14</v>
      </c>
      <c r="G45" t="s">
        <v>443</v>
      </c>
      <c r="H45" s="92">
        <v>40</v>
      </c>
      <c r="I45" t="s">
        <v>16</v>
      </c>
      <c r="J45" t="s">
        <v>110</v>
      </c>
      <c r="K45">
        <v>-123.30500000000001</v>
      </c>
      <c r="L45">
        <v>38.543333333333337</v>
      </c>
      <c r="M45" t="s">
        <v>18</v>
      </c>
    </row>
    <row r="46" spans="1:13" x14ac:dyDescent="0.25">
      <c r="A46">
        <v>47</v>
      </c>
      <c r="B46" s="91">
        <v>30156</v>
      </c>
      <c r="C46" t="s">
        <v>28</v>
      </c>
      <c r="D46" t="s">
        <v>111</v>
      </c>
      <c r="E46" t="s">
        <v>112</v>
      </c>
      <c r="F46" t="s">
        <v>44</v>
      </c>
      <c r="G46" t="s">
        <v>374</v>
      </c>
      <c r="H46" t="s">
        <v>15</v>
      </c>
      <c r="I46" t="s">
        <v>16</v>
      </c>
      <c r="J46" t="s">
        <v>113</v>
      </c>
      <c r="K46">
        <v>-120.90666666666667</v>
      </c>
      <c r="L46">
        <v>35.236666666666665</v>
      </c>
      <c r="M46" t="s">
        <v>18</v>
      </c>
    </row>
    <row r="47" spans="1:13" x14ac:dyDescent="0.25">
      <c r="A47">
        <v>48</v>
      </c>
      <c r="B47" s="91">
        <v>30213</v>
      </c>
      <c r="C47" t="s">
        <v>78</v>
      </c>
      <c r="D47" t="s">
        <v>114</v>
      </c>
      <c r="E47" t="s">
        <v>26</v>
      </c>
      <c r="F47" t="s">
        <v>14</v>
      </c>
      <c r="G47" t="s">
        <v>443</v>
      </c>
      <c r="H47" s="92">
        <v>12</v>
      </c>
      <c r="I47" t="s">
        <v>16</v>
      </c>
      <c r="J47" t="s">
        <v>115</v>
      </c>
      <c r="K47">
        <v>-123.93333333333334</v>
      </c>
      <c r="L47">
        <v>39.93333333333333</v>
      </c>
      <c r="M47" t="s">
        <v>18</v>
      </c>
    </row>
    <row r="48" spans="1:13" x14ac:dyDescent="0.25">
      <c r="A48">
        <v>49</v>
      </c>
      <c r="B48" s="91">
        <v>30219</v>
      </c>
      <c r="C48" t="s">
        <v>22</v>
      </c>
      <c r="D48" t="s">
        <v>116</v>
      </c>
      <c r="E48" t="s">
        <v>60</v>
      </c>
      <c r="F48" t="s">
        <v>19</v>
      </c>
      <c r="G48" t="s">
        <v>443</v>
      </c>
      <c r="H48">
        <v>40</v>
      </c>
      <c r="I48" s="92" t="s">
        <v>16</v>
      </c>
      <c r="J48" t="s">
        <v>117</v>
      </c>
      <c r="K48">
        <v>-121.92666666666666</v>
      </c>
      <c r="L48">
        <v>36.526666666666664</v>
      </c>
      <c r="M48" t="s">
        <v>407</v>
      </c>
    </row>
    <row r="49" spans="1:13" x14ac:dyDescent="0.25">
      <c r="A49">
        <v>50</v>
      </c>
      <c r="B49" s="91">
        <v>30940</v>
      </c>
      <c r="C49" t="s">
        <v>66</v>
      </c>
      <c r="D49" t="s">
        <v>431</v>
      </c>
      <c r="E49" t="s">
        <v>26</v>
      </c>
      <c r="F49" t="s">
        <v>23</v>
      </c>
      <c r="G49" t="s">
        <v>442</v>
      </c>
      <c r="H49" t="s">
        <v>15</v>
      </c>
      <c r="I49" t="s">
        <v>16</v>
      </c>
      <c r="J49" t="s">
        <v>118</v>
      </c>
      <c r="K49">
        <v>-122.50833333333333</v>
      </c>
      <c r="L49">
        <v>37.19166666666667</v>
      </c>
      <c r="M49" t="s">
        <v>18</v>
      </c>
    </row>
    <row r="50" spans="1:13" x14ac:dyDescent="0.25">
      <c r="A50">
        <v>51</v>
      </c>
      <c r="B50" s="91">
        <v>30942</v>
      </c>
      <c r="C50" t="s">
        <v>11</v>
      </c>
      <c r="D50" t="s">
        <v>119</v>
      </c>
      <c r="E50" t="s">
        <v>13</v>
      </c>
      <c r="F50" t="s">
        <v>19</v>
      </c>
      <c r="G50" t="s">
        <v>443</v>
      </c>
      <c r="H50" t="s">
        <v>15</v>
      </c>
      <c r="I50" t="s">
        <v>48</v>
      </c>
      <c r="J50" t="s">
        <v>120</v>
      </c>
      <c r="K50">
        <v>-117.25666666666666</v>
      </c>
      <c r="L50">
        <v>32.784999999999997</v>
      </c>
      <c r="M50" t="s">
        <v>18</v>
      </c>
    </row>
    <row r="51" spans="1:13" x14ac:dyDescent="0.25">
      <c r="A51">
        <v>52</v>
      </c>
      <c r="B51" s="91">
        <v>30955</v>
      </c>
      <c r="C51" t="s">
        <v>50</v>
      </c>
      <c r="D51" t="s">
        <v>429</v>
      </c>
      <c r="E51" t="s">
        <v>26</v>
      </c>
      <c r="F51" t="s">
        <v>14</v>
      </c>
      <c r="G51" t="s">
        <v>443</v>
      </c>
      <c r="H51" s="92">
        <v>10</v>
      </c>
      <c r="I51" t="s">
        <v>16</v>
      </c>
      <c r="J51" t="s">
        <v>121</v>
      </c>
      <c r="K51">
        <v>-123.56499999999997</v>
      </c>
      <c r="L51">
        <v>38.181666666666665</v>
      </c>
      <c r="M51" t="s">
        <v>18</v>
      </c>
    </row>
    <row r="52" spans="1:13" x14ac:dyDescent="0.25">
      <c r="A52">
        <v>53</v>
      </c>
      <c r="B52" s="91">
        <v>31096</v>
      </c>
      <c r="C52" t="s">
        <v>94</v>
      </c>
      <c r="D52" t="s">
        <v>95</v>
      </c>
      <c r="E52" t="s">
        <v>60</v>
      </c>
      <c r="F52" t="s">
        <v>19</v>
      </c>
      <c r="G52" t="s">
        <v>443</v>
      </c>
      <c r="H52" t="s">
        <v>15</v>
      </c>
      <c r="I52" t="s">
        <v>16</v>
      </c>
      <c r="J52" t="s">
        <v>122</v>
      </c>
      <c r="K52">
        <v>-120.53666666666666</v>
      </c>
      <c r="L52">
        <v>34.04</v>
      </c>
      <c r="M52" t="s">
        <v>18</v>
      </c>
    </row>
    <row r="53" spans="1:13" x14ac:dyDescent="0.25">
      <c r="A53">
        <v>54</v>
      </c>
      <c r="B53" s="91">
        <v>31193</v>
      </c>
      <c r="C53" t="s">
        <v>123</v>
      </c>
      <c r="D53" t="s">
        <v>124</v>
      </c>
      <c r="E53" t="s">
        <v>76</v>
      </c>
      <c r="F53" t="s">
        <v>19</v>
      </c>
      <c r="G53" t="s">
        <v>443</v>
      </c>
      <c r="H53" t="s">
        <v>15</v>
      </c>
      <c r="I53" t="s">
        <v>102</v>
      </c>
      <c r="J53" t="s">
        <v>125</v>
      </c>
      <c r="K53">
        <v>-118.1</v>
      </c>
      <c r="L53">
        <v>33.75</v>
      </c>
      <c r="M53" t="s">
        <v>18</v>
      </c>
    </row>
    <row r="54" spans="1:13" x14ac:dyDescent="0.25">
      <c r="A54">
        <v>55</v>
      </c>
      <c r="B54" s="91">
        <v>31318</v>
      </c>
      <c r="C54" t="s">
        <v>50</v>
      </c>
      <c r="D54" t="s">
        <v>433</v>
      </c>
      <c r="E54" t="s">
        <v>26</v>
      </c>
      <c r="F54" t="s">
        <v>44</v>
      </c>
      <c r="G54" t="s">
        <v>374</v>
      </c>
      <c r="H54" s="92">
        <v>14</v>
      </c>
      <c r="I54" t="s">
        <v>16</v>
      </c>
      <c r="J54" t="s">
        <v>126</v>
      </c>
      <c r="K54">
        <v>-123.66499999999996</v>
      </c>
      <c r="L54">
        <v>38.181666666666665</v>
      </c>
      <c r="M54" t="s">
        <v>18</v>
      </c>
    </row>
    <row r="55" spans="1:13" x14ac:dyDescent="0.25">
      <c r="A55">
        <v>56</v>
      </c>
      <c r="B55" s="91">
        <v>31342</v>
      </c>
      <c r="C55" t="s">
        <v>69</v>
      </c>
      <c r="D55" t="s">
        <v>89</v>
      </c>
      <c r="E55" t="s">
        <v>71</v>
      </c>
      <c r="F55" t="s">
        <v>19</v>
      </c>
      <c r="G55" t="s">
        <v>443</v>
      </c>
      <c r="H55" s="92">
        <v>15</v>
      </c>
      <c r="I55" s="92" t="s">
        <v>102</v>
      </c>
      <c r="J55" t="s">
        <v>127</v>
      </c>
      <c r="K55">
        <v>-120.675</v>
      </c>
      <c r="L55">
        <v>34.450000000000003</v>
      </c>
      <c r="M55" t="s">
        <v>128</v>
      </c>
    </row>
    <row r="56" spans="1:13" x14ac:dyDescent="0.25">
      <c r="A56">
        <v>57</v>
      </c>
      <c r="B56" s="91">
        <v>31752</v>
      </c>
      <c r="C56" t="s">
        <v>22</v>
      </c>
      <c r="D56" t="s">
        <v>116</v>
      </c>
      <c r="E56" t="s">
        <v>26</v>
      </c>
      <c r="F56" t="s">
        <v>14</v>
      </c>
      <c r="G56" t="s">
        <v>443</v>
      </c>
      <c r="H56">
        <v>38</v>
      </c>
      <c r="I56" t="s">
        <v>16</v>
      </c>
      <c r="J56" t="s">
        <v>129</v>
      </c>
      <c r="K56">
        <v>-122.12666666666701</v>
      </c>
      <c r="L56">
        <v>36.526666666666664</v>
      </c>
      <c r="M56" t="s">
        <v>18</v>
      </c>
    </row>
    <row r="57" spans="1:13" x14ac:dyDescent="0.25">
      <c r="A57">
        <v>58</v>
      </c>
      <c r="B57" s="91">
        <v>32004</v>
      </c>
      <c r="C57" t="s">
        <v>66</v>
      </c>
      <c r="D57" t="s">
        <v>130</v>
      </c>
      <c r="E57" t="s">
        <v>76</v>
      </c>
      <c r="F57" t="s">
        <v>19</v>
      </c>
      <c r="G57" t="s">
        <v>443</v>
      </c>
      <c r="H57" t="s">
        <v>15</v>
      </c>
      <c r="I57" t="s">
        <v>16</v>
      </c>
      <c r="J57" t="s">
        <v>131</v>
      </c>
      <c r="K57">
        <v>-122.499</v>
      </c>
      <c r="L57">
        <v>37.491999999999997</v>
      </c>
      <c r="M57" t="s">
        <v>18</v>
      </c>
    </row>
    <row r="58" spans="1:13" x14ac:dyDescent="0.25">
      <c r="A58">
        <v>59</v>
      </c>
      <c r="B58" s="91">
        <v>32076</v>
      </c>
      <c r="C58" t="s">
        <v>52</v>
      </c>
      <c r="D58" t="s">
        <v>132</v>
      </c>
      <c r="E58" t="s">
        <v>76</v>
      </c>
      <c r="F58" t="s">
        <v>19</v>
      </c>
      <c r="G58" t="s">
        <v>443</v>
      </c>
      <c r="H58" t="s">
        <v>15</v>
      </c>
      <c r="I58" t="s">
        <v>16</v>
      </c>
      <c r="J58" t="s">
        <v>133</v>
      </c>
      <c r="K58">
        <v>-122.25333333333333</v>
      </c>
      <c r="L58">
        <v>37.049999999999997</v>
      </c>
      <c r="M58" t="s">
        <v>128</v>
      </c>
    </row>
    <row r="59" spans="1:13" x14ac:dyDescent="0.25">
      <c r="A59">
        <v>60</v>
      </c>
      <c r="B59" s="91">
        <v>32257</v>
      </c>
      <c r="C59" t="s">
        <v>28</v>
      </c>
      <c r="D59" t="s">
        <v>134</v>
      </c>
      <c r="E59" t="s">
        <v>76</v>
      </c>
      <c r="F59" t="s">
        <v>44</v>
      </c>
      <c r="G59" t="s">
        <v>374</v>
      </c>
      <c r="H59" t="s">
        <v>15</v>
      </c>
      <c r="I59" t="s">
        <v>16</v>
      </c>
      <c r="J59" t="s">
        <v>135</v>
      </c>
      <c r="K59">
        <v>-120.97499999999999</v>
      </c>
      <c r="L59">
        <v>35.403333333333336</v>
      </c>
      <c r="M59" t="s">
        <v>18</v>
      </c>
    </row>
    <row r="60" spans="1:13" x14ac:dyDescent="0.25">
      <c r="A60">
        <v>61</v>
      </c>
      <c r="B60" s="91">
        <v>32366</v>
      </c>
      <c r="C60" t="s">
        <v>136</v>
      </c>
      <c r="D60" t="s">
        <v>137</v>
      </c>
      <c r="E60" t="s">
        <v>76</v>
      </c>
      <c r="F60" t="s">
        <v>19</v>
      </c>
      <c r="G60" t="s">
        <v>443</v>
      </c>
      <c r="H60" t="s">
        <v>15</v>
      </c>
      <c r="I60" t="s">
        <v>16</v>
      </c>
      <c r="J60" t="s">
        <v>138</v>
      </c>
      <c r="K60">
        <v>-124.08833333333334</v>
      </c>
      <c r="L60">
        <v>41.561666666666667</v>
      </c>
      <c r="M60" t="s">
        <v>18</v>
      </c>
    </row>
    <row r="61" spans="1:13" x14ac:dyDescent="0.25">
      <c r="A61">
        <v>62</v>
      </c>
      <c r="B61" s="91">
        <v>32534</v>
      </c>
      <c r="C61" t="s">
        <v>46</v>
      </c>
      <c r="D61" t="s">
        <v>139</v>
      </c>
      <c r="E61" t="s">
        <v>140</v>
      </c>
      <c r="F61" t="s">
        <v>23</v>
      </c>
      <c r="G61" t="s">
        <v>442</v>
      </c>
      <c r="H61" t="s">
        <v>15</v>
      </c>
      <c r="I61" t="s">
        <v>16</v>
      </c>
      <c r="J61" t="s">
        <v>141</v>
      </c>
      <c r="K61">
        <v>-118.88333333333333</v>
      </c>
      <c r="L61">
        <v>34.018333333333331</v>
      </c>
      <c r="M61" t="s">
        <v>18</v>
      </c>
    </row>
    <row r="62" spans="1:13" x14ac:dyDescent="0.25">
      <c r="A62">
        <v>63</v>
      </c>
      <c r="B62" s="91">
        <v>32760</v>
      </c>
      <c r="C62" t="s">
        <v>58</v>
      </c>
      <c r="D62" t="s">
        <v>59</v>
      </c>
      <c r="E62" t="s">
        <v>71</v>
      </c>
      <c r="F62" t="s">
        <v>14</v>
      </c>
      <c r="G62" t="s">
        <v>443</v>
      </c>
      <c r="H62" s="92">
        <v>25</v>
      </c>
      <c r="I62" t="s">
        <v>16</v>
      </c>
      <c r="J62" t="s">
        <v>142</v>
      </c>
      <c r="K62">
        <v>-123.53166666666664</v>
      </c>
      <c r="L62">
        <v>37.72</v>
      </c>
      <c r="M62" t="s">
        <v>18</v>
      </c>
    </row>
    <row r="63" spans="1:13" x14ac:dyDescent="0.25">
      <c r="A63">
        <v>64</v>
      </c>
      <c r="B63" s="91">
        <v>32885</v>
      </c>
      <c r="C63" t="s">
        <v>66</v>
      </c>
      <c r="D63" t="s">
        <v>143</v>
      </c>
      <c r="E63" t="s">
        <v>76</v>
      </c>
      <c r="F63" t="s">
        <v>44</v>
      </c>
      <c r="G63" t="s">
        <v>374</v>
      </c>
      <c r="H63" t="s">
        <v>15</v>
      </c>
      <c r="I63" t="s">
        <v>16</v>
      </c>
      <c r="J63" t="s">
        <v>144</v>
      </c>
      <c r="K63">
        <v>-122.51833333333333</v>
      </c>
      <c r="L63">
        <v>37.55833333333333</v>
      </c>
      <c r="M63" t="s">
        <v>18</v>
      </c>
    </row>
    <row r="64" spans="1:13" x14ac:dyDescent="0.25">
      <c r="A64">
        <v>65</v>
      </c>
      <c r="B64" s="91">
        <v>33113</v>
      </c>
      <c r="C64" t="s">
        <v>97</v>
      </c>
      <c r="D64" t="s">
        <v>145</v>
      </c>
      <c r="E64" t="s">
        <v>76</v>
      </c>
      <c r="F64" t="s">
        <v>19</v>
      </c>
      <c r="G64" t="s">
        <v>443</v>
      </c>
      <c r="H64" t="s">
        <v>15</v>
      </c>
      <c r="I64" t="s">
        <v>16</v>
      </c>
      <c r="J64" t="s">
        <v>146</v>
      </c>
      <c r="K64">
        <v>-124.15</v>
      </c>
      <c r="L64">
        <v>41.05833333333333</v>
      </c>
      <c r="M64" t="s">
        <v>18</v>
      </c>
    </row>
    <row r="65" spans="1:13" x14ac:dyDescent="0.25">
      <c r="A65">
        <v>66</v>
      </c>
      <c r="B65" s="91">
        <v>33121</v>
      </c>
      <c r="C65" t="s">
        <v>97</v>
      </c>
      <c r="D65" t="s">
        <v>147</v>
      </c>
      <c r="E65" t="s">
        <v>140</v>
      </c>
      <c r="F65" t="s">
        <v>44</v>
      </c>
      <c r="G65" t="s">
        <v>374</v>
      </c>
      <c r="H65" t="s">
        <v>15</v>
      </c>
      <c r="I65" t="s">
        <v>16</v>
      </c>
      <c r="J65" t="s">
        <v>148</v>
      </c>
      <c r="K65">
        <v>-124.25</v>
      </c>
      <c r="L65">
        <v>41.05833333333333</v>
      </c>
      <c r="M65" t="s">
        <v>18</v>
      </c>
    </row>
    <row r="66" spans="1:13" x14ac:dyDescent="0.25">
      <c r="A66">
        <v>67</v>
      </c>
      <c r="B66" s="91">
        <v>33124</v>
      </c>
      <c r="C66" t="s">
        <v>42</v>
      </c>
      <c r="D66" t="s">
        <v>149</v>
      </c>
      <c r="E66" t="s">
        <v>26</v>
      </c>
      <c r="F66" t="s">
        <v>14</v>
      </c>
      <c r="G66" t="s">
        <v>443</v>
      </c>
      <c r="H66" t="s">
        <v>15</v>
      </c>
      <c r="I66" t="s">
        <v>16</v>
      </c>
      <c r="J66" t="s">
        <v>150</v>
      </c>
      <c r="K66">
        <v>-123.175</v>
      </c>
      <c r="L66">
        <v>38.475000000000001</v>
      </c>
      <c r="M66" t="s">
        <v>18</v>
      </c>
    </row>
    <row r="67" spans="1:13" x14ac:dyDescent="0.25">
      <c r="A67">
        <v>68</v>
      </c>
      <c r="B67" s="91">
        <v>33180</v>
      </c>
      <c r="C67" t="s">
        <v>22</v>
      </c>
      <c r="D67" t="s">
        <v>116</v>
      </c>
      <c r="E67" t="s">
        <v>60</v>
      </c>
      <c r="F67" t="s">
        <v>14</v>
      </c>
      <c r="G67" t="s">
        <v>443</v>
      </c>
      <c r="H67" t="s">
        <v>15</v>
      </c>
      <c r="I67" t="s">
        <v>16</v>
      </c>
      <c r="J67" t="s">
        <v>151</v>
      </c>
      <c r="K67">
        <v>-122.226666666667</v>
      </c>
      <c r="L67">
        <v>36.526666666666664</v>
      </c>
      <c r="M67" t="s">
        <v>18</v>
      </c>
    </row>
    <row r="68" spans="1:13" x14ac:dyDescent="0.25">
      <c r="A68">
        <v>69</v>
      </c>
      <c r="B68" s="91">
        <v>33420</v>
      </c>
      <c r="C68" t="s">
        <v>52</v>
      </c>
      <c r="D68" t="s">
        <v>152</v>
      </c>
      <c r="E68" t="s">
        <v>76</v>
      </c>
      <c r="F68" t="s">
        <v>14</v>
      </c>
      <c r="G68" t="s">
        <v>443</v>
      </c>
      <c r="H68" t="s">
        <v>15</v>
      </c>
      <c r="I68" t="s">
        <v>16</v>
      </c>
      <c r="J68" t="s">
        <v>153</v>
      </c>
      <c r="K68">
        <v>-122.35333333333332</v>
      </c>
      <c r="L68">
        <v>37.049999999999997</v>
      </c>
      <c r="M68" t="s">
        <v>18</v>
      </c>
    </row>
    <row r="69" spans="1:13" x14ac:dyDescent="0.25">
      <c r="A69">
        <v>70</v>
      </c>
      <c r="B69" s="91">
        <v>33516</v>
      </c>
      <c r="C69" t="s">
        <v>52</v>
      </c>
      <c r="D69" t="s">
        <v>154</v>
      </c>
      <c r="E69" t="s">
        <v>76</v>
      </c>
      <c r="F69" t="s">
        <v>14</v>
      </c>
      <c r="G69" t="s">
        <v>443</v>
      </c>
      <c r="H69" t="s">
        <v>15</v>
      </c>
      <c r="I69" t="s">
        <v>16</v>
      </c>
      <c r="J69" t="s">
        <v>155</v>
      </c>
      <c r="K69">
        <v>-122.45333333333332</v>
      </c>
      <c r="L69">
        <v>37.049999999999997</v>
      </c>
      <c r="M69" t="s">
        <v>18</v>
      </c>
    </row>
    <row r="70" spans="1:13" x14ac:dyDescent="0.25">
      <c r="A70">
        <v>71</v>
      </c>
      <c r="B70" s="91">
        <v>33520</v>
      </c>
      <c r="C70" t="s">
        <v>50</v>
      </c>
      <c r="D70" t="s">
        <v>156</v>
      </c>
      <c r="E70" t="s">
        <v>71</v>
      </c>
      <c r="F70" t="s">
        <v>44</v>
      </c>
      <c r="G70" t="s">
        <v>374</v>
      </c>
      <c r="H70">
        <v>25</v>
      </c>
      <c r="I70" t="s">
        <v>16</v>
      </c>
      <c r="J70" t="s">
        <v>157</v>
      </c>
      <c r="K70">
        <v>-122.99694</v>
      </c>
      <c r="L70">
        <v>37.982999999999997</v>
      </c>
      <c r="M70" t="s">
        <v>158</v>
      </c>
    </row>
    <row r="71" spans="1:13" x14ac:dyDescent="0.25">
      <c r="A71">
        <v>72</v>
      </c>
      <c r="B71" s="91">
        <v>33576</v>
      </c>
      <c r="C71" t="s">
        <v>97</v>
      </c>
      <c r="D71" t="s">
        <v>159</v>
      </c>
      <c r="E71" t="s">
        <v>71</v>
      </c>
      <c r="F71" t="s">
        <v>44</v>
      </c>
      <c r="G71" t="s">
        <v>374</v>
      </c>
      <c r="H71" t="s">
        <v>15</v>
      </c>
      <c r="I71" t="s">
        <v>16</v>
      </c>
      <c r="J71" t="s">
        <v>160</v>
      </c>
      <c r="K71">
        <v>-124.08333333333333</v>
      </c>
      <c r="L71">
        <v>40.028333333333336</v>
      </c>
      <c r="M71" t="s">
        <v>18</v>
      </c>
    </row>
    <row r="72" spans="1:13" x14ac:dyDescent="0.25">
      <c r="A72">
        <v>73</v>
      </c>
      <c r="B72" s="91">
        <v>33834</v>
      </c>
      <c r="C72" t="s">
        <v>136</v>
      </c>
      <c r="D72" t="s">
        <v>137</v>
      </c>
      <c r="E72" t="s">
        <v>76</v>
      </c>
      <c r="F72" t="s">
        <v>44</v>
      </c>
      <c r="G72" t="s">
        <v>374</v>
      </c>
      <c r="H72" t="s">
        <v>15</v>
      </c>
      <c r="I72" t="s">
        <v>16</v>
      </c>
      <c r="J72" t="s">
        <v>161</v>
      </c>
      <c r="K72">
        <v>-124.18833333333333</v>
      </c>
      <c r="L72">
        <v>41.561666666666667</v>
      </c>
      <c r="M72" t="s">
        <v>128</v>
      </c>
    </row>
    <row r="73" spans="1:13" x14ac:dyDescent="0.25">
      <c r="A73">
        <v>74</v>
      </c>
      <c r="B73" s="91">
        <v>33906</v>
      </c>
      <c r="C73" t="s">
        <v>94</v>
      </c>
      <c r="D73" t="s">
        <v>408</v>
      </c>
      <c r="E73" t="s">
        <v>71</v>
      </c>
      <c r="F73" t="s">
        <v>19</v>
      </c>
      <c r="G73" t="s">
        <v>443</v>
      </c>
      <c r="H73" s="92">
        <v>47</v>
      </c>
      <c r="I73" t="s">
        <v>16</v>
      </c>
      <c r="J73" t="s">
        <v>162</v>
      </c>
      <c r="K73">
        <v>-120.63666666666666</v>
      </c>
      <c r="L73">
        <v>34.04</v>
      </c>
      <c r="M73" t="s">
        <v>18</v>
      </c>
    </row>
    <row r="74" spans="1:13" x14ac:dyDescent="0.25">
      <c r="A74">
        <v>75</v>
      </c>
      <c r="B74" s="91">
        <v>33919</v>
      </c>
      <c r="C74" t="s">
        <v>163</v>
      </c>
      <c r="D74" t="s">
        <v>164</v>
      </c>
      <c r="E74" t="s">
        <v>60</v>
      </c>
      <c r="F74" t="s">
        <v>19</v>
      </c>
      <c r="G74" t="s">
        <v>443</v>
      </c>
      <c r="H74" s="92">
        <v>72</v>
      </c>
      <c r="I74" s="92" t="s">
        <v>102</v>
      </c>
      <c r="J74" t="s">
        <v>165</v>
      </c>
      <c r="K74">
        <v>-119.53833333333333</v>
      </c>
      <c r="L74">
        <v>33.226666666666667</v>
      </c>
      <c r="M74" t="s">
        <v>128</v>
      </c>
    </row>
    <row r="75" spans="1:13" x14ac:dyDescent="0.25">
      <c r="A75">
        <v>76</v>
      </c>
      <c r="B75" s="91">
        <v>33922</v>
      </c>
      <c r="C75" t="s">
        <v>66</v>
      </c>
      <c r="D75" t="s">
        <v>166</v>
      </c>
      <c r="E75" t="s">
        <v>140</v>
      </c>
      <c r="F75" t="s">
        <v>44</v>
      </c>
      <c r="G75" t="s">
        <v>374</v>
      </c>
      <c r="H75" t="s">
        <v>15</v>
      </c>
      <c r="I75" t="s">
        <v>16</v>
      </c>
      <c r="J75" t="s">
        <v>167</v>
      </c>
      <c r="K75">
        <v>-122.44333333333333</v>
      </c>
      <c r="L75">
        <v>37.108333333333334</v>
      </c>
      <c r="M75" t="s">
        <v>18</v>
      </c>
    </row>
    <row r="76" spans="1:13" x14ac:dyDescent="0.25">
      <c r="A76">
        <v>77</v>
      </c>
      <c r="B76" s="91">
        <v>33937</v>
      </c>
      <c r="C76" t="s">
        <v>11</v>
      </c>
      <c r="D76" t="s">
        <v>168</v>
      </c>
      <c r="E76" t="s">
        <v>26</v>
      </c>
      <c r="F76" t="s">
        <v>19</v>
      </c>
      <c r="G76" t="s">
        <v>443</v>
      </c>
      <c r="H76" t="s">
        <v>15</v>
      </c>
      <c r="I76" t="s">
        <v>102</v>
      </c>
      <c r="J76" t="s">
        <v>169</v>
      </c>
      <c r="K76">
        <v>-117.6</v>
      </c>
      <c r="L76">
        <v>33.369999999999997</v>
      </c>
      <c r="M76" t="s">
        <v>170</v>
      </c>
    </row>
    <row r="77" spans="1:13" x14ac:dyDescent="0.25">
      <c r="A77">
        <v>78</v>
      </c>
      <c r="B77" s="91">
        <v>34040</v>
      </c>
      <c r="C77" t="s">
        <v>66</v>
      </c>
      <c r="D77" t="s">
        <v>434</v>
      </c>
      <c r="E77" t="s">
        <v>26</v>
      </c>
      <c r="F77" t="s">
        <v>44</v>
      </c>
      <c r="G77" t="s">
        <v>374</v>
      </c>
      <c r="H77" s="92">
        <v>15</v>
      </c>
      <c r="I77" t="s">
        <v>16</v>
      </c>
      <c r="J77" t="s">
        <v>171</v>
      </c>
      <c r="K77">
        <v>-122.517</v>
      </c>
      <c r="L77">
        <v>37.596666666666664</v>
      </c>
      <c r="M77" t="s">
        <v>18</v>
      </c>
    </row>
    <row r="78" spans="1:13" x14ac:dyDescent="0.25">
      <c r="A78">
        <v>79</v>
      </c>
      <c r="B78" s="91">
        <v>34193</v>
      </c>
      <c r="C78" t="s">
        <v>78</v>
      </c>
      <c r="D78" t="s">
        <v>438</v>
      </c>
      <c r="E78" t="s">
        <v>26</v>
      </c>
      <c r="F78" t="s">
        <v>14</v>
      </c>
      <c r="G78" t="s">
        <v>443</v>
      </c>
      <c r="H78">
        <v>5</v>
      </c>
      <c r="I78" t="s">
        <v>16</v>
      </c>
      <c r="J78" t="s">
        <v>172</v>
      </c>
      <c r="K78">
        <v>-123.785</v>
      </c>
      <c r="L78">
        <v>39.666666666666664</v>
      </c>
      <c r="M78" t="s">
        <v>18</v>
      </c>
    </row>
    <row r="79" spans="1:13" x14ac:dyDescent="0.25">
      <c r="A79">
        <v>80</v>
      </c>
      <c r="B79" s="91">
        <v>34252</v>
      </c>
      <c r="C79" t="s">
        <v>42</v>
      </c>
      <c r="D79" t="s">
        <v>173</v>
      </c>
      <c r="E79" t="s">
        <v>140</v>
      </c>
      <c r="F79" t="s">
        <v>44</v>
      </c>
      <c r="G79" t="s">
        <v>374</v>
      </c>
      <c r="H79" t="s">
        <v>15</v>
      </c>
      <c r="I79" t="s">
        <v>16</v>
      </c>
      <c r="J79" t="s">
        <v>174</v>
      </c>
      <c r="K79">
        <v>-123.13333333333334</v>
      </c>
      <c r="L79">
        <v>38.436666666666667</v>
      </c>
      <c r="M79" t="s">
        <v>18</v>
      </c>
    </row>
    <row r="80" spans="1:13" x14ac:dyDescent="0.25">
      <c r="A80">
        <v>81</v>
      </c>
      <c r="B80" s="91">
        <v>34272</v>
      </c>
      <c r="C80" t="s">
        <v>97</v>
      </c>
      <c r="D80" t="s">
        <v>175</v>
      </c>
      <c r="E80" t="s">
        <v>76</v>
      </c>
      <c r="F80" t="s">
        <v>14</v>
      </c>
      <c r="G80" t="s">
        <v>443</v>
      </c>
      <c r="H80" t="s">
        <v>15</v>
      </c>
      <c r="I80" t="s">
        <v>16</v>
      </c>
      <c r="J80" t="s">
        <v>176</v>
      </c>
      <c r="K80">
        <v>-124.22666666666667</v>
      </c>
      <c r="L80">
        <v>40.770000000000003</v>
      </c>
      <c r="M80" t="s">
        <v>128</v>
      </c>
    </row>
    <row r="81" spans="1:13" x14ac:dyDescent="0.25">
      <c r="A81">
        <v>82</v>
      </c>
      <c r="B81" s="91">
        <v>34677</v>
      </c>
      <c r="C81" t="s">
        <v>94</v>
      </c>
      <c r="D81" t="s">
        <v>435</v>
      </c>
      <c r="E81" t="s">
        <v>71</v>
      </c>
      <c r="F81" t="s">
        <v>23</v>
      </c>
      <c r="G81" t="s">
        <v>442</v>
      </c>
      <c r="H81" t="s">
        <v>177</v>
      </c>
      <c r="I81" t="s">
        <v>16</v>
      </c>
      <c r="J81" t="s">
        <v>178</v>
      </c>
      <c r="K81">
        <v>-120.73666666666665</v>
      </c>
      <c r="L81">
        <v>34.04</v>
      </c>
      <c r="M81" t="s">
        <v>18</v>
      </c>
    </row>
    <row r="82" spans="1:13" x14ac:dyDescent="0.25">
      <c r="A82">
        <v>83</v>
      </c>
      <c r="B82" s="91">
        <v>34874</v>
      </c>
      <c r="C82" t="s">
        <v>11</v>
      </c>
      <c r="D82" t="s">
        <v>38</v>
      </c>
      <c r="E82" t="s">
        <v>140</v>
      </c>
      <c r="F82" t="s">
        <v>19</v>
      </c>
      <c r="G82" t="s">
        <v>443</v>
      </c>
      <c r="H82" t="s">
        <v>15</v>
      </c>
      <c r="I82" t="s">
        <v>16</v>
      </c>
      <c r="J82" t="s">
        <v>179</v>
      </c>
      <c r="K82">
        <v>-117.48</v>
      </c>
      <c r="L82">
        <v>32.854999999999997</v>
      </c>
      <c r="M82" t="s">
        <v>18</v>
      </c>
    </row>
    <row r="83" spans="1:13" x14ac:dyDescent="0.25">
      <c r="A83">
        <v>84</v>
      </c>
      <c r="B83" s="91">
        <v>34880</v>
      </c>
      <c r="C83" t="s">
        <v>22</v>
      </c>
      <c r="D83" t="s">
        <v>439</v>
      </c>
      <c r="E83" t="s">
        <v>60</v>
      </c>
      <c r="F83" t="s">
        <v>14</v>
      </c>
      <c r="G83" t="s">
        <v>443</v>
      </c>
      <c r="H83">
        <v>40</v>
      </c>
      <c r="I83" s="92" t="s">
        <v>16</v>
      </c>
      <c r="J83" t="s">
        <v>180</v>
      </c>
      <c r="K83">
        <v>-122.02666666666666</v>
      </c>
      <c r="L83">
        <v>36.526666666666664</v>
      </c>
      <c r="M83" t="s">
        <v>18</v>
      </c>
    </row>
    <row r="84" spans="1:13" x14ac:dyDescent="0.25">
      <c r="A84">
        <v>85</v>
      </c>
      <c r="B84" s="91">
        <v>34945</v>
      </c>
      <c r="C84" t="s">
        <v>97</v>
      </c>
      <c r="D84" t="s">
        <v>159</v>
      </c>
      <c r="E84" t="s">
        <v>26</v>
      </c>
      <c r="F84" t="s">
        <v>14</v>
      </c>
      <c r="G84" t="s">
        <v>443</v>
      </c>
      <c r="H84" t="s">
        <v>15</v>
      </c>
      <c r="I84" t="s">
        <v>16</v>
      </c>
      <c r="J84" t="s">
        <v>181</v>
      </c>
      <c r="K84">
        <v>-124.18333333333332</v>
      </c>
      <c r="L84">
        <v>40.028333333333336</v>
      </c>
      <c r="M84" t="s">
        <v>18</v>
      </c>
    </row>
    <row r="85" spans="1:13" x14ac:dyDescent="0.25">
      <c r="A85">
        <v>86</v>
      </c>
      <c r="B85" s="91">
        <v>34970</v>
      </c>
      <c r="C85" t="s">
        <v>52</v>
      </c>
      <c r="D85" t="s">
        <v>182</v>
      </c>
      <c r="E85" t="s">
        <v>76</v>
      </c>
      <c r="F85" t="s">
        <v>19</v>
      </c>
      <c r="G85" t="s">
        <v>443</v>
      </c>
      <c r="H85" t="s">
        <v>15</v>
      </c>
      <c r="I85" t="s">
        <v>16</v>
      </c>
      <c r="J85" t="s">
        <v>183</v>
      </c>
      <c r="K85">
        <v>-122.55333333333331</v>
      </c>
      <c r="L85">
        <v>37.049999999999997</v>
      </c>
      <c r="M85" t="s">
        <v>18</v>
      </c>
    </row>
    <row r="86" spans="1:13" x14ac:dyDescent="0.25">
      <c r="A86">
        <v>87</v>
      </c>
      <c r="B86" s="91">
        <v>35290</v>
      </c>
      <c r="C86" t="s">
        <v>50</v>
      </c>
      <c r="D86" t="s">
        <v>436</v>
      </c>
      <c r="E86" t="s">
        <v>26</v>
      </c>
      <c r="F86" t="s">
        <v>14</v>
      </c>
      <c r="G86" t="s">
        <v>443</v>
      </c>
      <c r="H86">
        <v>18</v>
      </c>
      <c r="I86" t="s">
        <v>16</v>
      </c>
      <c r="J86" t="s">
        <v>184</v>
      </c>
      <c r="K86">
        <v>-123.76499999999996</v>
      </c>
      <c r="L86">
        <v>38.181666666666665</v>
      </c>
      <c r="M86" t="s">
        <v>18</v>
      </c>
    </row>
    <row r="87" spans="1:13" x14ac:dyDescent="0.25">
      <c r="A87">
        <v>88</v>
      </c>
      <c r="B87" s="91">
        <v>35341</v>
      </c>
      <c r="C87" t="s">
        <v>42</v>
      </c>
      <c r="D87" t="s">
        <v>56</v>
      </c>
      <c r="E87" t="s">
        <v>76</v>
      </c>
      <c r="F87" t="s">
        <v>44</v>
      </c>
      <c r="G87" t="s">
        <v>374</v>
      </c>
      <c r="H87" t="s">
        <v>15</v>
      </c>
      <c r="I87" t="s">
        <v>16</v>
      </c>
      <c r="J87" t="s">
        <v>185</v>
      </c>
      <c r="K87">
        <v>-123.176666666667</v>
      </c>
      <c r="L87">
        <v>38.358333333333299</v>
      </c>
      <c r="M87" t="s">
        <v>128</v>
      </c>
    </row>
    <row r="88" spans="1:13" x14ac:dyDescent="0.25">
      <c r="A88">
        <v>89</v>
      </c>
      <c r="B88" s="91">
        <v>35343</v>
      </c>
      <c r="C88" t="s">
        <v>50</v>
      </c>
      <c r="D88" t="s">
        <v>186</v>
      </c>
      <c r="E88" t="s">
        <v>76</v>
      </c>
      <c r="F88" t="s">
        <v>14</v>
      </c>
      <c r="G88" t="s">
        <v>443</v>
      </c>
      <c r="H88" t="s">
        <v>15</v>
      </c>
      <c r="I88" t="s">
        <v>16</v>
      </c>
      <c r="J88" t="s">
        <v>187</v>
      </c>
      <c r="K88">
        <v>-122.97166666666701</v>
      </c>
      <c r="L88">
        <v>38.25</v>
      </c>
      <c r="M88" t="s">
        <v>188</v>
      </c>
    </row>
    <row r="89" spans="1:13" x14ac:dyDescent="0.25">
      <c r="A89">
        <v>90</v>
      </c>
      <c r="B89" s="91">
        <v>35398</v>
      </c>
      <c r="C89" t="s">
        <v>42</v>
      </c>
      <c r="D89" t="s">
        <v>56</v>
      </c>
      <c r="E89" t="s">
        <v>76</v>
      </c>
      <c r="F89" t="s">
        <v>19</v>
      </c>
      <c r="G89" t="s">
        <v>443</v>
      </c>
      <c r="H89" t="s">
        <v>15</v>
      </c>
      <c r="I89" t="s">
        <v>16</v>
      </c>
      <c r="J89" t="s">
        <v>189</v>
      </c>
      <c r="K89">
        <v>-123.276666666667</v>
      </c>
      <c r="L89">
        <v>38.358333333333334</v>
      </c>
      <c r="M89" t="s">
        <v>18</v>
      </c>
    </row>
    <row r="90" spans="1:13" x14ac:dyDescent="0.25">
      <c r="A90">
        <v>91</v>
      </c>
      <c r="B90" s="91">
        <v>35666</v>
      </c>
      <c r="C90" t="s">
        <v>97</v>
      </c>
      <c r="D90" t="s">
        <v>98</v>
      </c>
      <c r="E90" t="s">
        <v>76</v>
      </c>
      <c r="F90" t="s">
        <v>14</v>
      </c>
      <c r="G90" t="s">
        <v>443</v>
      </c>
      <c r="H90" t="s">
        <v>15</v>
      </c>
      <c r="I90" t="s">
        <v>16</v>
      </c>
      <c r="J90" t="s">
        <v>190</v>
      </c>
      <c r="K90">
        <v>-124.31166666666665</v>
      </c>
      <c r="L90">
        <v>41.024999999999999</v>
      </c>
      <c r="M90" t="s">
        <v>18</v>
      </c>
    </row>
    <row r="91" spans="1:13" x14ac:dyDescent="0.25">
      <c r="A91">
        <v>92</v>
      </c>
      <c r="B91" s="91">
        <v>36033</v>
      </c>
      <c r="C91" t="s">
        <v>50</v>
      </c>
      <c r="D91" t="s">
        <v>191</v>
      </c>
      <c r="E91" t="s">
        <v>76</v>
      </c>
      <c r="F91" t="s">
        <v>14</v>
      </c>
      <c r="G91" t="s">
        <v>443</v>
      </c>
      <c r="H91" t="s">
        <v>15</v>
      </c>
      <c r="I91" t="s">
        <v>16</v>
      </c>
      <c r="J91" t="s">
        <v>192</v>
      </c>
      <c r="K91">
        <v>-122.645</v>
      </c>
      <c r="L91">
        <v>37.896666666666668</v>
      </c>
      <c r="M91" t="s">
        <v>18</v>
      </c>
    </row>
    <row r="92" spans="1:13" x14ac:dyDescent="0.25">
      <c r="A92">
        <v>93</v>
      </c>
      <c r="B92" s="91">
        <v>36479</v>
      </c>
      <c r="C92" t="s">
        <v>52</v>
      </c>
      <c r="D92" t="s">
        <v>193</v>
      </c>
      <c r="E92" t="s">
        <v>76</v>
      </c>
      <c r="F92" t="s">
        <v>44</v>
      </c>
      <c r="G92" t="s">
        <v>374</v>
      </c>
      <c r="H92" t="s">
        <v>15</v>
      </c>
      <c r="I92" t="s">
        <v>16</v>
      </c>
      <c r="J92" t="s">
        <v>194</v>
      </c>
      <c r="K92">
        <v>-122.28333000000001</v>
      </c>
      <c r="L92">
        <v>37.095829999999999</v>
      </c>
      <c r="M92" t="s">
        <v>18</v>
      </c>
    </row>
    <row r="93" spans="1:13" x14ac:dyDescent="0.25">
      <c r="A93">
        <v>94</v>
      </c>
      <c r="B93" s="91">
        <v>36798</v>
      </c>
      <c r="C93" t="s">
        <v>66</v>
      </c>
      <c r="D93" t="s">
        <v>437</v>
      </c>
      <c r="E93" t="s">
        <v>76</v>
      </c>
      <c r="F93" t="s">
        <v>44</v>
      </c>
      <c r="G93" t="s">
        <v>374</v>
      </c>
      <c r="H93" t="s">
        <v>15</v>
      </c>
      <c r="I93" t="s">
        <v>16</v>
      </c>
      <c r="J93" t="s">
        <v>196</v>
      </c>
      <c r="K93">
        <v>-122.59899999999999</v>
      </c>
      <c r="L93">
        <v>37.491999999999997</v>
      </c>
      <c r="M93" t="s">
        <v>18</v>
      </c>
    </row>
    <row r="94" spans="1:13" x14ac:dyDescent="0.25">
      <c r="A94">
        <v>95</v>
      </c>
      <c r="B94" s="91">
        <v>36834</v>
      </c>
      <c r="C94" t="s">
        <v>97</v>
      </c>
      <c r="D94" t="s">
        <v>175</v>
      </c>
      <c r="E94" t="s">
        <v>76</v>
      </c>
      <c r="F94" t="s">
        <v>14</v>
      </c>
      <c r="G94" t="s">
        <v>443</v>
      </c>
      <c r="H94" t="s">
        <v>15</v>
      </c>
      <c r="I94" t="s">
        <v>16</v>
      </c>
      <c r="J94" t="s">
        <v>197</v>
      </c>
      <c r="K94">
        <v>-124.32666666666667</v>
      </c>
      <c r="L94">
        <v>40.770000000000003</v>
      </c>
      <c r="M94" t="s">
        <v>128</v>
      </c>
    </row>
    <row r="95" spans="1:13" x14ac:dyDescent="0.25">
      <c r="A95">
        <v>97</v>
      </c>
      <c r="B95" s="91">
        <v>37407</v>
      </c>
      <c r="C95" t="s">
        <v>50</v>
      </c>
      <c r="D95" t="s">
        <v>199</v>
      </c>
      <c r="E95" t="s">
        <v>76</v>
      </c>
      <c r="F95" t="s">
        <v>14</v>
      </c>
      <c r="G95" t="s">
        <v>443</v>
      </c>
      <c r="H95" t="s">
        <v>15</v>
      </c>
      <c r="I95" t="s">
        <v>16</v>
      </c>
      <c r="J95" t="s">
        <v>197</v>
      </c>
      <c r="K95">
        <v>-122.74499999999999</v>
      </c>
      <c r="L95">
        <v>37.896666666666668</v>
      </c>
      <c r="M95" t="s">
        <v>18</v>
      </c>
    </row>
    <row r="96" spans="1:13" x14ac:dyDescent="0.25">
      <c r="A96">
        <v>98</v>
      </c>
      <c r="B96" s="91">
        <v>37520</v>
      </c>
      <c r="C96" t="s">
        <v>97</v>
      </c>
      <c r="D96" t="s">
        <v>98</v>
      </c>
      <c r="E96" t="s">
        <v>76</v>
      </c>
      <c r="F96" t="s">
        <v>44</v>
      </c>
      <c r="G96" t="s">
        <v>374</v>
      </c>
      <c r="H96" t="s">
        <v>15</v>
      </c>
      <c r="I96" t="s">
        <v>16</v>
      </c>
      <c r="J96" t="s">
        <v>200</v>
      </c>
      <c r="K96">
        <v>-124.41166666666665</v>
      </c>
      <c r="L96">
        <v>41.024999999999999</v>
      </c>
      <c r="M96" t="s">
        <v>201</v>
      </c>
    </row>
    <row r="97" spans="1:13" x14ac:dyDescent="0.25">
      <c r="A97">
        <v>99</v>
      </c>
      <c r="B97" s="91">
        <v>37588</v>
      </c>
      <c r="C97" t="s">
        <v>42</v>
      </c>
      <c r="D97" t="s">
        <v>56</v>
      </c>
      <c r="E97" t="s">
        <v>76</v>
      </c>
      <c r="F97" t="s">
        <v>14</v>
      </c>
      <c r="G97" t="s">
        <v>443</v>
      </c>
      <c r="H97" t="s">
        <v>15</v>
      </c>
      <c r="I97" t="s">
        <v>16</v>
      </c>
      <c r="J97" t="s">
        <v>202</v>
      </c>
      <c r="K97">
        <v>-123.37666666666701</v>
      </c>
      <c r="L97">
        <v>38.358333333333334</v>
      </c>
      <c r="M97" t="s">
        <v>18</v>
      </c>
    </row>
    <row r="98" spans="1:13" x14ac:dyDescent="0.25">
      <c r="A98">
        <v>100</v>
      </c>
      <c r="B98" s="91">
        <v>37852</v>
      </c>
      <c r="C98" t="s">
        <v>28</v>
      </c>
      <c r="D98" t="s">
        <v>203</v>
      </c>
      <c r="E98" t="s">
        <v>13</v>
      </c>
      <c r="F98" t="s">
        <v>23</v>
      </c>
      <c r="G98" t="s">
        <v>442</v>
      </c>
      <c r="H98" t="s">
        <v>15</v>
      </c>
      <c r="I98" t="s">
        <v>16</v>
      </c>
      <c r="J98" t="s">
        <v>204</v>
      </c>
      <c r="K98">
        <v>-120.7</v>
      </c>
      <c r="L98">
        <v>35.200000000000003</v>
      </c>
      <c r="M98" t="s">
        <v>205</v>
      </c>
    </row>
    <row r="99" spans="1:13" x14ac:dyDescent="0.25">
      <c r="A99">
        <v>101</v>
      </c>
      <c r="B99" s="91">
        <v>38135</v>
      </c>
      <c r="C99" t="s">
        <v>42</v>
      </c>
      <c r="D99" t="s">
        <v>56</v>
      </c>
      <c r="E99" t="s">
        <v>76</v>
      </c>
      <c r="F99" t="s">
        <v>44</v>
      </c>
      <c r="G99" t="s">
        <v>374</v>
      </c>
      <c r="H99" t="s">
        <v>15</v>
      </c>
      <c r="I99" t="s">
        <v>16</v>
      </c>
      <c r="J99" t="s">
        <v>206</v>
      </c>
      <c r="K99">
        <v>-123.476666666667</v>
      </c>
      <c r="L99">
        <v>38.358333333333334</v>
      </c>
      <c r="M99" t="s">
        <v>207</v>
      </c>
    </row>
    <row r="100" spans="1:13" x14ac:dyDescent="0.25">
      <c r="A100">
        <v>102</v>
      </c>
      <c r="B100" s="91">
        <v>38164</v>
      </c>
      <c r="C100" t="s">
        <v>11</v>
      </c>
      <c r="D100" t="s">
        <v>168</v>
      </c>
      <c r="E100" t="s">
        <v>76</v>
      </c>
      <c r="F100" t="s">
        <v>44</v>
      </c>
      <c r="G100" t="s">
        <v>374</v>
      </c>
      <c r="H100" t="s">
        <v>15</v>
      </c>
      <c r="I100" t="s">
        <v>16</v>
      </c>
      <c r="J100" t="s">
        <v>208</v>
      </c>
      <c r="K100">
        <v>-117.7</v>
      </c>
      <c r="L100">
        <v>33.369999999999997</v>
      </c>
      <c r="M100" t="s">
        <v>209</v>
      </c>
    </row>
    <row r="101" spans="1:13" x14ac:dyDescent="0.25">
      <c r="A101">
        <v>103</v>
      </c>
      <c r="B101" s="91">
        <v>38214</v>
      </c>
      <c r="C101" t="s">
        <v>78</v>
      </c>
      <c r="D101" t="s">
        <v>210</v>
      </c>
      <c r="E101" t="s">
        <v>26</v>
      </c>
      <c r="F101" t="s">
        <v>23</v>
      </c>
      <c r="G101" t="s">
        <v>442</v>
      </c>
      <c r="H101" t="s">
        <v>15</v>
      </c>
      <c r="I101" t="s">
        <v>16</v>
      </c>
      <c r="J101" t="s">
        <v>211</v>
      </c>
      <c r="K101">
        <v>-123.77833333333334</v>
      </c>
      <c r="L101">
        <v>39.578333333333333</v>
      </c>
      <c r="M101" t="s">
        <v>205</v>
      </c>
    </row>
    <row r="102" spans="1:13" x14ac:dyDescent="0.25">
      <c r="A102">
        <v>104</v>
      </c>
      <c r="B102" s="91">
        <v>38219</v>
      </c>
      <c r="C102" t="s">
        <v>123</v>
      </c>
      <c r="D102" t="s">
        <v>212</v>
      </c>
      <c r="E102" t="s">
        <v>76</v>
      </c>
      <c r="F102" t="s">
        <v>19</v>
      </c>
      <c r="G102" t="s">
        <v>443</v>
      </c>
      <c r="H102" t="s">
        <v>15</v>
      </c>
      <c r="I102" t="s">
        <v>16</v>
      </c>
      <c r="J102" t="s">
        <v>213</v>
      </c>
      <c r="K102">
        <v>-117.6198</v>
      </c>
      <c r="L102">
        <v>33.450000000000003</v>
      </c>
      <c r="M102" t="s">
        <v>128</v>
      </c>
    </row>
    <row r="103" spans="1:13" x14ac:dyDescent="0.25">
      <c r="A103">
        <v>105</v>
      </c>
      <c r="B103" s="91">
        <v>38261</v>
      </c>
      <c r="C103" t="s">
        <v>123</v>
      </c>
      <c r="D103" t="s">
        <v>405</v>
      </c>
      <c r="E103" t="s">
        <v>76</v>
      </c>
      <c r="F103" t="s">
        <v>44</v>
      </c>
      <c r="G103" t="s">
        <v>374</v>
      </c>
      <c r="H103" t="s">
        <v>15</v>
      </c>
      <c r="I103" t="s">
        <v>16</v>
      </c>
      <c r="J103" t="s">
        <v>214</v>
      </c>
      <c r="K103">
        <v>-118</v>
      </c>
      <c r="L103">
        <v>33.700000000000003</v>
      </c>
      <c r="M103" t="s">
        <v>128</v>
      </c>
    </row>
    <row r="104" spans="1:13" x14ac:dyDescent="0.25">
      <c r="A104">
        <v>106</v>
      </c>
      <c r="B104" s="91">
        <v>38262</v>
      </c>
      <c r="C104" t="s">
        <v>28</v>
      </c>
      <c r="D104" t="s">
        <v>29</v>
      </c>
      <c r="E104" t="s">
        <v>76</v>
      </c>
      <c r="F104" t="s">
        <v>44</v>
      </c>
      <c r="G104" t="s">
        <v>374</v>
      </c>
      <c r="H104" t="s">
        <v>15</v>
      </c>
      <c r="I104" t="s">
        <v>16</v>
      </c>
      <c r="J104" t="s">
        <v>215</v>
      </c>
      <c r="K104">
        <v>-120.74666666666666</v>
      </c>
      <c r="L104">
        <v>35.138333333333335</v>
      </c>
      <c r="M104" t="s">
        <v>216</v>
      </c>
    </row>
    <row r="105" spans="1:13" x14ac:dyDescent="0.25">
      <c r="A105">
        <v>107</v>
      </c>
      <c r="B105" s="91">
        <v>38270</v>
      </c>
      <c r="C105" t="s">
        <v>50</v>
      </c>
      <c r="D105" t="s">
        <v>217</v>
      </c>
      <c r="E105" t="s">
        <v>76</v>
      </c>
      <c r="F105" t="s">
        <v>19</v>
      </c>
      <c r="G105" t="s">
        <v>443</v>
      </c>
      <c r="H105" t="s">
        <v>15</v>
      </c>
      <c r="I105" t="s">
        <v>16</v>
      </c>
      <c r="J105" t="s">
        <v>218</v>
      </c>
      <c r="K105">
        <v>-122.886</v>
      </c>
      <c r="L105">
        <v>38.024000000000001</v>
      </c>
      <c r="M105" t="s">
        <v>219</v>
      </c>
    </row>
    <row r="106" spans="1:13" x14ac:dyDescent="0.25">
      <c r="A106">
        <v>108</v>
      </c>
      <c r="B106" s="91">
        <v>38302</v>
      </c>
      <c r="C106" t="s">
        <v>97</v>
      </c>
      <c r="D106" t="s">
        <v>175</v>
      </c>
      <c r="E106" t="s">
        <v>76</v>
      </c>
      <c r="F106" t="s">
        <v>14</v>
      </c>
      <c r="G106" t="s">
        <v>443</v>
      </c>
      <c r="H106" t="s">
        <v>15</v>
      </c>
      <c r="I106" t="s">
        <v>16</v>
      </c>
      <c r="J106" t="s">
        <v>220</v>
      </c>
      <c r="K106">
        <v>-124.42666666666666</v>
      </c>
      <c r="L106">
        <v>40.770000000000003</v>
      </c>
      <c r="M106" t="s">
        <v>221</v>
      </c>
    </row>
    <row r="107" spans="1:13" x14ac:dyDescent="0.25">
      <c r="A107">
        <v>109</v>
      </c>
      <c r="B107" s="91">
        <v>38588</v>
      </c>
      <c r="C107" t="s">
        <v>11</v>
      </c>
      <c r="D107" t="s">
        <v>38</v>
      </c>
      <c r="E107" t="s">
        <v>76</v>
      </c>
      <c r="F107" t="s">
        <v>19</v>
      </c>
      <c r="G107" t="s">
        <v>443</v>
      </c>
      <c r="H107" t="s">
        <v>15</v>
      </c>
      <c r="I107" t="s">
        <v>16</v>
      </c>
      <c r="J107" t="s">
        <v>222</v>
      </c>
      <c r="K107">
        <v>-117.58</v>
      </c>
      <c r="L107">
        <v>32.854999999999997</v>
      </c>
      <c r="M107" t="s">
        <v>128</v>
      </c>
    </row>
    <row r="108" spans="1:13" x14ac:dyDescent="0.25">
      <c r="A108">
        <v>110</v>
      </c>
      <c r="B108" s="91">
        <v>38644</v>
      </c>
      <c r="C108" t="s">
        <v>42</v>
      </c>
      <c r="D108" t="s">
        <v>56</v>
      </c>
      <c r="E108" t="s">
        <v>76</v>
      </c>
      <c r="F108" t="s">
        <v>14</v>
      </c>
      <c r="G108" t="s">
        <v>443</v>
      </c>
      <c r="H108" t="s">
        <v>15</v>
      </c>
      <c r="I108" t="s">
        <v>16</v>
      </c>
      <c r="J108" t="s">
        <v>223</v>
      </c>
      <c r="K108">
        <v>-123.57666666666699</v>
      </c>
      <c r="L108">
        <v>38.358333333333334</v>
      </c>
      <c r="M108" t="s">
        <v>224</v>
      </c>
    </row>
    <row r="109" spans="1:13" x14ac:dyDescent="0.25">
      <c r="A109">
        <v>111</v>
      </c>
      <c r="B109" s="91">
        <v>38646</v>
      </c>
      <c r="C109" t="s">
        <v>136</v>
      </c>
      <c r="D109" t="s">
        <v>225</v>
      </c>
      <c r="E109" t="s">
        <v>76</v>
      </c>
      <c r="F109" t="s">
        <v>19</v>
      </c>
      <c r="G109" t="s">
        <v>443</v>
      </c>
      <c r="H109" t="s">
        <v>15</v>
      </c>
      <c r="I109" t="s">
        <v>16</v>
      </c>
      <c r="J109" t="s">
        <v>226</v>
      </c>
      <c r="K109">
        <v>-124.28833333333333</v>
      </c>
      <c r="L109">
        <v>41.561666666666667</v>
      </c>
      <c r="M109" t="s">
        <v>227</v>
      </c>
    </row>
    <row r="110" spans="1:13" x14ac:dyDescent="0.25">
      <c r="A110">
        <v>113</v>
      </c>
      <c r="B110" s="91">
        <v>38658</v>
      </c>
      <c r="C110" t="s">
        <v>35</v>
      </c>
      <c r="D110" t="s">
        <v>231</v>
      </c>
      <c r="E110" t="s">
        <v>76</v>
      </c>
      <c r="F110" t="s">
        <v>44</v>
      </c>
      <c r="G110" t="s">
        <v>374</v>
      </c>
      <c r="H110" t="s">
        <v>15</v>
      </c>
      <c r="I110" t="s">
        <v>16</v>
      </c>
      <c r="J110" t="s">
        <v>232</v>
      </c>
      <c r="K110">
        <v>-122.518</v>
      </c>
      <c r="L110">
        <v>37.74</v>
      </c>
      <c r="M110" t="s">
        <v>233</v>
      </c>
    </row>
    <row r="111" spans="1:13" x14ac:dyDescent="0.25">
      <c r="A111">
        <v>112</v>
      </c>
      <c r="B111" s="91">
        <v>38658</v>
      </c>
      <c r="C111" t="s">
        <v>66</v>
      </c>
      <c r="D111" t="s">
        <v>228</v>
      </c>
      <c r="E111" t="s">
        <v>76</v>
      </c>
      <c r="F111" t="s">
        <v>44</v>
      </c>
      <c r="G111" t="s">
        <v>374</v>
      </c>
      <c r="H111" t="s">
        <v>15</v>
      </c>
      <c r="I111" t="s">
        <v>16</v>
      </c>
      <c r="J111" t="s">
        <v>229</v>
      </c>
      <c r="K111">
        <v>-122.69899999999998</v>
      </c>
      <c r="L111">
        <v>37.491999999999997</v>
      </c>
      <c r="M111" t="s">
        <v>230</v>
      </c>
    </row>
    <row r="112" spans="1:13" x14ac:dyDescent="0.25">
      <c r="A112">
        <v>114</v>
      </c>
      <c r="B112" s="91">
        <v>38735</v>
      </c>
      <c r="C112" t="s">
        <v>52</v>
      </c>
      <c r="D112" t="s">
        <v>52</v>
      </c>
      <c r="E112" t="s">
        <v>76</v>
      </c>
      <c r="F112" t="s">
        <v>44</v>
      </c>
      <c r="G112" t="s">
        <v>374</v>
      </c>
      <c r="H112" t="s">
        <v>15</v>
      </c>
      <c r="I112" t="s">
        <v>16</v>
      </c>
      <c r="J112" t="s">
        <v>234</v>
      </c>
      <c r="K112">
        <v>-122.19499999999999</v>
      </c>
      <c r="L112">
        <v>36.96</v>
      </c>
      <c r="M112" t="s">
        <v>233</v>
      </c>
    </row>
    <row r="113" spans="1:13" x14ac:dyDescent="0.25">
      <c r="A113">
        <v>115</v>
      </c>
      <c r="B113" s="91">
        <v>38885</v>
      </c>
      <c r="C113" t="s">
        <v>22</v>
      </c>
      <c r="D113" t="s">
        <v>22</v>
      </c>
      <c r="E113" t="s">
        <v>60</v>
      </c>
      <c r="F113" t="s">
        <v>44</v>
      </c>
      <c r="G113" t="s">
        <v>374</v>
      </c>
      <c r="H113" t="s">
        <v>235</v>
      </c>
      <c r="I113" t="s">
        <v>16</v>
      </c>
      <c r="J113" t="s">
        <v>236</v>
      </c>
      <c r="K113">
        <v>-121.85</v>
      </c>
      <c r="L113">
        <v>36.626666666666665</v>
      </c>
      <c r="M113" t="s">
        <v>227</v>
      </c>
    </row>
    <row r="114" spans="1:13" x14ac:dyDescent="0.25">
      <c r="A114">
        <v>116</v>
      </c>
      <c r="B114" s="91">
        <v>39061</v>
      </c>
      <c r="C114" t="s">
        <v>50</v>
      </c>
      <c r="D114" t="s">
        <v>186</v>
      </c>
      <c r="E114" t="s">
        <v>76</v>
      </c>
      <c r="F114" t="s">
        <v>19</v>
      </c>
      <c r="G114" t="s">
        <v>443</v>
      </c>
      <c r="H114" t="s">
        <v>15</v>
      </c>
      <c r="I114" t="s">
        <v>16</v>
      </c>
      <c r="J114" t="s">
        <v>237</v>
      </c>
      <c r="K114">
        <v>-123.071666666667</v>
      </c>
      <c r="L114">
        <v>38.25</v>
      </c>
      <c r="M114" t="s">
        <v>207</v>
      </c>
    </row>
    <row r="115" spans="1:13" x14ac:dyDescent="0.25">
      <c r="A115">
        <v>117</v>
      </c>
      <c r="B115" s="91">
        <v>39263</v>
      </c>
      <c r="C115" t="s">
        <v>46</v>
      </c>
      <c r="D115" t="s">
        <v>238</v>
      </c>
      <c r="E115" t="s">
        <v>13</v>
      </c>
      <c r="F115" t="s">
        <v>19</v>
      </c>
      <c r="G115" t="s">
        <v>443</v>
      </c>
      <c r="H115" t="s">
        <v>15</v>
      </c>
      <c r="I115" t="s">
        <v>102</v>
      </c>
      <c r="J115" t="s">
        <v>239</v>
      </c>
      <c r="K115">
        <v>-118.54</v>
      </c>
      <c r="L115">
        <v>34.03</v>
      </c>
      <c r="M115" t="s">
        <v>240</v>
      </c>
    </row>
    <row r="116" spans="1:13" x14ac:dyDescent="0.25">
      <c r="A116">
        <v>118</v>
      </c>
      <c r="B116" s="91">
        <v>39280</v>
      </c>
      <c r="C116" t="s">
        <v>241</v>
      </c>
      <c r="D116" t="s">
        <v>242</v>
      </c>
      <c r="E116" t="s">
        <v>13</v>
      </c>
      <c r="F116" t="s">
        <v>19</v>
      </c>
      <c r="G116" t="s">
        <v>443</v>
      </c>
      <c r="H116" t="s">
        <v>15</v>
      </c>
      <c r="I116" t="s">
        <v>102</v>
      </c>
      <c r="J116" t="s">
        <v>243</v>
      </c>
      <c r="K116">
        <v>-119.39100000000001</v>
      </c>
      <c r="L116">
        <v>34.317999999999998</v>
      </c>
      <c r="M116" t="s">
        <v>244</v>
      </c>
    </row>
    <row r="117" spans="1:13" x14ac:dyDescent="0.25">
      <c r="A117">
        <v>119</v>
      </c>
      <c r="B117" s="91">
        <v>39284</v>
      </c>
      <c r="C117" t="s">
        <v>66</v>
      </c>
      <c r="D117" t="s">
        <v>245</v>
      </c>
      <c r="E117" t="s">
        <v>140</v>
      </c>
      <c r="F117" t="s">
        <v>44</v>
      </c>
      <c r="G117" t="s">
        <v>374</v>
      </c>
      <c r="H117" t="s">
        <v>15</v>
      </c>
      <c r="I117" t="s">
        <v>16</v>
      </c>
      <c r="J117" t="s">
        <v>246</v>
      </c>
      <c r="K117">
        <v>-122.60833333333332</v>
      </c>
      <c r="L117">
        <v>37.19166666666667</v>
      </c>
      <c r="M117" t="s">
        <v>247</v>
      </c>
    </row>
    <row r="118" spans="1:13" x14ac:dyDescent="0.25">
      <c r="A118">
        <v>120</v>
      </c>
      <c r="B118" s="91">
        <v>39285</v>
      </c>
      <c r="C118" t="s">
        <v>46</v>
      </c>
      <c r="D118" t="s">
        <v>139</v>
      </c>
      <c r="E118" t="s">
        <v>112</v>
      </c>
      <c r="F118" t="s">
        <v>44</v>
      </c>
      <c r="G118" t="s">
        <v>374</v>
      </c>
      <c r="H118" t="s">
        <v>15</v>
      </c>
      <c r="I118" t="s">
        <v>16</v>
      </c>
      <c r="J118" t="s">
        <v>248</v>
      </c>
      <c r="K118">
        <v>-118.98333333333299</v>
      </c>
      <c r="L118">
        <v>34.018333333333331</v>
      </c>
      <c r="M118" t="s">
        <v>249</v>
      </c>
    </row>
    <row r="119" spans="1:13" x14ac:dyDescent="0.25">
      <c r="A119">
        <v>121</v>
      </c>
      <c r="B119" s="91">
        <v>39291</v>
      </c>
      <c r="C119" t="s">
        <v>11</v>
      </c>
      <c r="D119" t="s">
        <v>12</v>
      </c>
      <c r="E119" t="s">
        <v>76</v>
      </c>
      <c r="F119" t="s">
        <v>44</v>
      </c>
      <c r="G119" t="s">
        <v>374</v>
      </c>
      <c r="H119" t="s">
        <v>15</v>
      </c>
      <c r="I119" t="s">
        <v>102</v>
      </c>
      <c r="J119" t="s">
        <v>250</v>
      </c>
      <c r="K119">
        <v>-117.34666666666665</v>
      </c>
      <c r="L119">
        <v>32.588333333333331</v>
      </c>
      <c r="M119" t="s">
        <v>251</v>
      </c>
    </row>
    <row r="120" spans="1:13" x14ac:dyDescent="0.25">
      <c r="A120">
        <v>122</v>
      </c>
      <c r="B120" s="91">
        <v>39322</v>
      </c>
      <c r="C120" t="s">
        <v>22</v>
      </c>
      <c r="D120" t="s">
        <v>252</v>
      </c>
      <c r="E120" t="s">
        <v>76</v>
      </c>
      <c r="F120" t="s">
        <v>14</v>
      </c>
      <c r="G120" t="s">
        <v>443</v>
      </c>
      <c r="H120" t="s">
        <v>15</v>
      </c>
      <c r="I120" t="s">
        <v>16</v>
      </c>
      <c r="J120" t="s">
        <v>253</v>
      </c>
      <c r="K120">
        <v>-121.8</v>
      </c>
      <c r="L120">
        <v>36.700000000000003</v>
      </c>
      <c r="M120" t="s">
        <v>254</v>
      </c>
    </row>
    <row r="121" spans="1:13" x14ac:dyDescent="0.25">
      <c r="A121">
        <v>123</v>
      </c>
      <c r="B121" s="91">
        <v>39352</v>
      </c>
      <c r="C121" t="s">
        <v>97</v>
      </c>
      <c r="D121" t="s">
        <v>98</v>
      </c>
      <c r="E121" t="s">
        <v>76</v>
      </c>
      <c r="F121" t="s">
        <v>44</v>
      </c>
      <c r="G121" t="s">
        <v>374</v>
      </c>
      <c r="H121" t="s">
        <v>15</v>
      </c>
      <c r="I121" t="s">
        <v>16</v>
      </c>
      <c r="J121" t="s">
        <v>255</v>
      </c>
      <c r="K121">
        <v>-124.51166666666664</v>
      </c>
      <c r="L121">
        <v>41.024999999999999</v>
      </c>
      <c r="M121" t="s">
        <v>256</v>
      </c>
    </row>
    <row r="122" spans="1:13" x14ac:dyDescent="0.25">
      <c r="A122">
        <v>124</v>
      </c>
      <c r="B122" s="91">
        <v>39355</v>
      </c>
      <c r="C122" t="s">
        <v>46</v>
      </c>
      <c r="D122" t="s">
        <v>257</v>
      </c>
      <c r="E122" t="s">
        <v>76</v>
      </c>
      <c r="F122" t="s">
        <v>19</v>
      </c>
      <c r="G122" t="s">
        <v>443</v>
      </c>
      <c r="H122" t="s">
        <v>15</v>
      </c>
      <c r="I122" t="s">
        <v>102</v>
      </c>
      <c r="J122" t="s">
        <v>258</v>
      </c>
      <c r="K122">
        <v>-118.502</v>
      </c>
      <c r="L122">
        <v>34.003999999999998</v>
      </c>
      <c r="M122" t="s">
        <v>128</v>
      </c>
    </row>
    <row r="123" spans="1:13" x14ac:dyDescent="0.25">
      <c r="A123">
        <v>125</v>
      </c>
      <c r="B123" s="91">
        <v>39362</v>
      </c>
      <c r="C123" t="s">
        <v>46</v>
      </c>
      <c r="D123" t="s">
        <v>259</v>
      </c>
      <c r="E123" t="s">
        <v>76</v>
      </c>
      <c r="F123" t="s">
        <v>19</v>
      </c>
      <c r="G123" t="s">
        <v>443</v>
      </c>
      <c r="H123" t="s">
        <v>15</v>
      </c>
      <c r="I123" t="s">
        <v>260</v>
      </c>
      <c r="J123" t="s">
        <v>261</v>
      </c>
      <c r="K123">
        <v>-118.46899999999999</v>
      </c>
      <c r="L123">
        <v>33.978000000000002</v>
      </c>
      <c r="M123" t="s">
        <v>262</v>
      </c>
    </row>
    <row r="124" spans="1:13" x14ac:dyDescent="0.25">
      <c r="A124">
        <v>126</v>
      </c>
      <c r="B124" s="91">
        <v>39514</v>
      </c>
      <c r="C124" t="s">
        <v>123</v>
      </c>
      <c r="D124" t="s">
        <v>263</v>
      </c>
      <c r="E124" t="s">
        <v>76</v>
      </c>
      <c r="F124" t="s">
        <v>44</v>
      </c>
      <c r="G124" t="s">
        <v>374</v>
      </c>
      <c r="H124" t="s">
        <v>15</v>
      </c>
      <c r="I124" t="s">
        <v>16</v>
      </c>
      <c r="J124" t="s">
        <v>264</v>
      </c>
      <c r="K124">
        <v>-118.1</v>
      </c>
      <c r="L124">
        <v>33.700000000000003</v>
      </c>
      <c r="M124" t="s">
        <v>265</v>
      </c>
    </row>
    <row r="125" spans="1:13" x14ac:dyDescent="0.25">
      <c r="A125">
        <v>127</v>
      </c>
      <c r="B125" s="91">
        <v>39563</v>
      </c>
      <c r="C125" t="s">
        <v>11</v>
      </c>
      <c r="D125" t="s">
        <v>266</v>
      </c>
      <c r="E125" t="s">
        <v>13</v>
      </c>
      <c r="F125" t="s">
        <v>23</v>
      </c>
      <c r="G125" t="s">
        <v>442</v>
      </c>
      <c r="H125" t="s">
        <v>15</v>
      </c>
      <c r="I125" t="s">
        <v>16</v>
      </c>
      <c r="J125" t="s">
        <v>267</v>
      </c>
      <c r="K125">
        <v>-117.3</v>
      </c>
      <c r="L125">
        <v>33</v>
      </c>
      <c r="M125" t="s">
        <v>268</v>
      </c>
    </row>
    <row r="126" spans="1:13" x14ac:dyDescent="0.25">
      <c r="A126">
        <v>128</v>
      </c>
      <c r="B126" s="91">
        <v>39620</v>
      </c>
      <c r="C126" t="s">
        <v>269</v>
      </c>
      <c r="D126" t="s">
        <v>270</v>
      </c>
      <c r="E126" t="s">
        <v>140</v>
      </c>
      <c r="F126" t="s">
        <v>44</v>
      </c>
      <c r="G126" t="s">
        <v>374</v>
      </c>
      <c r="H126" t="s">
        <v>15</v>
      </c>
      <c r="I126" t="s">
        <v>16</v>
      </c>
      <c r="J126" t="s">
        <v>271</v>
      </c>
      <c r="K126">
        <v>-118.41630000000001</v>
      </c>
      <c r="L126">
        <v>33.387900000000002</v>
      </c>
      <c r="M126" t="s">
        <v>265</v>
      </c>
    </row>
    <row r="127" spans="1:13" x14ac:dyDescent="0.25">
      <c r="A127">
        <v>129</v>
      </c>
      <c r="B127" s="91">
        <v>39699</v>
      </c>
      <c r="C127" t="s">
        <v>69</v>
      </c>
      <c r="D127" t="s">
        <v>272</v>
      </c>
      <c r="E127" t="s">
        <v>76</v>
      </c>
      <c r="F127" t="s">
        <v>44</v>
      </c>
      <c r="G127" t="s">
        <v>374</v>
      </c>
      <c r="H127" t="s">
        <v>15</v>
      </c>
      <c r="I127" t="s">
        <v>16</v>
      </c>
      <c r="J127" t="s">
        <v>273</v>
      </c>
      <c r="K127">
        <v>-120.61</v>
      </c>
      <c r="L127">
        <v>34.683</v>
      </c>
      <c r="M127" t="s">
        <v>274</v>
      </c>
    </row>
    <row r="128" spans="1:13" x14ac:dyDescent="0.25">
      <c r="A128">
        <v>130</v>
      </c>
      <c r="B128" s="91">
        <v>39909</v>
      </c>
      <c r="C128" t="s">
        <v>11</v>
      </c>
      <c r="D128" t="s">
        <v>11</v>
      </c>
      <c r="E128" t="s">
        <v>26</v>
      </c>
      <c r="F128" t="s">
        <v>44</v>
      </c>
      <c r="G128" t="s">
        <v>374</v>
      </c>
      <c r="H128" t="s">
        <v>15</v>
      </c>
      <c r="I128" t="s">
        <v>16</v>
      </c>
      <c r="J128" t="s">
        <v>275</v>
      </c>
      <c r="K128">
        <v>-117.274</v>
      </c>
      <c r="L128">
        <v>32.817</v>
      </c>
      <c r="M128" t="s">
        <v>276</v>
      </c>
    </row>
    <row r="129" spans="1:13" x14ac:dyDescent="0.25">
      <c r="A129">
        <v>131</v>
      </c>
      <c r="B129" s="91">
        <v>40050</v>
      </c>
      <c r="C129" t="s">
        <v>11</v>
      </c>
      <c r="D129" t="s">
        <v>409</v>
      </c>
      <c r="E129" t="s">
        <v>13</v>
      </c>
      <c r="F129" t="s">
        <v>19</v>
      </c>
      <c r="G129" t="s">
        <v>443</v>
      </c>
      <c r="H129" t="s">
        <v>15</v>
      </c>
      <c r="I129" t="s">
        <v>16</v>
      </c>
      <c r="J129" t="s">
        <v>277</v>
      </c>
      <c r="K129">
        <v>-117.3</v>
      </c>
      <c r="L129">
        <v>33.1</v>
      </c>
      <c r="M129" t="s">
        <v>278</v>
      </c>
    </row>
    <row r="130" spans="1:13" x14ac:dyDescent="0.25">
      <c r="A130">
        <v>132</v>
      </c>
      <c r="B130" s="91">
        <v>40055</v>
      </c>
      <c r="C130" t="s">
        <v>123</v>
      </c>
      <c r="D130" t="s">
        <v>263</v>
      </c>
      <c r="E130" t="s">
        <v>76</v>
      </c>
      <c r="F130" t="s">
        <v>44</v>
      </c>
      <c r="G130" t="s">
        <v>374</v>
      </c>
      <c r="H130" t="s">
        <v>15</v>
      </c>
      <c r="I130" t="s">
        <v>16</v>
      </c>
      <c r="J130" t="s">
        <v>279</v>
      </c>
      <c r="K130">
        <v>-118.19999999999999</v>
      </c>
      <c r="L130">
        <v>33.700000000000003</v>
      </c>
      <c r="M130" t="s">
        <v>128</v>
      </c>
    </row>
    <row r="131" spans="1:13" x14ac:dyDescent="0.25">
      <c r="A131">
        <v>133</v>
      </c>
      <c r="B131" s="91">
        <v>40110</v>
      </c>
      <c r="C131" t="s">
        <v>11</v>
      </c>
      <c r="D131" t="s">
        <v>168</v>
      </c>
      <c r="E131" t="s">
        <v>76</v>
      </c>
      <c r="F131" t="s">
        <v>19</v>
      </c>
      <c r="G131" t="s">
        <v>443</v>
      </c>
      <c r="H131" t="s">
        <v>15</v>
      </c>
      <c r="I131" t="s">
        <v>102</v>
      </c>
      <c r="J131" t="s">
        <v>280</v>
      </c>
      <c r="K131">
        <v>-117.8</v>
      </c>
      <c r="L131">
        <v>33.369999999999997</v>
      </c>
      <c r="M131" t="s">
        <v>128</v>
      </c>
    </row>
    <row r="132" spans="1:13" x14ac:dyDescent="0.25">
      <c r="A132">
        <v>134</v>
      </c>
      <c r="B132" s="91">
        <v>40122</v>
      </c>
      <c r="C132" t="s">
        <v>52</v>
      </c>
      <c r="D132" t="s">
        <v>152</v>
      </c>
      <c r="E132" t="s">
        <v>76</v>
      </c>
      <c r="F132" t="s">
        <v>44</v>
      </c>
      <c r="G132" t="s">
        <v>374</v>
      </c>
      <c r="H132" t="s">
        <v>15</v>
      </c>
      <c r="I132" t="s">
        <v>16</v>
      </c>
      <c r="J132" t="s">
        <v>281</v>
      </c>
      <c r="K132">
        <v>-122.65333333333331</v>
      </c>
      <c r="L132">
        <v>37.049999999999997</v>
      </c>
      <c r="M132" t="s">
        <v>282</v>
      </c>
    </row>
    <row r="133" spans="1:13" x14ac:dyDescent="0.25">
      <c r="A133">
        <v>135</v>
      </c>
      <c r="B133" s="91">
        <v>40361</v>
      </c>
      <c r="C133" t="s">
        <v>11</v>
      </c>
      <c r="D133" t="s">
        <v>168</v>
      </c>
      <c r="E133" t="s">
        <v>112</v>
      </c>
      <c r="F133" t="s">
        <v>44</v>
      </c>
      <c r="G133" t="s">
        <v>374</v>
      </c>
      <c r="H133" t="s">
        <v>15</v>
      </c>
      <c r="I133" t="s">
        <v>16</v>
      </c>
      <c r="J133" t="s">
        <v>283</v>
      </c>
      <c r="K133">
        <v>-117.9</v>
      </c>
      <c r="L133">
        <v>33.369999999999997</v>
      </c>
      <c r="M133" t="s">
        <v>265</v>
      </c>
    </row>
    <row r="134" spans="1:13" x14ac:dyDescent="0.25">
      <c r="A134">
        <v>136</v>
      </c>
      <c r="B134" s="91">
        <v>40361</v>
      </c>
      <c r="C134" t="s">
        <v>28</v>
      </c>
      <c r="D134" t="s">
        <v>29</v>
      </c>
      <c r="E134" t="s">
        <v>76</v>
      </c>
      <c r="F134" t="s">
        <v>19</v>
      </c>
      <c r="G134" t="s">
        <v>443</v>
      </c>
      <c r="H134" t="s">
        <v>15</v>
      </c>
      <c r="I134" t="s">
        <v>260</v>
      </c>
      <c r="J134" t="s">
        <v>284</v>
      </c>
      <c r="K134">
        <v>-120.84666666666665</v>
      </c>
      <c r="L134">
        <v>35.138333333333335</v>
      </c>
      <c r="M134" t="s">
        <v>285</v>
      </c>
    </row>
    <row r="135" spans="1:13" x14ac:dyDescent="0.25">
      <c r="A135">
        <v>137</v>
      </c>
      <c r="B135" s="91">
        <v>40392</v>
      </c>
      <c r="C135" t="s">
        <v>69</v>
      </c>
      <c r="D135" t="s">
        <v>286</v>
      </c>
      <c r="E135" t="s">
        <v>140</v>
      </c>
      <c r="F135" t="s">
        <v>44</v>
      </c>
      <c r="G135" t="s">
        <v>374</v>
      </c>
      <c r="H135" t="s">
        <v>15</v>
      </c>
      <c r="I135" t="s">
        <v>16</v>
      </c>
      <c r="J135" t="s">
        <v>287</v>
      </c>
      <c r="K135">
        <v>-120.122</v>
      </c>
      <c r="L135">
        <v>34.396999999999998</v>
      </c>
      <c r="M135" t="s">
        <v>288</v>
      </c>
    </row>
    <row r="136" spans="1:13" x14ac:dyDescent="0.25">
      <c r="A136">
        <v>138</v>
      </c>
      <c r="B136" s="91">
        <v>40404</v>
      </c>
      <c r="C136" t="s">
        <v>66</v>
      </c>
      <c r="D136" t="s">
        <v>431</v>
      </c>
      <c r="E136" t="s">
        <v>140</v>
      </c>
      <c r="F136" t="s">
        <v>44</v>
      </c>
      <c r="G136" t="s">
        <v>374</v>
      </c>
      <c r="H136" t="s">
        <v>15</v>
      </c>
      <c r="I136" t="s">
        <v>16</v>
      </c>
      <c r="J136" t="s">
        <v>287</v>
      </c>
      <c r="K136">
        <v>-122.70833333333331</v>
      </c>
      <c r="L136">
        <v>37.19166666666667</v>
      </c>
      <c r="M136" t="s">
        <v>289</v>
      </c>
    </row>
    <row r="137" spans="1:13" x14ac:dyDescent="0.25">
      <c r="A137">
        <v>139</v>
      </c>
      <c r="B137" s="91">
        <v>40473</v>
      </c>
      <c r="C137" t="s">
        <v>69</v>
      </c>
      <c r="D137" t="s">
        <v>272</v>
      </c>
      <c r="E137" t="s">
        <v>76</v>
      </c>
      <c r="F137" t="s">
        <v>23</v>
      </c>
      <c r="G137" t="s">
        <v>442</v>
      </c>
      <c r="H137" t="s">
        <v>15</v>
      </c>
      <c r="I137" t="s">
        <v>16</v>
      </c>
      <c r="J137" t="s">
        <v>192</v>
      </c>
      <c r="K137">
        <v>-120.71</v>
      </c>
      <c r="L137">
        <v>34.683</v>
      </c>
      <c r="M137" t="s">
        <v>290</v>
      </c>
    </row>
    <row r="138" spans="1:13" x14ac:dyDescent="0.25">
      <c r="A138">
        <v>140</v>
      </c>
      <c r="B138" s="91">
        <v>40700</v>
      </c>
      <c r="C138" t="s">
        <v>11</v>
      </c>
      <c r="D138" t="s">
        <v>291</v>
      </c>
      <c r="E138" t="s">
        <v>26</v>
      </c>
      <c r="F138" t="s">
        <v>44</v>
      </c>
      <c r="G138" t="s">
        <v>374</v>
      </c>
      <c r="H138" t="s">
        <v>15</v>
      </c>
      <c r="I138" t="s">
        <v>292</v>
      </c>
      <c r="J138" t="s">
        <v>293</v>
      </c>
      <c r="K138">
        <v>-117.68</v>
      </c>
      <c r="L138">
        <v>32.854999999999997</v>
      </c>
      <c r="M138" t="s">
        <v>294</v>
      </c>
    </row>
    <row r="139" spans="1:13" x14ac:dyDescent="0.25">
      <c r="A139">
        <v>141</v>
      </c>
      <c r="B139" s="91">
        <v>40718</v>
      </c>
      <c r="C139" t="s">
        <v>11</v>
      </c>
      <c r="D139" t="s">
        <v>168</v>
      </c>
      <c r="E139" t="s">
        <v>76</v>
      </c>
      <c r="F139" t="s">
        <v>44</v>
      </c>
      <c r="G139" t="s">
        <v>374</v>
      </c>
      <c r="H139" t="s">
        <v>15</v>
      </c>
      <c r="I139" t="s">
        <v>16</v>
      </c>
      <c r="J139" t="s">
        <v>295</v>
      </c>
      <c r="K139">
        <v>-118</v>
      </c>
      <c r="L139">
        <v>33.369999999999997</v>
      </c>
      <c r="M139" t="s">
        <v>244</v>
      </c>
    </row>
    <row r="140" spans="1:13" x14ac:dyDescent="0.25">
      <c r="A140">
        <v>142</v>
      </c>
      <c r="B140" s="91">
        <v>40797</v>
      </c>
      <c r="C140" t="s">
        <v>97</v>
      </c>
      <c r="D140" t="s">
        <v>296</v>
      </c>
      <c r="E140" t="s">
        <v>76</v>
      </c>
      <c r="F140" t="s">
        <v>44</v>
      </c>
      <c r="G140" t="s">
        <v>374</v>
      </c>
      <c r="H140" t="s">
        <v>15</v>
      </c>
      <c r="I140" t="s">
        <v>16</v>
      </c>
      <c r="J140" t="s">
        <v>297</v>
      </c>
      <c r="K140">
        <v>-124.20399999999999</v>
      </c>
      <c r="L140">
        <v>40.799999999999997</v>
      </c>
      <c r="M140" t="s">
        <v>298</v>
      </c>
    </row>
    <row r="141" spans="1:13" x14ac:dyDescent="0.25">
      <c r="A141">
        <v>143</v>
      </c>
      <c r="B141" s="91">
        <v>40845</v>
      </c>
      <c r="C141" t="s">
        <v>22</v>
      </c>
      <c r="D141" t="s">
        <v>252</v>
      </c>
      <c r="E141" t="s">
        <v>76</v>
      </c>
      <c r="F141" t="s">
        <v>14</v>
      </c>
      <c r="G141" t="s">
        <v>443</v>
      </c>
      <c r="H141" t="s">
        <v>15</v>
      </c>
      <c r="I141" t="s">
        <v>16</v>
      </c>
      <c r="J141" t="s">
        <v>299</v>
      </c>
      <c r="K141">
        <v>-121.9</v>
      </c>
      <c r="L141">
        <v>36.700000000000003</v>
      </c>
      <c r="M141" t="s">
        <v>224</v>
      </c>
    </row>
    <row r="142" spans="1:13" x14ac:dyDescent="0.25">
      <c r="A142">
        <v>144</v>
      </c>
      <c r="B142" s="91">
        <v>40869</v>
      </c>
      <c r="C142" t="s">
        <v>66</v>
      </c>
      <c r="D142" t="s">
        <v>67</v>
      </c>
      <c r="E142" t="s">
        <v>140</v>
      </c>
      <c r="F142" t="s">
        <v>44</v>
      </c>
      <c r="G142" t="s">
        <v>374</v>
      </c>
      <c r="H142" t="s">
        <v>15</v>
      </c>
      <c r="I142" t="s">
        <v>16</v>
      </c>
      <c r="J142" t="s">
        <v>287</v>
      </c>
      <c r="K142">
        <v>-122.80833333333331</v>
      </c>
      <c r="L142">
        <v>37.19166666666667</v>
      </c>
      <c r="M142" t="s">
        <v>278</v>
      </c>
    </row>
    <row r="143" spans="1:13" x14ac:dyDescent="0.25">
      <c r="A143">
        <v>145</v>
      </c>
      <c r="B143" s="91">
        <v>41035</v>
      </c>
      <c r="C143" t="s">
        <v>269</v>
      </c>
      <c r="D143" t="s">
        <v>300</v>
      </c>
      <c r="E143" t="s">
        <v>112</v>
      </c>
      <c r="F143" t="s">
        <v>44</v>
      </c>
      <c r="G143" t="s">
        <v>374</v>
      </c>
      <c r="H143" t="s">
        <v>15</v>
      </c>
      <c r="I143" t="s">
        <v>16</v>
      </c>
      <c r="J143" t="s">
        <v>301</v>
      </c>
      <c r="K143">
        <v>-118.5163</v>
      </c>
      <c r="L143">
        <v>33.387900000000002</v>
      </c>
      <c r="M143" t="s">
        <v>302</v>
      </c>
    </row>
    <row r="144" spans="1:13" x14ac:dyDescent="0.25">
      <c r="A144">
        <v>146</v>
      </c>
      <c r="B144" s="91">
        <v>41041</v>
      </c>
      <c r="C144" t="s">
        <v>28</v>
      </c>
      <c r="D144" t="s">
        <v>410</v>
      </c>
      <c r="E144" t="s">
        <v>140</v>
      </c>
      <c r="F144" t="s">
        <v>44</v>
      </c>
      <c r="G144" t="s">
        <v>374</v>
      </c>
      <c r="H144" t="s">
        <v>15</v>
      </c>
      <c r="I144" t="s">
        <v>16</v>
      </c>
      <c r="J144" t="s">
        <v>174</v>
      </c>
      <c r="K144">
        <v>-121.122</v>
      </c>
      <c r="L144">
        <v>35.582999999999998</v>
      </c>
      <c r="M144" t="s">
        <v>303</v>
      </c>
    </row>
    <row r="145" spans="1:13" x14ac:dyDescent="0.25">
      <c r="A145">
        <v>147</v>
      </c>
      <c r="B145" s="91">
        <v>41097</v>
      </c>
      <c r="C145" t="s">
        <v>52</v>
      </c>
      <c r="D145" t="s">
        <v>304</v>
      </c>
      <c r="E145" t="s">
        <v>140</v>
      </c>
      <c r="F145" t="s">
        <v>44</v>
      </c>
      <c r="G145" t="s">
        <v>374</v>
      </c>
      <c r="H145" t="s">
        <v>15</v>
      </c>
      <c r="I145" t="s">
        <v>16</v>
      </c>
      <c r="J145" t="s">
        <v>305</v>
      </c>
      <c r="K145">
        <v>-121.995</v>
      </c>
      <c r="L145">
        <v>36.96</v>
      </c>
      <c r="M145" t="s">
        <v>306</v>
      </c>
    </row>
    <row r="146" spans="1:13" x14ac:dyDescent="0.25">
      <c r="A146">
        <v>148</v>
      </c>
      <c r="B146" s="91">
        <v>41121</v>
      </c>
      <c r="C146" t="s">
        <v>46</v>
      </c>
      <c r="D146" t="s">
        <v>307</v>
      </c>
      <c r="E146" t="s">
        <v>76</v>
      </c>
      <c r="F146" t="s">
        <v>19</v>
      </c>
      <c r="G146" t="s">
        <v>443</v>
      </c>
      <c r="H146" t="s">
        <v>15</v>
      </c>
      <c r="I146" t="s">
        <v>102</v>
      </c>
      <c r="J146" t="s">
        <v>308</v>
      </c>
      <c r="K146">
        <v>-118.6</v>
      </c>
      <c r="L146">
        <v>34</v>
      </c>
      <c r="M146" t="s">
        <v>128</v>
      </c>
    </row>
    <row r="147" spans="1:13" x14ac:dyDescent="0.25">
      <c r="A147">
        <v>149</v>
      </c>
      <c r="B147" s="91">
        <v>41189</v>
      </c>
      <c r="C147" t="s">
        <v>52</v>
      </c>
      <c r="D147" t="s">
        <v>182</v>
      </c>
      <c r="E147" t="s">
        <v>76</v>
      </c>
      <c r="F147" t="s">
        <v>44</v>
      </c>
      <c r="G147" t="s">
        <v>374</v>
      </c>
      <c r="H147" t="s">
        <v>15</v>
      </c>
      <c r="I147" t="s">
        <v>16</v>
      </c>
      <c r="J147" t="s">
        <v>309</v>
      </c>
      <c r="K147">
        <v>-122.7533333333333</v>
      </c>
      <c r="L147">
        <v>37.049999999999997</v>
      </c>
      <c r="M147" t="s">
        <v>278</v>
      </c>
    </row>
    <row r="148" spans="1:13" x14ac:dyDescent="0.25">
      <c r="A148">
        <v>150</v>
      </c>
      <c r="B148" s="91">
        <v>41205</v>
      </c>
      <c r="C148" t="s">
        <v>69</v>
      </c>
      <c r="D148" t="s">
        <v>272</v>
      </c>
      <c r="E148" t="s">
        <v>76</v>
      </c>
      <c r="F148" t="s">
        <v>23</v>
      </c>
      <c r="G148" t="s">
        <v>442</v>
      </c>
      <c r="H148" t="s">
        <v>15</v>
      </c>
      <c r="I148" t="s">
        <v>16</v>
      </c>
      <c r="J148" t="s">
        <v>310</v>
      </c>
      <c r="K148">
        <v>-120.81</v>
      </c>
      <c r="L148">
        <v>34.683</v>
      </c>
      <c r="M148" t="s">
        <v>311</v>
      </c>
    </row>
    <row r="149" spans="1:13" x14ac:dyDescent="0.25">
      <c r="A149">
        <v>151</v>
      </c>
      <c r="B149" s="91">
        <v>41212</v>
      </c>
      <c r="C149" t="s">
        <v>97</v>
      </c>
      <c r="D149" t="s">
        <v>312</v>
      </c>
      <c r="E149" t="s">
        <v>76</v>
      </c>
      <c r="F149" t="s">
        <v>14</v>
      </c>
      <c r="G149" t="s">
        <v>443</v>
      </c>
      <c r="H149" t="s">
        <v>15</v>
      </c>
      <c r="I149" t="s">
        <v>16</v>
      </c>
      <c r="J149" t="s">
        <v>313</v>
      </c>
      <c r="K149">
        <v>-124.52666666666666</v>
      </c>
      <c r="L149">
        <v>40.770000000000003</v>
      </c>
      <c r="M149" t="s">
        <v>254</v>
      </c>
    </row>
    <row r="150" spans="1:13" x14ac:dyDescent="0.25">
      <c r="A150">
        <v>152</v>
      </c>
      <c r="B150" s="91">
        <v>41450</v>
      </c>
      <c r="C150" t="s">
        <v>66</v>
      </c>
      <c r="D150" t="s">
        <v>501</v>
      </c>
      <c r="E150" t="s">
        <v>140</v>
      </c>
      <c r="F150" t="s">
        <v>44</v>
      </c>
      <c r="G150" t="s">
        <v>374</v>
      </c>
      <c r="H150" t="s">
        <v>15</v>
      </c>
      <c r="I150" t="s">
        <v>16</v>
      </c>
      <c r="J150" t="s">
        <v>315</v>
      </c>
      <c r="K150">
        <v>-122.617</v>
      </c>
      <c r="L150">
        <v>37.596666666666664</v>
      </c>
      <c r="M150" t="s">
        <v>224</v>
      </c>
    </row>
    <row r="151" spans="1:13" x14ac:dyDescent="0.25">
      <c r="A151">
        <v>153</v>
      </c>
      <c r="B151" s="91">
        <v>41503</v>
      </c>
      <c r="C151" t="s">
        <v>66</v>
      </c>
      <c r="D151" t="s">
        <v>195</v>
      </c>
      <c r="E151" t="s">
        <v>76</v>
      </c>
      <c r="F151" t="s">
        <v>44</v>
      </c>
      <c r="G151" t="s">
        <v>374</v>
      </c>
      <c r="H151" t="s">
        <v>15</v>
      </c>
      <c r="I151" t="s">
        <v>16</v>
      </c>
      <c r="J151" t="s">
        <v>316</v>
      </c>
      <c r="K151">
        <v>-122.79899999999998</v>
      </c>
      <c r="L151">
        <v>37.491999999999997</v>
      </c>
      <c r="M151" t="s">
        <v>317</v>
      </c>
    </row>
    <row r="152" spans="1:13" x14ac:dyDescent="0.25">
      <c r="A152">
        <v>154</v>
      </c>
      <c r="B152" s="91">
        <v>41517</v>
      </c>
      <c r="C152" t="s">
        <v>69</v>
      </c>
      <c r="D152" t="s">
        <v>406</v>
      </c>
      <c r="E152" t="s">
        <v>13</v>
      </c>
      <c r="F152" t="s">
        <v>19</v>
      </c>
      <c r="G152" t="s">
        <v>443</v>
      </c>
      <c r="H152" t="s">
        <v>15</v>
      </c>
      <c r="I152" t="s">
        <v>318</v>
      </c>
      <c r="J152" t="s">
        <v>319</v>
      </c>
      <c r="K152">
        <v>-119.64919999999999</v>
      </c>
      <c r="L152">
        <v>34.4176</v>
      </c>
      <c r="M152" t="s">
        <v>320</v>
      </c>
    </row>
    <row r="153" spans="1:13" x14ac:dyDescent="0.25">
      <c r="A153">
        <v>155</v>
      </c>
      <c r="B153" s="91">
        <v>41553</v>
      </c>
      <c r="C153" t="s">
        <v>97</v>
      </c>
      <c r="D153" t="s">
        <v>411</v>
      </c>
      <c r="E153" t="s">
        <v>76</v>
      </c>
      <c r="F153" t="s">
        <v>14</v>
      </c>
      <c r="G153" t="s">
        <v>443</v>
      </c>
      <c r="H153" t="s">
        <v>15</v>
      </c>
      <c r="I153" t="s">
        <v>16</v>
      </c>
      <c r="J153" t="s">
        <v>321</v>
      </c>
      <c r="K153">
        <v>-124.62666666666665</v>
      </c>
      <c r="L153">
        <v>40.770000000000003</v>
      </c>
      <c r="M153" t="s">
        <v>322</v>
      </c>
    </row>
    <row r="154" spans="1:13" x14ac:dyDescent="0.25">
      <c r="A154">
        <v>156</v>
      </c>
      <c r="B154" s="91">
        <v>41825</v>
      </c>
      <c r="C154" t="s">
        <v>28</v>
      </c>
      <c r="D154" t="s">
        <v>412</v>
      </c>
      <c r="E154" t="s">
        <v>76</v>
      </c>
      <c r="F154" t="s">
        <v>44</v>
      </c>
      <c r="G154" t="s">
        <v>374</v>
      </c>
      <c r="H154" t="s">
        <v>15</v>
      </c>
      <c r="I154" t="s">
        <v>16</v>
      </c>
      <c r="J154" t="s">
        <v>323</v>
      </c>
      <c r="K154">
        <v>-120.63500000000001</v>
      </c>
      <c r="L154">
        <v>35.11</v>
      </c>
      <c r="M154" t="s">
        <v>324</v>
      </c>
    </row>
    <row r="155" spans="1:13" x14ac:dyDescent="0.25">
      <c r="A155">
        <v>157</v>
      </c>
      <c r="B155" s="91">
        <v>41895</v>
      </c>
      <c r="C155" t="s">
        <v>52</v>
      </c>
      <c r="D155" t="s">
        <v>519</v>
      </c>
      <c r="E155" t="s">
        <v>76</v>
      </c>
      <c r="F155" t="s">
        <v>44</v>
      </c>
      <c r="G155" t="s">
        <v>374</v>
      </c>
      <c r="H155" t="s">
        <v>15</v>
      </c>
      <c r="I155" t="s">
        <v>16</v>
      </c>
      <c r="J155" t="s">
        <v>325</v>
      </c>
      <c r="K155">
        <v>-122</v>
      </c>
      <c r="L155">
        <v>36.700000000000003</v>
      </c>
      <c r="M155" t="s">
        <v>326</v>
      </c>
    </row>
    <row r="156" spans="1:13" x14ac:dyDescent="0.25">
      <c r="A156">
        <v>158</v>
      </c>
      <c r="B156" s="91">
        <v>41914</v>
      </c>
      <c r="C156" t="s">
        <v>69</v>
      </c>
      <c r="D156" t="s">
        <v>426</v>
      </c>
      <c r="E156" t="s">
        <v>76</v>
      </c>
      <c r="F156" t="s">
        <v>19</v>
      </c>
      <c r="G156" t="s">
        <v>443</v>
      </c>
      <c r="H156" t="s">
        <v>15</v>
      </c>
      <c r="I156" t="s">
        <v>16</v>
      </c>
      <c r="J156" t="s">
        <v>327</v>
      </c>
      <c r="K156">
        <v>-120.64</v>
      </c>
      <c r="L156">
        <v>34.76</v>
      </c>
      <c r="M156" t="s">
        <v>328</v>
      </c>
    </row>
    <row r="157" spans="1:13" x14ac:dyDescent="0.25">
      <c r="A157">
        <v>159</v>
      </c>
      <c r="B157" s="91">
        <v>41915</v>
      </c>
      <c r="C157" t="s">
        <v>69</v>
      </c>
      <c r="D157" t="s">
        <v>426</v>
      </c>
      <c r="E157" t="s">
        <v>140</v>
      </c>
      <c r="F157" t="s">
        <v>44</v>
      </c>
      <c r="G157" t="s">
        <v>374</v>
      </c>
      <c r="H157" t="s">
        <v>15</v>
      </c>
      <c r="I157" t="s">
        <v>16</v>
      </c>
      <c r="J157" t="s">
        <v>329</v>
      </c>
      <c r="K157">
        <v>-120.74</v>
      </c>
      <c r="L157">
        <v>34.76</v>
      </c>
      <c r="M157" t="s">
        <v>330</v>
      </c>
    </row>
    <row r="158" spans="1:13" x14ac:dyDescent="0.25">
      <c r="A158">
        <v>160</v>
      </c>
      <c r="B158" s="91">
        <v>41915</v>
      </c>
      <c r="C158" t="s">
        <v>69</v>
      </c>
      <c r="D158" t="s">
        <v>426</v>
      </c>
      <c r="E158" t="s">
        <v>140</v>
      </c>
      <c r="F158" t="s">
        <v>44</v>
      </c>
      <c r="G158" t="s">
        <v>374</v>
      </c>
      <c r="H158" t="s">
        <v>15</v>
      </c>
      <c r="I158" t="s">
        <v>16</v>
      </c>
      <c r="J158" t="s">
        <v>331</v>
      </c>
      <c r="K158">
        <v>-120.84</v>
      </c>
      <c r="L158">
        <v>34.76</v>
      </c>
      <c r="M158" t="s">
        <v>330</v>
      </c>
    </row>
    <row r="159" spans="1:13" x14ac:dyDescent="0.25">
      <c r="A159">
        <v>161</v>
      </c>
      <c r="B159" s="91">
        <v>41931</v>
      </c>
      <c r="C159" t="s">
        <v>69</v>
      </c>
      <c r="D159" t="s">
        <v>427</v>
      </c>
      <c r="E159" t="s">
        <v>140</v>
      </c>
      <c r="F159" t="s">
        <v>44</v>
      </c>
      <c r="G159" t="s">
        <v>374</v>
      </c>
      <c r="H159" t="s">
        <v>15</v>
      </c>
      <c r="I159" t="s">
        <v>16</v>
      </c>
      <c r="J159" t="s">
        <v>332</v>
      </c>
      <c r="K159">
        <v>-119.70099999999999</v>
      </c>
      <c r="L159">
        <v>34.398000000000003</v>
      </c>
      <c r="M159" t="s">
        <v>328</v>
      </c>
    </row>
    <row r="160" spans="1:13" x14ac:dyDescent="0.25">
      <c r="A160">
        <v>162</v>
      </c>
      <c r="B160" s="91">
        <v>42001</v>
      </c>
      <c r="C160" t="s">
        <v>28</v>
      </c>
      <c r="D160" t="s">
        <v>413</v>
      </c>
      <c r="E160" t="s">
        <v>76</v>
      </c>
      <c r="F160" t="s">
        <v>14</v>
      </c>
      <c r="G160" t="s">
        <v>443</v>
      </c>
      <c r="H160" t="s">
        <v>15</v>
      </c>
      <c r="I160" t="s">
        <v>16</v>
      </c>
      <c r="J160" t="s">
        <v>333</v>
      </c>
      <c r="K160">
        <v>-120.892</v>
      </c>
      <c r="L160">
        <v>35.276000000000003</v>
      </c>
      <c r="M160" t="s">
        <v>324</v>
      </c>
    </row>
    <row r="161" spans="1:13" x14ac:dyDescent="0.25">
      <c r="A161">
        <v>163</v>
      </c>
      <c r="B161" s="91">
        <v>42195</v>
      </c>
      <c r="C161" t="s">
        <v>123</v>
      </c>
      <c r="D161" t="s">
        <v>414</v>
      </c>
      <c r="E161" t="s">
        <v>76</v>
      </c>
      <c r="F161" t="s">
        <v>44</v>
      </c>
      <c r="G161" t="s">
        <v>374</v>
      </c>
      <c r="H161" t="s">
        <v>15</v>
      </c>
      <c r="I161" t="s">
        <v>16</v>
      </c>
      <c r="J161" t="s">
        <v>334</v>
      </c>
      <c r="K161">
        <v>-118.29999999999998</v>
      </c>
      <c r="L161">
        <v>33.700000000000003</v>
      </c>
      <c r="M161" t="s">
        <v>335</v>
      </c>
    </row>
    <row r="162" spans="1:13" x14ac:dyDescent="0.25">
      <c r="A162">
        <v>164</v>
      </c>
      <c r="B162" s="91">
        <v>42234</v>
      </c>
      <c r="C162" t="s">
        <v>69</v>
      </c>
      <c r="D162" t="s">
        <v>415</v>
      </c>
      <c r="E162" t="s">
        <v>140</v>
      </c>
      <c r="F162" t="s">
        <v>44</v>
      </c>
      <c r="G162" t="s">
        <v>374</v>
      </c>
      <c r="H162" t="s">
        <v>15</v>
      </c>
      <c r="I162" t="s">
        <v>16</v>
      </c>
      <c r="J162" t="s">
        <v>336</v>
      </c>
      <c r="K162">
        <v>-120.21</v>
      </c>
      <c r="L162">
        <v>34.366999999999997</v>
      </c>
      <c r="M162" t="s">
        <v>337</v>
      </c>
    </row>
    <row r="163" spans="1:13" x14ac:dyDescent="0.25">
      <c r="A163">
        <v>165</v>
      </c>
      <c r="B163" s="91">
        <v>42245</v>
      </c>
      <c r="C163" t="s">
        <v>28</v>
      </c>
      <c r="D163" t="s">
        <v>416</v>
      </c>
      <c r="E163" t="s">
        <v>76</v>
      </c>
      <c r="F163" t="s">
        <v>44</v>
      </c>
      <c r="G163" t="s">
        <v>374</v>
      </c>
      <c r="H163" t="s">
        <v>15</v>
      </c>
      <c r="I163" t="s">
        <v>16</v>
      </c>
      <c r="J163" t="s">
        <v>323</v>
      </c>
      <c r="K163">
        <v>-121.07499999999999</v>
      </c>
      <c r="L163">
        <v>35.403333333333336</v>
      </c>
      <c r="M163" t="s">
        <v>324</v>
      </c>
    </row>
    <row r="164" spans="1:13" x14ac:dyDescent="0.25">
      <c r="A164">
        <v>166</v>
      </c>
      <c r="B164" s="91">
        <v>42252</v>
      </c>
      <c r="C164" t="s">
        <v>241</v>
      </c>
      <c r="D164" t="s">
        <v>338</v>
      </c>
      <c r="E164" t="s">
        <v>140</v>
      </c>
      <c r="F164" t="s">
        <v>19</v>
      </c>
      <c r="G164" t="s">
        <v>443</v>
      </c>
      <c r="H164" t="s">
        <v>15</v>
      </c>
      <c r="I164" t="s">
        <v>40</v>
      </c>
      <c r="J164" t="s">
        <v>339</v>
      </c>
      <c r="K164">
        <v>-118.9986</v>
      </c>
      <c r="L164">
        <v>34.051400000000001</v>
      </c>
      <c r="M164" t="s">
        <v>289</v>
      </c>
    </row>
    <row r="165" spans="1:13" x14ac:dyDescent="0.25">
      <c r="A165">
        <v>167</v>
      </c>
      <c r="B165" s="91">
        <v>42253</v>
      </c>
      <c r="C165" t="s">
        <v>46</v>
      </c>
      <c r="D165" t="s">
        <v>417</v>
      </c>
      <c r="E165" t="s">
        <v>112</v>
      </c>
      <c r="F165" t="s">
        <v>44</v>
      </c>
      <c r="G165" t="s">
        <v>374</v>
      </c>
      <c r="H165" t="s">
        <v>15</v>
      </c>
      <c r="I165" t="s">
        <v>16</v>
      </c>
      <c r="J165" t="s">
        <v>340</v>
      </c>
      <c r="K165">
        <v>-118.89400000000001</v>
      </c>
      <c r="L165">
        <v>34.037999999999997</v>
      </c>
      <c r="M165" t="s">
        <v>128</v>
      </c>
    </row>
    <row r="166" spans="1:13" x14ac:dyDescent="0.25">
      <c r="A166">
        <v>168</v>
      </c>
      <c r="B166" s="91">
        <v>42267</v>
      </c>
      <c r="C166" t="s">
        <v>578</v>
      </c>
      <c r="D166" t="s">
        <v>584</v>
      </c>
      <c r="E166" t="s">
        <v>26</v>
      </c>
      <c r="F166" t="s">
        <v>19</v>
      </c>
      <c r="G166" t="s">
        <v>443</v>
      </c>
      <c r="H166" t="s">
        <v>15</v>
      </c>
      <c r="I166" t="s">
        <v>40</v>
      </c>
      <c r="J166" t="s">
        <v>585</v>
      </c>
      <c r="K166">
        <v>-119.55</v>
      </c>
      <c r="L166">
        <v>34</v>
      </c>
      <c r="M166" t="s">
        <v>586</v>
      </c>
    </row>
    <row r="167" spans="1:13" x14ac:dyDescent="0.25">
      <c r="A167">
        <v>169</v>
      </c>
      <c r="B167" s="91">
        <v>42271</v>
      </c>
      <c r="C167" t="s">
        <v>69</v>
      </c>
      <c r="D167" t="s">
        <v>418</v>
      </c>
      <c r="E167" t="s">
        <v>140</v>
      </c>
      <c r="F167" t="s">
        <v>19</v>
      </c>
      <c r="G167" t="s">
        <v>443</v>
      </c>
      <c r="H167" t="s">
        <v>15</v>
      </c>
      <c r="I167" t="s">
        <v>16</v>
      </c>
      <c r="J167" t="s">
        <v>341</v>
      </c>
      <c r="K167">
        <v>-119.595</v>
      </c>
      <c r="L167">
        <v>34.417000000000002</v>
      </c>
      <c r="M167" t="s">
        <v>328</v>
      </c>
    </row>
    <row r="168" spans="1:13" x14ac:dyDescent="0.25">
      <c r="A168">
        <v>170</v>
      </c>
      <c r="B168" s="91">
        <v>42519</v>
      </c>
      <c r="C168" t="s">
        <v>123</v>
      </c>
      <c r="D168" t="s">
        <v>419</v>
      </c>
      <c r="E168" t="s">
        <v>13</v>
      </c>
      <c r="F168" t="s">
        <v>14</v>
      </c>
      <c r="G168" t="s">
        <v>443</v>
      </c>
      <c r="H168" t="s">
        <v>15</v>
      </c>
      <c r="I168" t="s">
        <v>16</v>
      </c>
      <c r="J168" t="s">
        <v>342</v>
      </c>
      <c r="K168">
        <v>-117.8755</v>
      </c>
      <c r="L168">
        <v>33.593299999999999</v>
      </c>
      <c r="M168" t="s">
        <v>343</v>
      </c>
    </row>
    <row r="169" spans="1:13" x14ac:dyDescent="0.25">
      <c r="A169">
        <v>171</v>
      </c>
      <c r="B169" s="91">
        <v>42614</v>
      </c>
      <c r="C169" t="s">
        <v>69</v>
      </c>
      <c r="D169" t="s">
        <v>420</v>
      </c>
      <c r="E169" t="s">
        <v>26</v>
      </c>
      <c r="F169" t="s">
        <v>19</v>
      </c>
      <c r="G169" t="s">
        <v>443</v>
      </c>
      <c r="H169" t="s">
        <v>15</v>
      </c>
      <c r="I169" t="s">
        <v>16</v>
      </c>
      <c r="J169" t="s">
        <v>344</v>
      </c>
      <c r="K169">
        <v>-120.075</v>
      </c>
      <c r="L169">
        <v>34.46</v>
      </c>
      <c r="M169" t="s">
        <v>345</v>
      </c>
    </row>
    <row r="170" spans="1:13" x14ac:dyDescent="0.25">
      <c r="A170">
        <v>172</v>
      </c>
      <c r="B170" s="91">
        <v>42630</v>
      </c>
      <c r="C170" t="s">
        <v>97</v>
      </c>
      <c r="D170" t="s">
        <v>421</v>
      </c>
      <c r="E170" t="s">
        <v>76</v>
      </c>
      <c r="F170" t="s">
        <v>44</v>
      </c>
      <c r="G170" t="s">
        <v>374</v>
      </c>
      <c r="H170" t="s">
        <v>15</v>
      </c>
      <c r="I170" t="s">
        <v>16</v>
      </c>
      <c r="J170" t="s">
        <v>346</v>
      </c>
      <c r="K170">
        <v>-124.72666666666665</v>
      </c>
      <c r="L170">
        <v>40.770000000000003</v>
      </c>
      <c r="M170" t="s">
        <v>298</v>
      </c>
    </row>
    <row r="171" spans="1:13" x14ac:dyDescent="0.25">
      <c r="A171">
        <v>173</v>
      </c>
      <c r="B171" s="91">
        <v>42812</v>
      </c>
      <c r="C171" t="s">
        <v>22</v>
      </c>
      <c r="D171" t="s">
        <v>422</v>
      </c>
      <c r="E171" t="s">
        <v>140</v>
      </c>
      <c r="F171" t="s">
        <v>44</v>
      </c>
      <c r="G171" t="s">
        <v>374</v>
      </c>
      <c r="H171" t="s">
        <v>15</v>
      </c>
      <c r="I171" t="s">
        <v>16</v>
      </c>
      <c r="J171" t="s">
        <v>348</v>
      </c>
      <c r="K171">
        <v>-121.95</v>
      </c>
      <c r="L171">
        <v>36.626666666666665</v>
      </c>
      <c r="M171" t="s">
        <v>224</v>
      </c>
    </row>
    <row r="172" spans="1:13" x14ac:dyDescent="0.25">
      <c r="A172">
        <v>174</v>
      </c>
      <c r="B172" s="91">
        <v>42854</v>
      </c>
      <c r="C172" t="s">
        <v>11</v>
      </c>
      <c r="D172" t="s">
        <v>423</v>
      </c>
      <c r="E172" t="s">
        <v>13</v>
      </c>
      <c r="F172" t="s">
        <v>14</v>
      </c>
      <c r="G172" t="s">
        <v>443</v>
      </c>
      <c r="H172" t="s">
        <v>15</v>
      </c>
      <c r="I172" t="s">
        <v>16</v>
      </c>
      <c r="J172" t="s">
        <v>349</v>
      </c>
      <c r="K172">
        <v>-118.1</v>
      </c>
      <c r="L172">
        <v>33.369999999999997</v>
      </c>
      <c r="M172" t="s">
        <v>265</v>
      </c>
    </row>
    <row r="173" spans="1:13" x14ac:dyDescent="0.25">
      <c r="A173">
        <v>175</v>
      </c>
      <c r="B173" s="91">
        <v>42927</v>
      </c>
      <c r="C173" t="s">
        <v>52</v>
      </c>
      <c r="D173" t="s">
        <v>350</v>
      </c>
      <c r="E173" t="s">
        <v>140</v>
      </c>
      <c r="F173" t="s">
        <v>44</v>
      </c>
      <c r="G173" t="s">
        <v>374</v>
      </c>
      <c r="H173" t="s">
        <v>15</v>
      </c>
      <c r="I173" t="s">
        <v>16</v>
      </c>
      <c r="J173" t="s">
        <v>351</v>
      </c>
      <c r="K173">
        <v>-121.895</v>
      </c>
      <c r="L173">
        <v>36.96</v>
      </c>
      <c r="M173" t="s">
        <v>352</v>
      </c>
    </row>
    <row r="174" spans="1:13" x14ac:dyDescent="0.25">
      <c r="A174">
        <v>176</v>
      </c>
      <c r="B174" s="91">
        <v>42936</v>
      </c>
      <c r="C174" t="s">
        <v>69</v>
      </c>
      <c r="D174" t="s">
        <v>424</v>
      </c>
      <c r="E174" t="s">
        <v>112</v>
      </c>
      <c r="F174" t="s">
        <v>44</v>
      </c>
      <c r="G174" t="s">
        <v>374</v>
      </c>
      <c r="H174" t="s">
        <v>15</v>
      </c>
      <c r="I174" t="s">
        <v>16</v>
      </c>
      <c r="J174" t="s">
        <v>353</v>
      </c>
      <c r="K174">
        <v>-119.8</v>
      </c>
      <c r="L174">
        <v>34.398000000000003</v>
      </c>
      <c r="M174" t="s">
        <v>354</v>
      </c>
    </row>
    <row r="175" spans="1:13" x14ac:dyDescent="0.25">
      <c r="A175">
        <v>177</v>
      </c>
      <c r="B175" s="91">
        <v>42936</v>
      </c>
      <c r="C175" t="s">
        <v>69</v>
      </c>
      <c r="D175" t="s">
        <v>425</v>
      </c>
      <c r="E175" t="s">
        <v>140</v>
      </c>
      <c r="F175" t="s">
        <v>44</v>
      </c>
      <c r="G175" t="s">
        <v>374</v>
      </c>
      <c r="H175" t="s">
        <v>15</v>
      </c>
      <c r="I175" t="s">
        <v>16</v>
      </c>
      <c r="J175" t="s">
        <v>355</v>
      </c>
      <c r="K175">
        <v>-119.9</v>
      </c>
      <c r="L175">
        <v>34.398000000000003</v>
      </c>
      <c r="M175" t="s">
        <v>354</v>
      </c>
    </row>
    <row r="176" spans="1:13" x14ac:dyDescent="0.25">
      <c r="A176">
        <v>178</v>
      </c>
      <c r="B176" s="91">
        <v>42948</v>
      </c>
      <c r="C176" t="s">
        <v>66</v>
      </c>
      <c r="D176" t="s">
        <v>245</v>
      </c>
      <c r="E176" t="s">
        <v>140</v>
      </c>
      <c r="F176" t="s">
        <v>44</v>
      </c>
      <c r="G176" t="s">
        <v>374</v>
      </c>
      <c r="H176" t="s">
        <v>15</v>
      </c>
      <c r="I176" t="s">
        <v>16</v>
      </c>
      <c r="J176" t="s">
        <v>445</v>
      </c>
      <c r="K176">
        <v>-122.9083333</v>
      </c>
      <c r="L176">
        <v>37.19166666666667</v>
      </c>
      <c r="M176" t="s">
        <v>230</v>
      </c>
    </row>
    <row r="177" spans="1:13" x14ac:dyDescent="0.25">
      <c r="A177">
        <v>179</v>
      </c>
      <c r="B177" s="94">
        <v>43063</v>
      </c>
      <c r="C177" t="s">
        <v>22</v>
      </c>
      <c r="D177" t="s">
        <v>453</v>
      </c>
      <c r="E177" t="s">
        <v>26</v>
      </c>
      <c r="F177" t="s">
        <v>14</v>
      </c>
      <c r="G177" t="s">
        <v>443</v>
      </c>
      <c r="H177" t="s">
        <v>15</v>
      </c>
      <c r="I177" t="s">
        <v>16</v>
      </c>
      <c r="J177" t="s">
        <v>454</v>
      </c>
      <c r="K177">
        <v>-121.94237219999999</v>
      </c>
      <c r="L177">
        <v>36.564250000000001</v>
      </c>
      <c r="M177" t="s">
        <v>455</v>
      </c>
    </row>
    <row r="178" spans="1:13" x14ac:dyDescent="0.25">
      <c r="A178">
        <v>180</v>
      </c>
      <c r="B178" s="94">
        <v>43099</v>
      </c>
      <c r="C178" t="s">
        <v>50</v>
      </c>
      <c r="D178" t="s">
        <v>456</v>
      </c>
      <c r="E178" t="s">
        <v>76</v>
      </c>
      <c r="F178" t="s">
        <v>19</v>
      </c>
      <c r="G178" t="s">
        <v>443</v>
      </c>
      <c r="H178" t="s">
        <v>15</v>
      </c>
      <c r="I178" t="s">
        <v>16</v>
      </c>
      <c r="J178" t="s">
        <v>457</v>
      </c>
      <c r="K178">
        <v>-122.9417</v>
      </c>
      <c r="L178">
        <v>38.027799999999999</v>
      </c>
      <c r="M178" t="s">
        <v>458</v>
      </c>
    </row>
    <row r="179" spans="1:13" x14ac:dyDescent="0.25">
      <c r="A179">
        <v>181</v>
      </c>
      <c r="B179" s="91">
        <v>43276</v>
      </c>
      <c r="C179" t="s">
        <v>11</v>
      </c>
      <c r="D179" t="s">
        <v>462</v>
      </c>
      <c r="E179" t="s">
        <v>140</v>
      </c>
      <c r="F179" t="s">
        <v>44</v>
      </c>
      <c r="G179" t="s">
        <v>374</v>
      </c>
      <c r="H179" t="s">
        <v>15</v>
      </c>
      <c r="I179" t="s">
        <v>102</v>
      </c>
      <c r="J179" t="s">
        <v>332</v>
      </c>
      <c r="K179">
        <v>-117.430831</v>
      </c>
      <c r="L179">
        <v>33.187739000000001</v>
      </c>
      <c r="M179" t="s">
        <v>463</v>
      </c>
    </row>
    <row r="180" spans="1:13" x14ac:dyDescent="0.25">
      <c r="A180">
        <v>182</v>
      </c>
      <c r="B180" s="91">
        <v>43336</v>
      </c>
      <c r="C180" t="s">
        <v>123</v>
      </c>
      <c r="D180" t="s">
        <v>263</v>
      </c>
      <c r="E180" t="s">
        <v>13</v>
      </c>
      <c r="F180" t="s">
        <v>44</v>
      </c>
      <c r="G180" t="s">
        <v>374</v>
      </c>
      <c r="H180" t="s">
        <v>15</v>
      </c>
      <c r="I180" t="s">
        <v>16</v>
      </c>
      <c r="J180" t="s">
        <v>470</v>
      </c>
      <c r="K180">
        <v>-118.4</v>
      </c>
      <c r="L180">
        <v>33.700000000000003</v>
      </c>
      <c r="M180" t="s">
        <v>471</v>
      </c>
    </row>
    <row r="181" spans="1:13" x14ac:dyDescent="0.25">
      <c r="A181">
        <v>183</v>
      </c>
      <c r="B181" s="94">
        <v>43372</v>
      </c>
      <c r="C181" t="s">
        <v>11</v>
      </c>
      <c r="D181" t="s">
        <v>474</v>
      </c>
      <c r="E181" t="s">
        <v>26</v>
      </c>
      <c r="F181" t="s">
        <v>14</v>
      </c>
      <c r="G181" t="s">
        <v>443</v>
      </c>
      <c r="H181" t="s">
        <v>15</v>
      </c>
      <c r="I181" t="s">
        <v>16</v>
      </c>
      <c r="J181" t="s">
        <v>476</v>
      </c>
      <c r="K181">
        <v>-117.3047</v>
      </c>
      <c r="L181">
        <v>33.065199999999997</v>
      </c>
      <c r="M181" t="s">
        <v>475</v>
      </c>
    </row>
    <row r="182" spans="1:13" x14ac:dyDescent="0.25">
      <c r="A182">
        <v>184</v>
      </c>
      <c r="B182" s="94">
        <v>43396</v>
      </c>
      <c r="C182" t="s">
        <v>58</v>
      </c>
      <c r="D182" t="s">
        <v>59</v>
      </c>
      <c r="E182" t="s">
        <v>60</v>
      </c>
      <c r="F182" t="s">
        <v>14</v>
      </c>
      <c r="G182" t="s">
        <v>443</v>
      </c>
      <c r="H182" t="s">
        <v>477</v>
      </c>
      <c r="I182" t="s">
        <v>16</v>
      </c>
      <c r="J182" t="s">
        <v>478</v>
      </c>
      <c r="K182">
        <v>-123.631666666667</v>
      </c>
      <c r="L182">
        <v>37.72</v>
      </c>
      <c r="M182" t="s">
        <v>479</v>
      </c>
    </row>
    <row r="183" spans="1:13" x14ac:dyDescent="0.25">
      <c r="A183">
        <v>185</v>
      </c>
      <c r="B183" s="94">
        <v>43473</v>
      </c>
      <c r="C183" t="s">
        <v>28</v>
      </c>
      <c r="D183" t="s">
        <v>413</v>
      </c>
      <c r="E183" t="s">
        <v>76</v>
      </c>
      <c r="F183" t="s">
        <v>14</v>
      </c>
      <c r="G183" t="s">
        <v>443</v>
      </c>
      <c r="H183" t="s">
        <v>15</v>
      </c>
      <c r="I183" t="s">
        <v>16</v>
      </c>
      <c r="J183" t="s">
        <v>481</v>
      </c>
      <c r="K183">
        <v>-120.992</v>
      </c>
      <c r="L183">
        <v>35.276000000000003</v>
      </c>
      <c r="M183" t="s">
        <v>482</v>
      </c>
    </row>
    <row r="184" spans="1:13" x14ac:dyDescent="0.25">
      <c r="A184">
        <v>186</v>
      </c>
      <c r="B184" s="94">
        <v>43592</v>
      </c>
      <c r="C184" t="s">
        <v>42</v>
      </c>
      <c r="D184" t="s">
        <v>56</v>
      </c>
      <c r="E184" t="s">
        <v>76</v>
      </c>
      <c r="F184" t="s">
        <v>44</v>
      </c>
      <c r="G184" t="s">
        <v>374</v>
      </c>
      <c r="H184" t="s">
        <v>15</v>
      </c>
      <c r="I184" t="s">
        <v>16</v>
      </c>
      <c r="J184" t="s">
        <v>485</v>
      </c>
      <c r="K184">
        <v>-123.676666666667</v>
      </c>
      <c r="L184">
        <v>38.358333333333334</v>
      </c>
      <c r="M184" t="s">
        <v>486</v>
      </c>
    </row>
    <row r="185" spans="1:13" x14ac:dyDescent="0.25">
      <c r="A185">
        <v>187</v>
      </c>
      <c r="B185" s="94">
        <v>43709</v>
      </c>
      <c r="C185" t="s">
        <v>11</v>
      </c>
      <c r="D185" t="s">
        <v>266</v>
      </c>
      <c r="E185" t="s">
        <v>76</v>
      </c>
      <c r="F185" t="s">
        <v>44</v>
      </c>
      <c r="G185" t="s">
        <v>374</v>
      </c>
      <c r="H185" t="s">
        <v>15</v>
      </c>
      <c r="I185" t="s">
        <v>488</v>
      </c>
      <c r="J185" t="s">
        <v>489</v>
      </c>
      <c r="K185">
        <v>-117.4</v>
      </c>
      <c r="L185">
        <v>33</v>
      </c>
      <c r="M185" t="s">
        <v>490</v>
      </c>
    </row>
    <row r="186" spans="1:13" x14ac:dyDescent="0.25">
      <c r="A186">
        <v>188</v>
      </c>
      <c r="B186" s="94">
        <v>43743</v>
      </c>
      <c r="C186" t="s">
        <v>269</v>
      </c>
      <c r="D186" t="s">
        <v>491</v>
      </c>
      <c r="E186" t="s">
        <v>140</v>
      </c>
      <c r="F186" t="s">
        <v>44</v>
      </c>
      <c r="G186" t="s">
        <v>374</v>
      </c>
      <c r="H186" t="s">
        <v>15</v>
      </c>
      <c r="I186" t="s">
        <v>16</v>
      </c>
      <c r="J186" t="s">
        <v>492</v>
      </c>
      <c r="K186">
        <v>-118.49169999999999</v>
      </c>
      <c r="L186">
        <v>33.462499999999999</v>
      </c>
      <c r="M186" t="s">
        <v>493</v>
      </c>
    </row>
    <row r="187" spans="1:13" x14ac:dyDescent="0.25">
      <c r="A187">
        <v>189</v>
      </c>
      <c r="B187" s="94">
        <v>43820</v>
      </c>
      <c r="C187" t="s">
        <v>494</v>
      </c>
      <c r="D187" t="s">
        <v>495</v>
      </c>
      <c r="E187" t="s">
        <v>76</v>
      </c>
      <c r="F187" t="s">
        <v>14</v>
      </c>
      <c r="G187" t="s">
        <v>443</v>
      </c>
      <c r="H187" t="s">
        <v>15</v>
      </c>
      <c r="I187" t="s">
        <v>16</v>
      </c>
      <c r="J187" t="s">
        <v>496</v>
      </c>
      <c r="K187">
        <v>-120.23333</v>
      </c>
      <c r="L187">
        <v>34.016669999999998</v>
      </c>
      <c r="M187" t="s">
        <v>497</v>
      </c>
    </row>
    <row r="188" spans="1:13" x14ac:dyDescent="0.25">
      <c r="A188">
        <v>190</v>
      </c>
      <c r="B188" s="94">
        <v>43917</v>
      </c>
      <c r="C188" t="s">
        <v>52</v>
      </c>
      <c r="D188" t="s">
        <v>304</v>
      </c>
      <c r="E188" t="s">
        <v>112</v>
      </c>
      <c r="F188" t="s">
        <v>44</v>
      </c>
      <c r="G188" t="s">
        <v>374</v>
      </c>
      <c r="H188" t="s">
        <v>15</v>
      </c>
      <c r="I188" t="s">
        <v>16</v>
      </c>
      <c r="J188" t="s">
        <v>508</v>
      </c>
      <c r="K188">
        <v>-122.095</v>
      </c>
      <c r="L188">
        <v>36.96</v>
      </c>
      <c r="M188" t="s">
        <v>509</v>
      </c>
    </row>
    <row r="189" spans="1:13" x14ac:dyDescent="0.25">
      <c r="A189">
        <v>191</v>
      </c>
      <c r="B189" s="94">
        <v>43952</v>
      </c>
      <c r="C189" t="s">
        <v>69</v>
      </c>
      <c r="D189" t="s">
        <v>513</v>
      </c>
      <c r="E189" t="s">
        <v>13</v>
      </c>
      <c r="F189" t="s">
        <v>19</v>
      </c>
      <c r="G189" t="s">
        <v>443</v>
      </c>
      <c r="H189" t="s">
        <v>15</v>
      </c>
      <c r="I189" t="s">
        <v>16</v>
      </c>
      <c r="J189" t="s">
        <v>514</v>
      </c>
      <c r="K189">
        <v>-119.69499999999999</v>
      </c>
      <c r="L189">
        <v>34.413330000000002</v>
      </c>
      <c r="M189" t="s">
        <v>515</v>
      </c>
    </row>
    <row r="190" spans="1:13" x14ac:dyDescent="0.25">
      <c r="A190">
        <v>192</v>
      </c>
      <c r="B190" s="94">
        <v>43960</v>
      </c>
      <c r="C190" t="s">
        <v>52</v>
      </c>
      <c r="D190" t="s">
        <v>516</v>
      </c>
      <c r="E190" t="s">
        <v>76</v>
      </c>
      <c r="F190" t="s">
        <v>23</v>
      </c>
      <c r="G190" t="s">
        <v>442</v>
      </c>
      <c r="H190" t="s">
        <v>15</v>
      </c>
      <c r="I190" t="s">
        <v>16</v>
      </c>
      <c r="J190" t="s">
        <v>518</v>
      </c>
      <c r="K190">
        <v>-121.8558</v>
      </c>
      <c r="L190">
        <v>36.919966000000002</v>
      </c>
      <c r="M190" t="s">
        <v>517</v>
      </c>
    </row>
    <row r="191" spans="1:13" x14ac:dyDescent="0.25">
      <c r="A191">
        <v>193</v>
      </c>
      <c r="B191" s="94">
        <v>43976</v>
      </c>
      <c r="C191" t="s">
        <v>97</v>
      </c>
      <c r="D191" t="s">
        <v>159</v>
      </c>
      <c r="E191" t="s">
        <v>140</v>
      </c>
      <c r="F191" t="s">
        <v>44</v>
      </c>
      <c r="G191" t="s">
        <v>374</v>
      </c>
      <c r="H191" t="s">
        <v>15</v>
      </c>
      <c r="I191" t="s">
        <v>575</v>
      </c>
      <c r="J191" t="s">
        <v>576</v>
      </c>
      <c r="K191">
        <v>-124.283333</v>
      </c>
      <c r="L191">
        <v>40.028333000000003</v>
      </c>
      <c r="M191" t="s">
        <v>577</v>
      </c>
    </row>
    <row r="192" spans="1:13" x14ac:dyDescent="0.25">
      <c r="A192">
        <v>194</v>
      </c>
      <c r="B192" s="94">
        <v>44001</v>
      </c>
      <c r="C192" t="s">
        <v>578</v>
      </c>
      <c r="D192" t="s">
        <v>579</v>
      </c>
      <c r="E192" t="s">
        <v>60</v>
      </c>
      <c r="F192" t="s">
        <v>44</v>
      </c>
      <c r="G192" t="s">
        <v>374</v>
      </c>
      <c r="H192" t="s">
        <v>580</v>
      </c>
      <c r="I192" t="s">
        <v>16</v>
      </c>
      <c r="J192" t="s">
        <v>581</v>
      </c>
      <c r="K192">
        <v>-119.5202778</v>
      </c>
      <c r="L192">
        <v>34.034166669999998</v>
      </c>
      <c r="M192" t="s">
        <v>582</v>
      </c>
    </row>
    <row r="193" spans="1:13" x14ac:dyDescent="0.25">
      <c r="A193">
        <v>195</v>
      </c>
      <c r="B193" s="94">
        <v>44055</v>
      </c>
      <c r="C193" t="s">
        <v>46</v>
      </c>
      <c r="D193" t="s">
        <v>587</v>
      </c>
      <c r="E193" t="s">
        <v>26</v>
      </c>
      <c r="F193" t="s">
        <v>19</v>
      </c>
      <c r="G193" t="s">
        <v>443</v>
      </c>
      <c r="H193" t="s">
        <v>15</v>
      </c>
      <c r="I193" t="s">
        <v>16</v>
      </c>
      <c r="J193" t="s">
        <v>588</v>
      </c>
      <c r="K193">
        <v>-118.4089628</v>
      </c>
      <c r="L193">
        <v>33.79</v>
      </c>
      <c r="M193" t="s">
        <v>589</v>
      </c>
    </row>
    <row r="194" spans="1:13" x14ac:dyDescent="0.25">
      <c r="A194">
        <v>196</v>
      </c>
      <c r="B194" s="94">
        <v>44071</v>
      </c>
      <c r="C194" t="s">
        <v>97</v>
      </c>
      <c r="D194" t="s">
        <v>159</v>
      </c>
      <c r="E194" t="s">
        <v>140</v>
      </c>
      <c r="F194" t="s">
        <v>44</v>
      </c>
      <c r="G194" t="s">
        <v>374</v>
      </c>
      <c r="H194" t="s">
        <v>15</v>
      </c>
      <c r="I194" t="s">
        <v>16</v>
      </c>
      <c r="J194" t="s">
        <v>591</v>
      </c>
      <c r="K194">
        <v>-124.38333299999999</v>
      </c>
      <c r="L194">
        <v>40.028333000000003</v>
      </c>
      <c r="M194" t="s">
        <v>592</v>
      </c>
    </row>
    <row r="195" spans="1:13" x14ac:dyDescent="0.25">
      <c r="A195">
        <v>197</v>
      </c>
      <c r="B195" s="94">
        <v>44195</v>
      </c>
      <c r="C195" t="s">
        <v>11</v>
      </c>
      <c r="D195" t="s">
        <v>593</v>
      </c>
      <c r="E195" t="s">
        <v>13</v>
      </c>
      <c r="F195" t="s">
        <v>44</v>
      </c>
      <c r="G195" t="s">
        <v>374</v>
      </c>
      <c r="H195" t="s">
        <v>15</v>
      </c>
      <c r="I195" t="s">
        <v>16</v>
      </c>
      <c r="J195" t="s">
        <v>594</v>
      </c>
      <c r="K195">
        <v>-117.316667</v>
      </c>
      <c r="L195">
        <v>32.685000000000002</v>
      </c>
      <c r="M195" t="s">
        <v>595</v>
      </c>
    </row>
    <row r="196" spans="1:13" x14ac:dyDescent="0.25">
      <c r="A196">
        <v>198</v>
      </c>
      <c r="B196" s="94">
        <v>44008</v>
      </c>
      <c r="C196" t="s">
        <v>66</v>
      </c>
      <c r="D196" t="s">
        <v>606</v>
      </c>
      <c r="E196" t="s">
        <v>26</v>
      </c>
      <c r="F196" t="s">
        <v>14</v>
      </c>
      <c r="G196" t="s">
        <v>443</v>
      </c>
      <c r="H196" t="s">
        <v>15</v>
      </c>
      <c r="I196" t="s">
        <v>16</v>
      </c>
      <c r="J196" t="s">
        <v>607</v>
      </c>
      <c r="K196">
        <v>-122.615003</v>
      </c>
      <c r="L196">
        <v>37.564967000000003</v>
      </c>
      <c r="M196" t="s">
        <v>608</v>
      </c>
    </row>
    <row r="197" spans="1:13" x14ac:dyDescent="0.25">
      <c r="A197">
        <v>199</v>
      </c>
      <c r="B197" s="94">
        <v>44377</v>
      </c>
      <c r="C197" t="s">
        <v>269</v>
      </c>
      <c r="D197" t="s">
        <v>611</v>
      </c>
      <c r="E197" t="s">
        <v>140</v>
      </c>
      <c r="F197" t="s">
        <v>19</v>
      </c>
      <c r="G197" t="s">
        <v>443</v>
      </c>
      <c r="H197" t="s">
        <v>15</v>
      </c>
      <c r="I197" t="s">
        <v>16</v>
      </c>
      <c r="J197" t="s">
        <v>612</v>
      </c>
      <c r="K197">
        <v>-118.55</v>
      </c>
      <c r="L197">
        <v>33.47</v>
      </c>
      <c r="M197" t="s">
        <v>610</v>
      </c>
    </row>
    <row r="198" spans="1:13" x14ac:dyDescent="0.25">
      <c r="A198">
        <v>200</v>
      </c>
      <c r="B198" s="94">
        <v>44382</v>
      </c>
      <c r="C198" t="s">
        <v>28</v>
      </c>
      <c r="D198" t="s">
        <v>613</v>
      </c>
      <c r="E198" t="s">
        <v>140</v>
      </c>
      <c r="F198" t="s">
        <v>44</v>
      </c>
      <c r="G198" t="s">
        <v>374</v>
      </c>
      <c r="H198" t="s">
        <v>15</v>
      </c>
      <c r="I198" t="s">
        <v>16</v>
      </c>
      <c r="J198" t="s">
        <v>614</v>
      </c>
      <c r="K198">
        <v>-121.22199999999999</v>
      </c>
      <c r="L198">
        <v>35.582999999999998</v>
      </c>
      <c r="M198" t="s">
        <v>615</v>
      </c>
    </row>
    <row r="199" spans="1:13" x14ac:dyDescent="0.25">
      <c r="A199">
        <v>201</v>
      </c>
      <c r="B199" s="94">
        <v>44399</v>
      </c>
      <c r="C199" t="s">
        <v>22</v>
      </c>
      <c r="D199" t="s">
        <v>618</v>
      </c>
      <c r="E199" t="s">
        <v>76</v>
      </c>
      <c r="F199" t="s">
        <v>44</v>
      </c>
      <c r="G199" t="s">
        <v>374</v>
      </c>
      <c r="H199" t="s">
        <v>15</v>
      </c>
      <c r="I199" t="s">
        <v>102</v>
      </c>
      <c r="J199" t="s">
        <v>622</v>
      </c>
      <c r="K199">
        <v>-121.79170000000001</v>
      </c>
      <c r="L199">
        <v>36.807600000000001</v>
      </c>
      <c r="M199" t="s">
        <v>621</v>
      </c>
    </row>
    <row r="200" spans="1:13" x14ac:dyDescent="0.25">
      <c r="A200">
        <v>202</v>
      </c>
      <c r="B200" s="94">
        <v>44472</v>
      </c>
      <c r="C200" t="s">
        <v>42</v>
      </c>
      <c r="D200" t="s">
        <v>56</v>
      </c>
      <c r="E200" t="s">
        <v>76</v>
      </c>
      <c r="F200" t="s">
        <v>14</v>
      </c>
      <c r="G200" t="s">
        <v>443</v>
      </c>
      <c r="H200" t="s">
        <v>15</v>
      </c>
      <c r="I200" t="s">
        <v>16</v>
      </c>
      <c r="J200" t="s">
        <v>623</v>
      </c>
      <c r="K200">
        <v>-123.77666670000001</v>
      </c>
      <c r="L200">
        <v>38.358333330000001</v>
      </c>
      <c r="M200" t="s">
        <v>624</v>
      </c>
    </row>
    <row r="201" spans="1:13" x14ac:dyDescent="0.25">
      <c r="A201">
        <v>203</v>
      </c>
      <c r="B201" s="94">
        <v>44552</v>
      </c>
      <c r="C201" t="s">
        <v>42</v>
      </c>
      <c r="D201" t="s">
        <v>56</v>
      </c>
      <c r="E201" t="s">
        <v>76</v>
      </c>
      <c r="F201" t="s">
        <v>44</v>
      </c>
      <c r="G201" t="s">
        <v>374</v>
      </c>
      <c r="H201" t="s">
        <v>15</v>
      </c>
      <c r="I201" t="s">
        <v>16</v>
      </c>
      <c r="J201" t="s">
        <v>630</v>
      </c>
      <c r="K201">
        <v>-123.8766667</v>
      </c>
      <c r="L201">
        <v>38.358333332999997</v>
      </c>
      <c r="M201" t="s">
        <v>631</v>
      </c>
    </row>
    <row r="202" spans="1:13" x14ac:dyDescent="0.25">
      <c r="A202">
        <v>204</v>
      </c>
      <c r="B202" s="94">
        <v>44554</v>
      </c>
      <c r="C202" t="s">
        <v>28</v>
      </c>
      <c r="D202" t="s">
        <v>632</v>
      </c>
      <c r="E202" t="s">
        <v>76</v>
      </c>
      <c r="F202" t="s">
        <v>23</v>
      </c>
      <c r="G202" t="s">
        <v>442</v>
      </c>
      <c r="H202" t="s">
        <v>15</v>
      </c>
      <c r="I202" t="s">
        <v>16</v>
      </c>
      <c r="J202" t="s">
        <v>633</v>
      </c>
      <c r="K202">
        <v>-121.175</v>
      </c>
      <c r="L202">
        <v>35.403333330000002</v>
      </c>
      <c r="M202" t="s">
        <v>624</v>
      </c>
    </row>
    <row r="203" spans="1:13" x14ac:dyDescent="0.25">
      <c r="A203">
        <v>205</v>
      </c>
      <c r="B203" s="94">
        <v>44618</v>
      </c>
      <c r="C203" t="s">
        <v>94</v>
      </c>
      <c r="D203" t="s">
        <v>685</v>
      </c>
      <c r="E203" t="s">
        <v>60</v>
      </c>
      <c r="F203" t="s">
        <v>14</v>
      </c>
      <c r="G203" t="s">
        <v>443</v>
      </c>
      <c r="H203" t="s">
        <v>477</v>
      </c>
      <c r="I203" t="s">
        <v>102</v>
      </c>
      <c r="J203" t="s">
        <v>687</v>
      </c>
      <c r="K203">
        <v>-120.83666669999999</v>
      </c>
      <c r="L203">
        <v>34.04</v>
      </c>
      <c r="M203" t="s">
        <v>686</v>
      </c>
    </row>
  </sheetData>
  <autoFilter ref="A1:M187" xr:uid="{5EE02785-A123-4152-9BE2-A3D7E4D829F6}">
    <sortState xmlns:xlrd2="http://schemas.microsoft.com/office/spreadsheetml/2017/richdata2" ref="A4:P177">
      <sortCondition ref="A1:A187"/>
    </sortState>
  </autoFilter>
  <sortState xmlns:xlrd2="http://schemas.microsoft.com/office/spreadsheetml/2017/richdata2" ref="A2:X177">
    <sortCondition ref="B2:B177"/>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88"/>
  <sheetViews>
    <sheetView topLeftCell="E1" workbookViewId="0">
      <pane ySplit="1" topLeftCell="A172" activePane="bottomLeft" state="frozen"/>
      <selection pane="bottomLeft" activeCell="J194" sqref="J194"/>
    </sheetView>
  </sheetViews>
  <sheetFormatPr defaultRowHeight="15" x14ac:dyDescent="0.25"/>
  <cols>
    <col min="1" max="1" width="12.5703125" bestFit="1" customWidth="1"/>
    <col min="2" max="2" width="10.7109375" bestFit="1" customWidth="1"/>
    <col min="3" max="3" width="18.140625" bestFit="1" customWidth="1"/>
    <col min="4" max="4" width="35" bestFit="1" customWidth="1"/>
    <col min="5" max="5" width="19.140625" bestFit="1" customWidth="1"/>
    <col min="6" max="6" width="6.28515625" bestFit="1" customWidth="1"/>
    <col min="7" max="7" width="15.42578125" bestFit="1" customWidth="1"/>
    <col min="8" max="8" width="11" bestFit="1" customWidth="1"/>
    <col min="9" max="9" width="13.140625" bestFit="1" customWidth="1"/>
    <col min="10" max="10" width="119.28515625" bestFit="1" customWidth="1"/>
    <col min="13" max="13" width="134.85546875" bestFit="1" customWidth="1"/>
  </cols>
  <sheetData>
    <row r="1" spans="1:13" x14ac:dyDescent="0.25">
      <c r="A1" t="s">
        <v>440</v>
      </c>
      <c r="B1" s="91" t="s">
        <v>0</v>
      </c>
      <c r="C1" t="s">
        <v>1</v>
      </c>
      <c r="D1" t="s">
        <v>2</v>
      </c>
      <c r="E1" t="s">
        <v>3</v>
      </c>
      <c r="F1" t="s">
        <v>4</v>
      </c>
      <c r="G1" t="s">
        <v>441</v>
      </c>
      <c r="H1" t="s">
        <v>5</v>
      </c>
      <c r="I1" t="s">
        <v>6</v>
      </c>
      <c r="J1" t="s">
        <v>7</v>
      </c>
      <c r="K1" t="s">
        <v>8</v>
      </c>
      <c r="L1" t="s">
        <v>9</v>
      </c>
      <c r="M1" t="s">
        <v>10</v>
      </c>
    </row>
    <row r="2" spans="1:13" x14ac:dyDescent="0.25">
      <c r="A2">
        <v>1</v>
      </c>
      <c r="B2" s="91">
        <v>18544</v>
      </c>
      <c r="C2" t="s">
        <v>11</v>
      </c>
      <c r="D2" t="s">
        <v>12</v>
      </c>
      <c r="E2" t="s">
        <v>13</v>
      </c>
      <c r="F2" t="s">
        <v>14</v>
      </c>
      <c r="G2" t="s">
        <v>443</v>
      </c>
      <c r="H2" t="s">
        <v>15</v>
      </c>
      <c r="I2" t="s">
        <v>16</v>
      </c>
      <c r="J2" t="s">
        <v>17</v>
      </c>
      <c r="K2">
        <v>-117.14666666666666</v>
      </c>
      <c r="L2">
        <v>32.588333333333331</v>
      </c>
      <c r="M2" t="s">
        <v>18</v>
      </c>
    </row>
    <row r="3" spans="1:13" x14ac:dyDescent="0.25">
      <c r="A3">
        <v>2</v>
      </c>
      <c r="B3" s="91">
        <v>19141</v>
      </c>
      <c r="C3" t="s">
        <v>11</v>
      </c>
      <c r="D3" t="s">
        <v>12</v>
      </c>
      <c r="E3" t="s">
        <v>13</v>
      </c>
      <c r="F3" t="s">
        <v>19</v>
      </c>
      <c r="G3" t="s">
        <v>443</v>
      </c>
      <c r="H3" t="s">
        <v>15</v>
      </c>
      <c r="I3" t="s">
        <v>16</v>
      </c>
      <c r="J3" t="s">
        <v>20</v>
      </c>
      <c r="K3">
        <v>-117.24666666666666</v>
      </c>
      <c r="L3">
        <v>32.588333333333331</v>
      </c>
      <c r="M3" t="s">
        <v>21</v>
      </c>
    </row>
    <row r="4" spans="1:13" x14ac:dyDescent="0.25">
      <c r="A4">
        <v>4</v>
      </c>
      <c r="B4" s="91">
        <v>20126</v>
      </c>
      <c r="C4" t="s">
        <v>22</v>
      </c>
      <c r="D4" t="s">
        <v>25</v>
      </c>
      <c r="E4" t="s">
        <v>26</v>
      </c>
      <c r="F4" t="s">
        <v>19</v>
      </c>
      <c r="G4" t="s">
        <v>443</v>
      </c>
      <c r="H4" t="s">
        <v>15</v>
      </c>
      <c r="I4" t="s">
        <v>16</v>
      </c>
      <c r="J4" t="s">
        <v>27</v>
      </c>
      <c r="K4">
        <v>-122.15</v>
      </c>
      <c r="L4">
        <v>36.626666666666665</v>
      </c>
      <c r="M4" t="s">
        <v>18</v>
      </c>
    </row>
    <row r="5" spans="1:13" x14ac:dyDescent="0.25">
      <c r="A5">
        <v>5</v>
      </c>
      <c r="B5" s="91">
        <v>20681</v>
      </c>
      <c r="C5" t="s">
        <v>28</v>
      </c>
      <c r="D5" t="s">
        <v>29</v>
      </c>
      <c r="E5" t="s">
        <v>13</v>
      </c>
      <c r="F5" t="s">
        <v>14</v>
      </c>
      <c r="G5" t="s">
        <v>443</v>
      </c>
      <c r="H5" t="s">
        <v>15</v>
      </c>
      <c r="I5" t="s">
        <v>16</v>
      </c>
      <c r="J5" t="s">
        <v>30</v>
      </c>
      <c r="K5">
        <v>-120.64666666666666</v>
      </c>
      <c r="L5">
        <v>35.138333333333335</v>
      </c>
      <c r="M5" t="s">
        <v>18</v>
      </c>
    </row>
    <row r="6" spans="1:13" x14ac:dyDescent="0.25">
      <c r="A6">
        <v>7</v>
      </c>
      <c r="B6" s="91">
        <v>21470</v>
      </c>
      <c r="C6" t="s">
        <v>11</v>
      </c>
      <c r="D6" t="s">
        <v>33</v>
      </c>
      <c r="E6" t="s">
        <v>13</v>
      </c>
      <c r="F6" t="s">
        <v>14</v>
      </c>
      <c r="G6" t="s">
        <v>443</v>
      </c>
      <c r="H6" t="s">
        <v>15</v>
      </c>
      <c r="I6" t="s">
        <v>16</v>
      </c>
      <c r="J6" t="s">
        <v>34</v>
      </c>
      <c r="K6">
        <v>-117.21666666666667</v>
      </c>
      <c r="L6">
        <v>32.685000000000002</v>
      </c>
      <c r="M6" t="s">
        <v>18</v>
      </c>
    </row>
    <row r="7" spans="1:13" x14ac:dyDescent="0.25">
      <c r="A7">
        <v>10</v>
      </c>
      <c r="B7" s="91">
        <v>21759</v>
      </c>
      <c r="C7" t="s">
        <v>11</v>
      </c>
      <c r="D7" t="s">
        <v>38</v>
      </c>
      <c r="E7" t="s">
        <v>26</v>
      </c>
      <c r="F7" t="s">
        <v>19</v>
      </c>
      <c r="G7" t="s">
        <v>443</v>
      </c>
      <c r="H7" t="s">
        <v>15</v>
      </c>
      <c r="I7" t="s">
        <v>40</v>
      </c>
      <c r="J7" t="s">
        <v>41</v>
      </c>
      <c r="K7">
        <v>-117.38</v>
      </c>
      <c r="L7">
        <v>32.854999999999997</v>
      </c>
      <c r="M7" t="s">
        <v>18</v>
      </c>
    </row>
    <row r="8" spans="1:13" x14ac:dyDescent="0.25">
      <c r="A8">
        <v>11</v>
      </c>
      <c r="B8" s="91">
        <v>21827</v>
      </c>
      <c r="C8" t="s">
        <v>42</v>
      </c>
      <c r="D8" t="s">
        <v>43</v>
      </c>
      <c r="E8" t="s">
        <v>26</v>
      </c>
      <c r="F8" t="s">
        <v>44</v>
      </c>
      <c r="G8" t="s">
        <v>374</v>
      </c>
      <c r="H8" t="s">
        <v>15</v>
      </c>
      <c r="I8" t="s">
        <v>16</v>
      </c>
      <c r="J8" t="s">
        <v>45</v>
      </c>
      <c r="K8">
        <v>-123.04666666666667</v>
      </c>
      <c r="L8">
        <v>38.295000000000002</v>
      </c>
      <c r="M8" t="s">
        <v>18</v>
      </c>
    </row>
    <row r="9" spans="1:13" x14ac:dyDescent="0.25">
      <c r="A9">
        <v>12</v>
      </c>
      <c r="B9" s="91">
        <v>21864</v>
      </c>
      <c r="C9" t="s">
        <v>46</v>
      </c>
      <c r="D9" t="s">
        <v>47</v>
      </c>
      <c r="E9" t="s">
        <v>26</v>
      </c>
      <c r="F9" t="s">
        <v>19</v>
      </c>
      <c r="G9" t="s">
        <v>443</v>
      </c>
      <c r="H9" t="s">
        <v>15</v>
      </c>
      <c r="I9" t="s">
        <v>48</v>
      </c>
      <c r="J9" t="s">
        <v>49</v>
      </c>
      <c r="K9">
        <v>-118.78333333333333</v>
      </c>
      <c r="L9">
        <v>34.018333333333331</v>
      </c>
      <c r="M9" t="s">
        <v>18</v>
      </c>
    </row>
    <row r="10" spans="1:13" x14ac:dyDescent="0.25">
      <c r="A10">
        <v>13</v>
      </c>
      <c r="B10" s="91">
        <v>22030</v>
      </c>
      <c r="C10" t="s">
        <v>50</v>
      </c>
      <c r="D10" t="s">
        <v>429</v>
      </c>
      <c r="E10" t="s">
        <v>26</v>
      </c>
      <c r="F10" t="s">
        <v>19</v>
      </c>
      <c r="G10" t="s">
        <v>443</v>
      </c>
      <c r="H10" t="s">
        <v>15</v>
      </c>
      <c r="I10" t="s">
        <v>16</v>
      </c>
      <c r="J10" t="s">
        <v>51</v>
      </c>
      <c r="K10">
        <v>-122.965</v>
      </c>
      <c r="L10">
        <v>38.181666666666665</v>
      </c>
      <c r="M10" t="s">
        <v>18</v>
      </c>
    </row>
    <row r="11" spans="1:13" x14ac:dyDescent="0.25">
      <c r="A11">
        <v>14</v>
      </c>
      <c r="B11" s="91">
        <v>22055</v>
      </c>
      <c r="C11" t="s">
        <v>52</v>
      </c>
      <c r="D11" t="s">
        <v>53</v>
      </c>
      <c r="E11" t="s">
        <v>13</v>
      </c>
      <c r="F11" t="s">
        <v>14</v>
      </c>
      <c r="G11" t="s">
        <v>443</v>
      </c>
      <c r="H11" t="s">
        <v>15</v>
      </c>
      <c r="I11" t="s">
        <v>16</v>
      </c>
      <c r="J11" t="s">
        <v>54</v>
      </c>
      <c r="K11">
        <v>-122.095</v>
      </c>
      <c r="L11">
        <v>36.96</v>
      </c>
      <c r="M11" t="s">
        <v>18</v>
      </c>
    </row>
    <row r="12" spans="1:13" x14ac:dyDescent="0.25">
      <c r="A12">
        <v>15</v>
      </c>
      <c r="B12" s="91">
        <v>22422</v>
      </c>
      <c r="C12" t="s">
        <v>50</v>
      </c>
      <c r="D12" t="s">
        <v>429</v>
      </c>
      <c r="E12" t="s">
        <v>26</v>
      </c>
      <c r="F12" t="s">
        <v>44</v>
      </c>
      <c r="G12" t="s">
        <v>374</v>
      </c>
      <c r="H12" s="92">
        <v>25</v>
      </c>
      <c r="I12" t="s">
        <v>16</v>
      </c>
      <c r="J12" t="s">
        <v>55</v>
      </c>
      <c r="K12">
        <v>-123.065</v>
      </c>
      <c r="L12">
        <v>38.181666666666665</v>
      </c>
      <c r="M12" t="s">
        <v>18</v>
      </c>
    </row>
    <row r="13" spans="1:13" x14ac:dyDescent="0.25">
      <c r="A13">
        <v>16</v>
      </c>
      <c r="B13" s="91">
        <v>22513</v>
      </c>
      <c r="C13" t="s">
        <v>42</v>
      </c>
      <c r="D13" t="s">
        <v>56</v>
      </c>
      <c r="E13" t="s">
        <v>13</v>
      </c>
      <c r="F13" t="s">
        <v>14</v>
      </c>
      <c r="G13" t="s">
        <v>443</v>
      </c>
      <c r="H13" t="s">
        <v>15</v>
      </c>
      <c r="I13" t="s">
        <v>16</v>
      </c>
      <c r="J13" t="s">
        <v>57</v>
      </c>
      <c r="K13">
        <v>-123.07666666666667</v>
      </c>
      <c r="L13">
        <v>38.358333333333334</v>
      </c>
      <c r="M13" t="s">
        <v>18</v>
      </c>
    </row>
    <row r="14" spans="1:13" x14ac:dyDescent="0.25">
      <c r="A14">
        <v>17</v>
      </c>
      <c r="B14" s="91">
        <v>22660</v>
      </c>
      <c r="C14" t="s">
        <v>58</v>
      </c>
      <c r="D14" t="s">
        <v>59</v>
      </c>
      <c r="E14" t="s">
        <v>60</v>
      </c>
      <c r="F14" t="s">
        <v>14</v>
      </c>
      <c r="G14" t="s">
        <v>443</v>
      </c>
      <c r="H14" t="s">
        <v>15</v>
      </c>
      <c r="I14" t="s">
        <v>16</v>
      </c>
      <c r="J14" t="s">
        <v>61</v>
      </c>
      <c r="K14">
        <v>-123.03166666666667</v>
      </c>
      <c r="L14">
        <v>37.72</v>
      </c>
      <c r="M14" t="s">
        <v>18</v>
      </c>
    </row>
    <row r="15" spans="1:13" x14ac:dyDescent="0.25">
      <c r="A15">
        <v>18</v>
      </c>
      <c r="B15" s="91">
        <v>22961</v>
      </c>
      <c r="C15" t="s">
        <v>58</v>
      </c>
      <c r="D15" t="s">
        <v>59</v>
      </c>
      <c r="E15" t="s">
        <v>60</v>
      </c>
      <c r="F15" t="s">
        <v>14</v>
      </c>
      <c r="G15" t="s">
        <v>443</v>
      </c>
      <c r="H15" t="s">
        <v>15</v>
      </c>
      <c r="I15" t="s">
        <v>16</v>
      </c>
      <c r="J15" t="s">
        <v>62</v>
      </c>
      <c r="K15">
        <v>-123.13166666666666</v>
      </c>
      <c r="L15">
        <v>37.72</v>
      </c>
      <c r="M15" t="s">
        <v>18</v>
      </c>
    </row>
    <row r="16" spans="1:13" x14ac:dyDescent="0.25">
      <c r="A16">
        <v>19</v>
      </c>
      <c r="B16" s="91">
        <v>23387</v>
      </c>
      <c r="C16" t="s">
        <v>58</v>
      </c>
      <c r="D16" t="s">
        <v>59</v>
      </c>
      <c r="E16" t="s">
        <v>60</v>
      </c>
      <c r="F16" t="s">
        <v>14</v>
      </c>
      <c r="G16" t="s">
        <v>443</v>
      </c>
      <c r="H16" t="s">
        <v>15</v>
      </c>
      <c r="I16" t="s">
        <v>16</v>
      </c>
      <c r="J16" t="s">
        <v>63</v>
      </c>
      <c r="K16">
        <v>-123.23166666666665</v>
      </c>
      <c r="L16">
        <v>37.72</v>
      </c>
      <c r="M16" t="s">
        <v>18</v>
      </c>
    </row>
    <row r="17" spans="1:13" x14ac:dyDescent="0.25">
      <c r="A17">
        <v>20</v>
      </c>
      <c r="B17" s="91">
        <v>24129</v>
      </c>
      <c r="C17" t="s">
        <v>22</v>
      </c>
      <c r="D17" t="s">
        <v>430</v>
      </c>
      <c r="E17" t="s">
        <v>26</v>
      </c>
      <c r="F17" t="s">
        <v>14</v>
      </c>
      <c r="G17" t="s">
        <v>443</v>
      </c>
      <c r="H17" t="s">
        <v>15</v>
      </c>
      <c r="I17" t="s">
        <v>16</v>
      </c>
      <c r="J17" t="s">
        <v>64</v>
      </c>
      <c r="K17">
        <v>-122.0423722</v>
      </c>
      <c r="L17">
        <v>36.583333333333336</v>
      </c>
      <c r="M17" t="s">
        <v>18</v>
      </c>
    </row>
    <row r="18" spans="1:13" x14ac:dyDescent="0.25">
      <c r="A18">
        <v>21</v>
      </c>
      <c r="B18" s="91">
        <v>25046</v>
      </c>
      <c r="C18" t="s">
        <v>42</v>
      </c>
      <c r="D18" t="s">
        <v>43</v>
      </c>
      <c r="E18" t="s">
        <v>26</v>
      </c>
      <c r="F18" t="s">
        <v>14</v>
      </c>
      <c r="G18" t="s">
        <v>443</v>
      </c>
      <c r="H18" s="92">
        <v>20</v>
      </c>
      <c r="I18" t="s">
        <v>16</v>
      </c>
      <c r="J18" t="s">
        <v>65</v>
      </c>
      <c r="K18">
        <v>-123.14666666666666</v>
      </c>
      <c r="L18">
        <v>38.295000000000002</v>
      </c>
      <c r="M18" t="s">
        <v>18</v>
      </c>
    </row>
    <row r="19" spans="1:13" x14ac:dyDescent="0.25">
      <c r="A19">
        <v>23</v>
      </c>
      <c r="B19" s="91">
        <v>25452</v>
      </c>
      <c r="C19" t="s">
        <v>50</v>
      </c>
      <c r="D19" t="s">
        <v>429</v>
      </c>
      <c r="E19" t="s">
        <v>26</v>
      </c>
      <c r="F19" t="s">
        <v>14</v>
      </c>
      <c r="G19" t="s">
        <v>443</v>
      </c>
      <c r="H19" t="s">
        <v>15</v>
      </c>
      <c r="I19" t="s">
        <v>16</v>
      </c>
      <c r="J19" t="s">
        <v>68</v>
      </c>
      <c r="K19">
        <v>-123.16499999999999</v>
      </c>
      <c r="L19">
        <v>38.181666666666665</v>
      </c>
      <c r="M19" t="s">
        <v>18</v>
      </c>
    </row>
    <row r="20" spans="1:13" x14ac:dyDescent="0.25">
      <c r="A20">
        <v>24</v>
      </c>
      <c r="B20" s="91">
        <v>26133</v>
      </c>
      <c r="C20" t="s">
        <v>69</v>
      </c>
      <c r="D20" t="s">
        <v>70</v>
      </c>
      <c r="E20" t="s">
        <v>71</v>
      </c>
      <c r="F20" t="s">
        <v>14</v>
      </c>
      <c r="G20" t="s">
        <v>443</v>
      </c>
      <c r="H20" s="92">
        <v>20</v>
      </c>
      <c r="I20" t="s">
        <v>16</v>
      </c>
      <c r="J20" t="s">
        <v>72</v>
      </c>
      <c r="K20">
        <v>-120.64166666666667</v>
      </c>
      <c r="L20">
        <v>34.758333333333333</v>
      </c>
      <c r="M20" t="s">
        <v>18</v>
      </c>
    </row>
    <row r="21" spans="1:13" x14ac:dyDescent="0.25">
      <c r="A21">
        <v>25</v>
      </c>
      <c r="B21" s="91">
        <v>26208</v>
      </c>
      <c r="C21" t="s">
        <v>42</v>
      </c>
      <c r="D21" t="s">
        <v>73</v>
      </c>
      <c r="E21" t="s">
        <v>60</v>
      </c>
      <c r="F21" t="s">
        <v>14</v>
      </c>
      <c r="G21" t="s">
        <v>443</v>
      </c>
      <c r="H21" s="92">
        <v>15</v>
      </c>
      <c r="I21" t="s">
        <v>16</v>
      </c>
      <c r="J21" t="s">
        <v>74</v>
      </c>
      <c r="K21">
        <v>-123.43</v>
      </c>
      <c r="L21">
        <v>38.666666666666664</v>
      </c>
      <c r="M21" t="s">
        <v>18</v>
      </c>
    </row>
    <row r="22" spans="1:13" x14ac:dyDescent="0.25">
      <c r="A22">
        <v>26</v>
      </c>
      <c r="B22" s="91">
        <v>26447</v>
      </c>
      <c r="C22" t="s">
        <v>50</v>
      </c>
      <c r="D22" t="s">
        <v>429</v>
      </c>
      <c r="E22" t="s">
        <v>26</v>
      </c>
      <c r="F22" t="s">
        <v>14</v>
      </c>
      <c r="G22" t="s">
        <v>443</v>
      </c>
      <c r="H22" t="s">
        <v>15</v>
      </c>
      <c r="I22" t="s">
        <v>16</v>
      </c>
      <c r="J22" t="s">
        <v>75</v>
      </c>
      <c r="K22">
        <v>-123.26499999999999</v>
      </c>
      <c r="L22">
        <v>38.181666666666665</v>
      </c>
      <c r="M22" t="s">
        <v>18</v>
      </c>
    </row>
    <row r="23" spans="1:13" x14ac:dyDescent="0.25">
      <c r="A23">
        <v>28</v>
      </c>
      <c r="B23" s="91">
        <v>27175</v>
      </c>
      <c r="C23" t="s">
        <v>50</v>
      </c>
      <c r="D23" t="s">
        <v>429</v>
      </c>
      <c r="E23" t="s">
        <v>26</v>
      </c>
      <c r="F23" t="s">
        <v>14</v>
      </c>
      <c r="G23" t="s">
        <v>443</v>
      </c>
      <c r="H23" t="s">
        <v>15</v>
      </c>
      <c r="I23" t="s">
        <v>16</v>
      </c>
      <c r="J23" t="s">
        <v>77</v>
      </c>
      <c r="K23">
        <v>-123.36499999999998</v>
      </c>
      <c r="L23">
        <v>38.181666666666665</v>
      </c>
      <c r="M23" t="s">
        <v>18</v>
      </c>
    </row>
    <row r="24" spans="1:13" x14ac:dyDescent="0.25">
      <c r="A24">
        <v>29</v>
      </c>
      <c r="B24" s="91">
        <v>27236</v>
      </c>
      <c r="C24" t="s">
        <v>78</v>
      </c>
      <c r="D24" t="s">
        <v>79</v>
      </c>
      <c r="E24" t="s">
        <v>26</v>
      </c>
      <c r="F24" t="s">
        <v>19</v>
      </c>
      <c r="G24" t="s">
        <v>443</v>
      </c>
      <c r="H24" s="92">
        <v>25</v>
      </c>
      <c r="I24" t="s">
        <v>16</v>
      </c>
      <c r="J24" t="s">
        <v>80</v>
      </c>
      <c r="K24">
        <v>-123.77666666666667</v>
      </c>
      <c r="L24">
        <v>39.228333333333332</v>
      </c>
      <c r="M24" t="s">
        <v>18</v>
      </c>
    </row>
    <row r="25" spans="1:13" x14ac:dyDescent="0.25">
      <c r="A25">
        <v>30</v>
      </c>
      <c r="B25" s="91">
        <v>27246</v>
      </c>
      <c r="C25" t="s">
        <v>66</v>
      </c>
      <c r="D25" t="s">
        <v>81</v>
      </c>
      <c r="E25" t="s">
        <v>76</v>
      </c>
      <c r="F25" t="s">
        <v>19</v>
      </c>
      <c r="G25" t="s">
        <v>443</v>
      </c>
      <c r="H25" t="s">
        <v>15</v>
      </c>
      <c r="I25" t="s">
        <v>16</v>
      </c>
      <c r="J25" t="s">
        <v>82</v>
      </c>
      <c r="K25">
        <v>-122.40833333333333</v>
      </c>
      <c r="L25">
        <v>37.323333333333331</v>
      </c>
      <c r="M25" t="s">
        <v>18</v>
      </c>
    </row>
    <row r="26" spans="1:13" x14ac:dyDescent="0.25">
      <c r="A26">
        <v>31</v>
      </c>
      <c r="B26" s="91">
        <v>27274</v>
      </c>
      <c r="C26" t="s">
        <v>66</v>
      </c>
      <c r="D26" t="s">
        <v>432</v>
      </c>
      <c r="E26" t="s">
        <v>60</v>
      </c>
      <c r="F26" t="s">
        <v>19</v>
      </c>
      <c r="G26" t="s">
        <v>443</v>
      </c>
      <c r="H26" t="s">
        <v>15</v>
      </c>
      <c r="I26" t="s">
        <v>16</v>
      </c>
      <c r="J26" t="s">
        <v>83</v>
      </c>
      <c r="K26">
        <v>-122.36666666666666</v>
      </c>
      <c r="L26">
        <v>37.15</v>
      </c>
      <c r="M26" t="s">
        <v>18</v>
      </c>
    </row>
    <row r="27" spans="1:13" x14ac:dyDescent="0.25">
      <c r="A27">
        <v>32</v>
      </c>
      <c r="B27" s="91">
        <v>27274</v>
      </c>
      <c r="C27" t="s">
        <v>66</v>
      </c>
      <c r="D27" t="s">
        <v>432</v>
      </c>
      <c r="E27" t="s">
        <v>60</v>
      </c>
      <c r="F27" t="s">
        <v>19</v>
      </c>
      <c r="G27" t="s">
        <v>443</v>
      </c>
      <c r="H27" t="s">
        <v>15</v>
      </c>
      <c r="I27" t="s">
        <v>16</v>
      </c>
      <c r="J27" t="s">
        <v>83</v>
      </c>
      <c r="K27">
        <v>-122.46666666666665</v>
      </c>
      <c r="L27">
        <v>37.15</v>
      </c>
      <c r="M27" t="s">
        <v>18</v>
      </c>
    </row>
    <row r="28" spans="1:13" x14ac:dyDescent="0.25">
      <c r="A28">
        <v>33</v>
      </c>
      <c r="B28" s="91">
        <v>27286</v>
      </c>
      <c r="C28" t="s">
        <v>58</v>
      </c>
      <c r="D28" t="s">
        <v>59</v>
      </c>
      <c r="E28" t="s">
        <v>71</v>
      </c>
      <c r="F28" t="s">
        <v>14</v>
      </c>
      <c r="G28" t="s">
        <v>443</v>
      </c>
      <c r="H28" s="92">
        <v>28</v>
      </c>
      <c r="I28" t="s">
        <v>16</v>
      </c>
      <c r="J28" t="s">
        <v>84</v>
      </c>
      <c r="K28">
        <v>-123.33166666666665</v>
      </c>
      <c r="L28">
        <v>37.72</v>
      </c>
      <c r="M28" t="s">
        <v>18</v>
      </c>
    </row>
    <row r="29" spans="1:13" x14ac:dyDescent="0.25">
      <c r="A29">
        <v>34</v>
      </c>
      <c r="B29" s="91">
        <v>27300</v>
      </c>
      <c r="C29" t="s">
        <v>22</v>
      </c>
      <c r="D29" t="s">
        <v>85</v>
      </c>
      <c r="E29" t="s">
        <v>76</v>
      </c>
      <c r="F29" t="s">
        <v>14</v>
      </c>
      <c r="G29" t="s">
        <v>443</v>
      </c>
      <c r="H29" t="s">
        <v>15</v>
      </c>
      <c r="I29" t="s">
        <v>16</v>
      </c>
      <c r="J29" t="s">
        <v>86</v>
      </c>
      <c r="K29">
        <v>-121.99666666666666</v>
      </c>
      <c r="L29">
        <v>36.313333333333333</v>
      </c>
      <c r="M29" t="s">
        <v>18</v>
      </c>
    </row>
    <row r="30" spans="1:13" x14ac:dyDescent="0.25">
      <c r="A30">
        <v>35</v>
      </c>
      <c r="B30" s="91">
        <v>27594</v>
      </c>
      <c r="C30" t="s">
        <v>69</v>
      </c>
      <c r="D30" t="s">
        <v>87</v>
      </c>
      <c r="E30" t="s">
        <v>71</v>
      </c>
      <c r="F30" t="s">
        <v>44</v>
      </c>
      <c r="G30" t="s">
        <v>374</v>
      </c>
      <c r="H30" s="92">
        <v>30</v>
      </c>
      <c r="I30" t="s">
        <v>16</v>
      </c>
      <c r="J30" t="s">
        <v>88</v>
      </c>
      <c r="K30">
        <v>-120.47499999999999</v>
      </c>
      <c r="L30">
        <v>34.450000000000003</v>
      </c>
      <c r="M30" t="s">
        <v>18</v>
      </c>
    </row>
    <row r="31" spans="1:13" x14ac:dyDescent="0.25">
      <c r="A31">
        <v>36</v>
      </c>
      <c r="B31" s="91">
        <v>27598</v>
      </c>
      <c r="C31" t="s">
        <v>69</v>
      </c>
      <c r="D31" t="s">
        <v>89</v>
      </c>
      <c r="E31" t="s">
        <v>60</v>
      </c>
      <c r="F31" t="s">
        <v>14</v>
      </c>
      <c r="G31" t="s">
        <v>443</v>
      </c>
      <c r="H31" t="s">
        <v>15</v>
      </c>
      <c r="I31" t="s">
        <v>16</v>
      </c>
      <c r="J31" t="s">
        <v>90</v>
      </c>
      <c r="K31">
        <v>-120.575</v>
      </c>
      <c r="L31">
        <v>34.450000000000003</v>
      </c>
      <c r="M31" t="s">
        <v>18</v>
      </c>
    </row>
    <row r="32" spans="1:13" x14ac:dyDescent="0.25">
      <c r="A32">
        <v>37</v>
      </c>
      <c r="B32" s="91">
        <v>27615</v>
      </c>
      <c r="C32" t="s">
        <v>78</v>
      </c>
      <c r="D32" t="s">
        <v>91</v>
      </c>
      <c r="E32" t="s">
        <v>26</v>
      </c>
      <c r="F32" t="s">
        <v>14</v>
      </c>
      <c r="G32" t="s">
        <v>443</v>
      </c>
      <c r="H32" s="92">
        <v>19</v>
      </c>
      <c r="I32" t="s">
        <v>16</v>
      </c>
      <c r="J32" t="s">
        <v>92</v>
      </c>
      <c r="K32">
        <v>-123.85666666666667</v>
      </c>
      <c r="L32">
        <v>39.82</v>
      </c>
      <c r="M32" t="s">
        <v>18</v>
      </c>
    </row>
    <row r="33" spans="1:13" x14ac:dyDescent="0.25">
      <c r="A33">
        <v>38</v>
      </c>
      <c r="B33" s="91">
        <v>27734</v>
      </c>
      <c r="C33" t="s">
        <v>58</v>
      </c>
      <c r="D33" t="s">
        <v>59</v>
      </c>
      <c r="E33" t="s">
        <v>60</v>
      </c>
      <c r="F33" t="s">
        <v>14</v>
      </c>
      <c r="G33" t="s">
        <v>443</v>
      </c>
      <c r="H33" s="92">
        <v>20</v>
      </c>
      <c r="I33" t="s">
        <v>16</v>
      </c>
      <c r="J33" t="s">
        <v>93</v>
      </c>
      <c r="K33">
        <v>-123.43166666666664</v>
      </c>
      <c r="L33">
        <v>37.72</v>
      </c>
      <c r="M33" t="s">
        <v>18</v>
      </c>
    </row>
    <row r="34" spans="1:13" x14ac:dyDescent="0.25">
      <c r="A34">
        <v>39</v>
      </c>
      <c r="B34" s="91">
        <v>28051</v>
      </c>
      <c r="C34" t="s">
        <v>97</v>
      </c>
      <c r="D34" t="s">
        <v>98</v>
      </c>
      <c r="E34" t="s">
        <v>76</v>
      </c>
      <c r="F34" t="s">
        <v>19</v>
      </c>
      <c r="G34" t="s">
        <v>443</v>
      </c>
      <c r="H34" t="s">
        <v>15</v>
      </c>
      <c r="I34" t="s">
        <v>16</v>
      </c>
      <c r="J34" t="s">
        <v>99</v>
      </c>
      <c r="K34">
        <v>-124.11166666666666</v>
      </c>
      <c r="L34">
        <v>41.024999999999999</v>
      </c>
      <c r="M34" t="s">
        <v>18</v>
      </c>
    </row>
    <row r="35" spans="1:13" x14ac:dyDescent="0.25">
      <c r="A35">
        <v>40</v>
      </c>
      <c r="B35" s="91">
        <v>28051</v>
      </c>
      <c r="C35" t="s">
        <v>94</v>
      </c>
      <c r="D35" t="s">
        <v>95</v>
      </c>
      <c r="E35" t="s">
        <v>71</v>
      </c>
      <c r="F35" t="s">
        <v>14</v>
      </c>
      <c r="G35" t="s">
        <v>443</v>
      </c>
      <c r="H35" s="92">
        <v>18</v>
      </c>
      <c r="I35" t="s">
        <v>16</v>
      </c>
      <c r="J35" t="s">
        <v>96</v>
      </c>
      <c r="K35">
        <v>-120.43666666666667</v>
      </c>
      <c r="L35">
        <v>34.04</v>
      </c>
      <c r="M35" t="s">
        <v>18</v>
      </c>
    </row>
    <row r="36" spans="1:13" x14ac:dyDescent="0.25">
      <c r="A36">
        <v>41</v>
      </c>
      <c r="B36" s="91">
        <v>28351</v>
      </c>
      <c r="C36" t="s">
        <v>50</v>
      </c>
      <c r="D36" t="s">
        <v>429</v>
      </c>
      <c r="E36" t="s">
        <v>26</v>
      </c>
      <c r="F36" t="s">
        <v>14</v>
      </c>
      <c r="G36" t="s">
        <v>443</v>
      </c>
      <c r="H36" t="s">
        <v>15</v>
      </c>
      <c r="I36" t="s">
        <v>16</v>
      </c>
      <c r="J36" t="s">
        <v>100</v>
      </c>
      <c r="K36">
        <v>-123.46499999999997</v>
      </c>
      <c r="L36">
        <v>38.181666666666665</v>
      </c>
      <c r="M36" t="s">
        <v>18</v>
      </c>
    </row>
    <row r="37" spans="1:13" x14ac:dyDescent="0.25">
      <c r="A37">
        <v>42</v>
      </c>
      <c r="B37" s="91">
        <v>28707</v>
      </c>
      <c r="C37" t="s">
        <v>52</v>
      </c>
      <c r="D37" t="s">
        <v>101</v>
      </c>
      <c r="E37" t="s">
        <v>13</v>
      </c>
      <c r="F37" t="s">
        <v>19</v>
      </c>
      <c r="G37" t="s">
        <v>443</v>
      </c>
      <c r="H37" t="s">
        <v>15</v>
      </c>
      <c r="I37" t="s">
        <v>102</v>
      </c>
      <c r="J37" t="s">
        <v>103</v>
      </c>
      <c r="K37">
        <v>-121.81</v>
      </c>
      <c r="L37">
        <v>36.86</v>
      </c>
      <c r="M37" t="s">
        <v>18</v>
      </c>
    </row>
    <row r="38" spans="1:13" x14ac:dyDescent="0.25">
      <c r="A38">
        <v>43</v>
      </c>
      <c r="B38" s="91">
        <v>28925</v>
      </c>
      <c r="C38" t="s">
        <v>66</v>
      </c>
      <c r="D38" t="s">
        <v>104</v>
      </c>
      <c r="E38" t="s">
        <v>60</v>
      </c>
      <c r="F38" t="s">
        <v>44</v>
      </c>
      <c r="G38" t="s">
        <v>374</v>
      </c>
      <c r="H38" s="92">
        <v>20</v>
      </c>
      <c r="I38" t="s">
        <v>16</v>
      </c>
      <c r="J38" t="s">
        <v>105</v>
      </c>
      <c r="K38">
        <v>-122.34333333333333</v>
      </c>
      <c r="L38">
        <v>37.108333333333334</v>
      </c>
      <c r="M38" t="s">
        <v>18</v>
      </c>
    </row>
    <row r="39" spans="1:13" x14ac:dyDescent="0.25">
      <c r="A39">
        <v>44</v>
      </c>
      <c r="B39" s="91">
        <v>29511</v>
      </c>
      <c r="C39" t="s">
        <v>97</v>
      </c>
      <c r="D39" t="s">
        <v>98</v>
      </c>
      <c r="E39" t="s">
        <v>76</v>
      </c>
      <c r="F39" t="s">
        <v>44</v>
      </c>
      <c r="G39" t="s">
        <v>374</v>
      </c>
      <c r="H39" t="s">
        <v>15</v>
      </c>
      <c r="I39" t="s">
        <v>16</v>
      </c>
      <c r="J39" t="s">
        <v>106</v>
      </c>
      <c r="K39">
        <v>-124.21166666666666</v>
      </c>
      <c r="L39">
        <v>41.024999999999999</v>
      </c>
      <c r="M39" t="s">
        <v>18</v>
      </c>
    </row>
    <row r="40" spans="1:13" x14ac:dyDescent="0.25">
      <c r="A40">
        <v>46</v>
      </c>
      <c r="B40" s="91">
        <v>29989</v>
      </c>
      <c r="C40" t="s">
        <v>42</v>
      </c>
      <c r="D40" t="s">
        <v>109</v>
      </c>
      <c r="E40" t="s">
        <v>60</v>
      </c>
      <c r="F40" t="s">
        <v>14</v>
      </c>
      <c r="G40" t="s">
        <v>443</v>
      </c>
      <c r="H40" s="92">
        <v>40</v>
      </c>
      <c r="I40" t="s">
        <v>16</v>
      </c>
      <c r="J40" t="s">
        <v>110</v>
      </c>
      <c r="K40">
        <v>-123.30500000000001</v>
      </c>
      <c r="L40">
        <v>38.543333333333337</v>
      </c>
      <c r="M40" t="s">
        <v>18</v>
      </c>
    </row>
    <row r="41" spans="1:13" x14ac:dyDescent="0.25">
      <c r="A41">
        <v>47</v>
      </c>
      <c r="B41" s="91">
        <v>30156</v>
      </c>
      <c r="C41" t="s">
        <v>28</v>
      </c>
      <c r="D41" t="s">
        <v>111</v>
      </c>
      <c r="E41" t="s">
        <v>112</v>
      </c>
      <c r="F41" t="s">
        <v>44</v>
      </c>
      <c r="G41" t="s">
        <v>374</v>
      </c>
      <c r="H41" t="s">
        <v>15</v>
      </c>
      <c r="I41" t="s">
        <v>16</v>
      </c>
      <c r="J41" t="s">
        <v>113</v>
      </c>
      <c r="K41">
        <v>-120.90666666666667</v>
      </c>
      <c r="L41">
        <v>35.236666666666665</v>
      </c>
      <c r="M41" t="s">
        <v>18</v>
      </c>
    </row>
    <row r="42" spans="1:13" x14ac:dyDescent="0.25">
      <c r="A42">
        <v>48</v>
      </c>
      <c r="B42" s="91">
        <v>30213</v>
      </c>
      <c r="C42" t="s">
        <v>78</v>
      </c>
      <c r="D42" t="s">
        <v>114</v>
      </c>
      <c r="E42" t="s">
        <v>26</v>
      </c>
      <c r="F42" t="s">
        <v>14</v>
      </c>
      <c r="G42" t="s">
        <v>443</v>
      </c>
      <c r="H42" s="92">
        <v>12</v>
      </c>
      <c r="I42" t="s">
        <v>16</v>
      </c>
      <c r="J42" t="s">
        <v>115</v>
      </c>
      <c r="K42">
        <v>-123.93333333333334</v>
      </c>
      <c r="L42">
        <v>39.93333333333333</v>
      </c>
      <c r="M42" t="s">
        <v>18</v>
      </c>
    </row>
    <row r="43" spans="1:13" x14ac:dyDescent="0.25">
      <c r="A43">
        <v>49</v>
      </c>
      <c r="B43" s="91">
        <v>30219</v>
      </c>
      <c r="C43" t="s">
        <v>22</v>
      </c>
      <c r="D43" t="s">
        <v>116</v>
      </c>
      <c r="E43" t="s">
        <v>60</v>
      </c>
      <c r="F43" t="s">
        <v>19</v>
      </c>
      <c r="G43" t="s">
        <v>443</v>
      </c>
      <c r="H43">
        <v>40</v>
      </c>
      <c r="I43" s="92" t="s">
        <v>16</v>
      </c>
      <c r="J43" t="s">
        <v>117</v>
      </c>
      <c r="K43">
        <v>-121.92666666666666</v>
      </c>
      <c r="L43">
        <v>36.526666666666664</v>
      </c>
      <c r="M43" t="s">
        <v>407</v>
      </c>
    </row>
    <row r="44" spans="1:13" x14ac:dyDescent="0.25">
      <c r="A44">
        <v>51</v>
      </c>
      <c r="B44" s="91">
        <v>30942</v>
      </c>
      <c r="C44" t="s">
        <v>11</v>
      </c>
      <c r="D44" t="s">
        <v>119</v>
      </c>
      <c r="E44" t="s">
        <v>13</v>
      </c>
      <c r="F44" t="s">
        <v>19</v>
      </c>
      <c r="G44" t="s">
        <v>443</v>
      </c>
      <c r="H44" t="s">
        <v>15</v>
      </c>
      <c r="I44" t="s">
        <v>48</v>
      </c>
      <c r="J44" t="s">
        <v>120</v>
      </c>
      <c r="K44">
        <v>-117.25666666666666</v>
      </c>
      <c r="L44">
        <v>32.784999999999997</v>
      </c>
      <c r="M44" t="s">
        <v>18</v>
      </c>
    </row>
    <row r="45" spans="1:13" x14ac:dyDescent="0.25">
      <c r="A45">
        <v>52</v>
      </c>
      <c r="B45" s="91">
        <v>30955</v>
      </c>
      <c r="C45" t="s">
        <v>50</v>
      </c>
      <c r="D45" t="s">
        <v>429</v>
      </c>
      <c r="E45" t="s">
        <v>26</v>
      </c>
      <c r="F45" t="s">
        <v>14</v>
      </c>
      <c r="G45" t="s">
        <v>443</v>
      </c>
      <c r="H45" s="92">
        <v>10</v>
      </c>
      <c r="I45" t="s">
        <v>16</v>
      </c>
      <c r="J45" t="s">
        <v>121</v>
      </c>
      <c r="K45">
        <v>-123.56499999999997</v>
      </c>
      <c r="L45">
        <v>38.181666666666665</v>
      </c>
      <c r="M45" t="s">
        <v>18</v>
      </c>
    </row>
    <row r="46" spans="1:13" x14ac:dyDescent="0.25">
      <c r="A46">
        <v>53</v>
      </c>
      <c r="B46" s="91">
        <v>31096</v>
      </c>
      <c r="C46" t="s">
        <v>94</v>
      </c>
      <c r="D46" t="s">
        <v>95</v>
      </c>
      <c r="E46" t="s">
        <v>60</v>
      </c>
      <c r="F46" t="s">
        <v>19</v>
      </c>
      <c r="G46" t="s">
        <v>443</v>
      </c>
      <c r="H46" t="s">
        <v>15</v>
      </c>
      <c r="I46" t="s">
        <v>16</v>
      </c>
      <c r="J46" t="s">
        <v>122</v>
      </c>
      <c r="K46">
        <v>-120.53666666666666</v>
      </c>
      <c r="L46">
        <v>34.04</v>
      </c>
      <c r="M46" t="s">
        <v>18</v>
      </c>
    </row>
    <row r="47" spans="1:13" x14ac:dyDescent="0.25">
      <c r="A47">
        <v>54</v>
      </c>
      <c r="B47" s="91">
        <v>31193</v>
      </c>
      <c r="C47" t="s">
        <v>123</v>
      </c>
      <c r="D47" t="s">
        <v>124</v>
      </c>
      <c r="E47" t="s">
        <v>76</v>
      </c>
      <c r="F47" t="s">
        <v>19</v>
      </c>
      <c r="G47" t="s">
        <v>443</v>
      </c>
      <c r="H47" t="s">
        <v>15</v>
      </c>
      <c r="I47" t="s">
        <v>102</v>
      </c>
      <c r="J47" t="s">
        <v>125</v>
      </c>
      <c r="K47">
        <v>-118.1</v>
      </c>
      <c r="L47">
        <v>33.75</v>
      </c>
      <c r="M47" t="s">
        <v>18</v>
      </c>
    </row>
    <row r="48" spans="1:13" x14ac:dyDescent="0.25">
      <c r="A48">
        <v>55</v>
      </c>
      <c r="B48" s="91">
        <v>31318</v>
      </c>
      <c r="C48" t="s">
        <v>50</v>
      </c>
      <c r="D48" t="s">
        <v>433</v>
      </c>
      <c r="E48" t="s">
        <v>26</v>
      </c>
      <c r="F48" t="s">
        <v>44</v>
      </c>
      <c r="G48" t="s">
        <v>374</v>
      </c>
      <c r="H48" s="92">
        <v>14</v>
      </c>
      <c r="I48" t="s">
        <v>16</v>
      </c>
      <c r="J48" t="s">
        <v>126</v>
      </c>
      <c r="K48">
        <v>-123.66499999999996</v>
      </c>
      <c r="L48">
        <v>38.181666666666665</v>
      </c>
      <c r="M48" t="s">
        <v>18</v>
      </c>
    </row>
    <row r="49" spans="1:13" x14ac:dyDescent="0.25">
      <c r="A49">
        <v>56</v>
      </c>
      <c r="B49" s="91">
        <v>31342</v>
      </c>
      <c r="C49" t="s">
        <v>69</v>
      </c>
      <c r="D49" t="s">
        <v>89</v>
      </c>
      <c r="E49" t="s">
        <v>71</v>
      </c>
      <c r="F49" t="s">
        <v>19</v>
      </c>
      <c r="G49" t="s">
        <v>443</v>
      </c>
      <c r="H49" s="92">
        <v>15</v>
      </c>
      <c r="I49" s="92" t="s">
        <v>102</v>
      </c>
      <c r="J49" t="s">
        <v>127</v>
      </c>
      <c r="K49">
        <v>-120.675</v>
      </c>
      <c r="L49">
        <v>34.450000000000003</v>
      </c>
      <c r="M49" t="s">
        <v>128</v>
      </c>
    </row>
    <row r="50" spans="1:13" x14ac:dyDescent="0.25">
      <c r="A50">
        <v>57</v>
      </c>
      <c r="B50" s="91">
        <v>31752</v>
      </c>
      <c r="C50" t="s">
        <v>22</v>
      </c>
      <c r="D50" t="s">
        <v>116</v>
      </c>
      <c r="E50" t="s">
        <v>26</v>
      </c>
      <c r="F50" t="s">
        <v>14</v>
      </c>
      <c r="G50" t="s">
        <v>443</v>
      </c>
      <c r="H50">
        <v>38</v>
      </c>
      <c r="I50" t="s">
        <v>16</v>
      </c>
      <c r="J50" t="s">
        <v>129</v>
      </c>
      <c r="K50">
        <v>-122.12666666666701</v>
      </c>
      <c r="L50">
        <v>36.526666666666664</v>
      </c>
      <c r="M50" t="s">
        <v>18</v>
      </c>
    </row>
    <row r="51" spans="1:13" x14ac:dyDescent="0.25">
      <c r="A51">
        <v>58</v>
      </c>
      <c r="B51" s="91">
        <v>32004</v>
      </c>
      <c r="C51" t="s">
        <v>66</v>
      </c>
      <c r="D51" t="s">
        <v>130</v>
      </c>
      <c r="E51" t="s">
        <v>76</v>
      </c>
      <c r="F51" t="s">
        <v>19</v>
      </c>
      <c r="G51" t="s">
        <v>443</v>
      </c>
      <c r="H51" t="s">
        <v>15</v>
      </c>
      <c r="I51" t="s">
        <v>16</v>
      </c>
      <c r="J51" t="s">
        <v>131</v>
      </c>
      <c r="K51">
        <v>-122.499</v>
      </c>
      <c r="L51">
        <v>37.491999999999997</v>
      </c>
      <c r="M51" t="s">
        <v>18</v>
      </c>
    </row>
    <row r="52" spans="1:13" x14ac:dyDescent="0.25">
      <c r="A52">
        <v>59</v>
      </c>
      <c r="B52" s="91">
        <v>32076</v>
      </c>
      <c r="C52" t="s">
        <v>52</v>
      </c>
      <c r="D52" t="s">
        <v>132</v>
      </c>
      <c r="E52" t="s">
        <v>76</v>
      </c>
      <c r="F52" t="s">
        <v>19</v>
      </c>
      <c r="G52" t="s">
        <v>443</v>
      </c>
      <c r="H52" t="s">
        <v>15</v>
      </c>
      <c r="I52" t="s">
        <v>16</v>
      </c>
      <c r="J52" t="s">
        <v>133</v>
      </c>
      <c r="K52">
        <v>-122.25333333333333</v>
      </c>
      <c r="L52">
        <v>37.049999999999997</v>
      </c>
      <c r="M52" t="s">
        <v>128</v>
      </c>
    </row>
    <row r="53" spans="1:13" x14ac:dyDescent="0.25">
      <c r="A53">
        <v>60</v>
      </c>
      <c r="B53" s="91">
        <v>32257</v>
      </c>
      <c r="C53" t="s">
        <v>28</v>
      </c>
      <c r="D53" t="s">
        <v>134</v>
      </c>
      <c r="E53" t="s">
        <v>76</v>
      </c>
      <c r="F53" t="s">
        <v>44</v>
      </c>
      <c r="G53" t="s">
        <v>374</v>
      </c>
      <c r="H53" t="s">
        <v>15</v>
      </c>
      <c r="I53" t="s">
        <v>16</v>
      </c>
      <c r="J53" t="s">
        <v>135</v>
      </c>
      <c r="K53">
        <v>-120.97499999999999</v>
      </c>
      <c r="L53">
        <v>35.403333333333336</v>
      </c>
      <c r="M53" t="s">
        <v>18</v>
      </c>
    </row>
    <row r="54" spans="1:13" x14ac:dyDescent="0.25">
      <c r="A54">
        <v>61</v>
      </c>
      <c r="B54" s="91">
        <v>32366</v>
      </c>
      <c r="C54" t="s">
        <v>136</v>
      </c>
      <c r="D54" t="s">
        <v>137</v>
      </c>
      <c r="E54" t="s">
        <v>76</v>
      </c>
      <c r="F54" t="s">
        <v>19</v>
      </c>
      <c r="G54" t="s">
        <v>443</v>
      </c>
      <c r="H54" t="s">
        <v>15</v>
      </c>
      <c r="I54" t="s">
        <v>16</v>
      </c>
      <c r="J54" t="s">
        <v>138</v>
      </c>
      <c r="K54">
        <v>-124.08833333333334</v>
      </c>
      <c r="L54">
        <v>41.561666666666667</v>
      </c>
      <c r="M54" t="s">
        <v>18</v>
      </c>
    </row>
    <row r="55" spans="1:13" x14ac:dyDescent="0.25">
      <c r="A55">
        <v>63</v>
      </c>
      <c r="B55" s="91">
        <v>32760</v>
      </c>
      <c r="C55" t="s">
        <v>58</v>
      </c>
      <c r="D55" t="s">
        <v>59</v>
      </c>
      <c r="E55" t="s">
        <v>71</v>
      </c>
      <c r="F55" t="s">
        <v>14</v>
      </c>
      <c r="G55" t="s">
        <v>443</v>
      </c>
      <c r="H55" s="92">
        <v>25</v>
      </c>
      <c r="I55" t="s">
        <v>16</v>
      </c>
      <c r="J55" t="s">
        <v>142</v>
      </c>
      <c r="K55">
        <v>-123.53166666666664</v>
      </c>
      <c r="L55">
        <v>37.72</v>
      </c>
      <c r="M55" t="s">
        <v>18</v>
      </c>
    </row>
    <row r="56" spans="1:13" x14ac:dyDescent="0.25">
      <c r="A56">
        <v>64</v>
      </c>
      <c r="B56" s="91">
        <v>32885</v>
      </c>
      <c r="C56" t="s">
        <v>66</v>
      </c>
      <c r="D56" t="s">
        <v>143</v>
      </c>
      <c r="E56" t="s">
        <v>76</v>
      </c>
      <c r="F56" t="s">
        <v>44</v>
      </c>
      <c r="G56" t="s">
        <v>374</v>
      </c>
      <c r="H56" t="s">
        <v>15</v>
      </c>
      <c r="I56" t="s">
        <v>16</v>
      </c>
      <c r="J56" t="s">
        <v>144</v>
      </c>
      <c r="K56">
        <v>-122.51833333333333</v>
      </c>
      <c r="L56">
        <v>37.55833333333333</v>
      </c>
      <c r="M56" t="s">
        <v>18</v>
      </c>
    </row>
    <row r="57" spans="1:13" x14ac:dyDescent="0.25">
      <c r="A57">
        <v>65</v>
      </c>
      <c r="B57" s="91">
        <v>33113</v>
      </c>
      <c r="C57" t="s">
        <v>97</v>
      </c>
      <c r="D57" t="s">
        <v>145</v>
      </c>
      <c r="E57" t="s">
        <v>76</v>
      </c>
      <c r="F57" t="s">
        <v>19</v>
      </c>
      <c r="G57" t="s">
        <v>443</v>
      </c>
      <c r="H57" t="s">
        <v>15</v>
      </c>
      <c r="I57" t="s">
        <v>16</v>
      </c>
      <c r="J57" t="s">
        <v>146</v>
      </c>
      <c r="K57">
        <v>-124.15</v>
      </c>
      <c r="L57">
        <v>41.05833333333333</v>
      </c>
      <c r="M57" t="s">
        <v>18</v>
      </c>
    </row>
    <row r="58" spans="1:13" x14ac:dyDescent="0.25">
      <c r="A58">
        <v>66</v>
      </c>
      <c r="B58" s="91">
        <v>33121</v>
      </c>
      <c r="C58" t="s">
        <v>97</v>
      </c>
      <c r="D58" t="s">
        <v>147</v>
      </c>
      <c r="E58" t="s">
        <v>140</v>
      </c>
      <c r="F58" t="s">
        <v>44</v>
      </c>
      <c r="G58" t="s">
        <v>374</v>
      </c>
      <c r="H58" t="s">
        <v>15</v>
      </c>
      <c r="I58" t="s">
        <v>16</v>
      </c>
      <c r="J58" t="s">
        <v>148</v>
      </c>
      <c r="K58">
        <v>-124.25</v>
      </c>
      <c r="L58">
        <v>41.05833333333333</v>
      </c>
      <c r="M58" t="s">
        <v>18</v>
      </c>
    </row>
    <row r="59" spans="1:13" x14ac:dyDescent="0.25">
      <c r="A59">
        <v>67</v>
      </c>
      <c r="B59" s="91">
        <v>33124</v>
      </c>
      <c r="C59" t="s">
        <v>42</v>
      </c>
      <c r="D59" t="s">
        <v>149</v>
      </c>
      <c r="E59" t="s">
        <v>26</v>
      </c>
      <c r="F59" t="s">
        <v>14</v>
      </c>
      <c r="G59" t="s">
        <v>443</v>
      </c>
      <c r="H59" t="s">
        <v>15</v>
      </c>
      <c r="I59" t="s">
        <v>16</v>
      </c>
      <c r="J59" t="s">
        <v>150</v>
      </c>
      <c r="K59">
        <v>-123.175</v>
      </c>
      <c r="L59">
        <v>38.475000000000001</v>
      </c>
      <c r="M59" t="s">
        <v>18</v>
      </c>
    </row>
    <row r="60" spans="1:13" x14ac:dyDescent="0.25">
      <c r="A60">
        <v>68</v>
      </c>
      <c r="B60" s="91">
        <v>33180</v>
      </c>
      <c r="C60" t="s">
        <v>22</v>
      </c>
      <c r="D60" t="s">
        <v>116</v>
      </c>
      <c r="E60" t="s">
        <v>60</v>
      </c>
      <c r="F60" t="s">
        <v>14</v>
      </c>
      <c r="G60" t="s">
        <v>443</v>
      </c>
      <c r="H60" t="s">
        <v>15</v>
      </c>
      <c r="I60" t="s">
        <v>16</v>
      </c>
      <c r="J60" t="s">
        <v>151</v>
      </c>
      <c r="K60">
        <v>-122.226666666667</v>
      </c>
      <c r="L60">
        <v>36.526666666666664</v>
      </c>
      <c r="M60" t="s">
        <v>18</v>
      </c>
    </row>
    <row r="61" spans="1:13" x14ac:dyDescent="0.25">
      <c r="A61">
        <v>69</v>
      </c>
      <c r="B61" s="91">
        <v>33420</v>
      </c>
      <c r="C61" t="s">
        <v>52</v>
      </c>
      <c r="D61" t="s">
        <v>152</v>
      </c>
      <c r="E61" t="s">
        <v>76</v>
      </c>
      <c r="F61" t="s">
        <v>14</v>
      </c>
      <c r="G61" t="s">
        <v>443</v>
      </c>
      <c r="H61" t="s">
        <v>15</v>
      </c>
      <c r="I61" t="s">
        <v>16</v>
      </c>
      <c r="J61" t="s">
        <v>153</v>
      </c>
      <c r="K61">
        <v>-122.35333333333332</v>
      </c>
      <c r="L61">
        <v>37.049999999999997</v>
      </c>
      <c r="M61" t="s">
        <v>18</v>
      </c>
    </row>
    <row r="62" spans="1:13" x14ac:dyDescent="0.25">
      <c r="A62">
        <v>70</v>
      </c>
      <c r="B62" s="91">
        <v>33516</v>
      </c>
      <c r="C62" t="s">
        <v>52</v>
      </c>
      <c r="D62" t="s">
        <v>154</v>
      </c>
      <c r="E62" t="s">
        <v>76</v>
      </c>
      <c r="F62" t="s">
        <v>14</v>
      </c>
      <c r="G62" t="s">
        <v>443</v>
      </c>
      <c r="H62" t="s">
        <v>15</v>
      </c>
      <c r="I62" t="s">
        <v>16</v>
      </c>
      <c r="J62" t="s">
        <v>155</v>
      </c>
      <c r="K62">
        <v>-122.45333333333332</v>
      </c>
      <c r="L62">
        <v>37.049999999999997</v>
      </c>
      <c r="M62" t="s">
        <v>18</v>
      </c>
    </row>
    <row r="63" spans="1:13" x14ac:dyDescent="0.25">
      <c r="A63">
        <v>71</v>
      </c>
      <c r="B63" s="91">
        <v>33520</v>
      </c>
      <c r="C63" t="s">
        <v>50</v>
      </c>
      <c r="D63" t="s">
        <v>156</v>
      </c>
      <c r="E63" t="s">
        <v>71</v>
      </c>
      <c r="F63" t="s">
        <v>44</v>
      </c>
      <c r="G63" t="s">
        <v>374</v>
      </c>
      <c r="H63">
        <v>25</v>
      </c>
      <c r="I63" t="s">
        <v>16</v>
      </c>
      <c r="J63" t="s">
        <v>157</v>
      </c>
      <c r="K63">
        <v>-122.99694</v>
      </c>
      <c r="L63">
        <v>37.982999999999997</v>
      </c>
      <c r="M63" t="s">
        <v>158</v>
      </c>
    </row>
    <row r="64" spans="1:13" x14ac:dyDescent="0.25">
      <c r="A64">
        <v>72</v>
      </c>
      <c r="B64" s="91">
        <v>33576</v>
      </c>
      <c r="C64" t="s">
        <v>97</v>
      </c>
      <c r="D64" t="s">
        <v>159</v>
      </c>
      <c r="E64" t="s">
        <v>71</v>
      </c>
      <c r="F64" t="s">
        <v>44</v>
      </c>
      <c r="G64" t="s">
        <v>374</v>
      </c>
      <c r="H64" t="s">
        <v>15</v>
      </c>
      <c r="I64" t="s">
        <v>16</v>
      </c>
      <c r="J64" t="s">
        <v>160</v>
      </c>
      <c r="K64">
        <v>-124.08333333333333</v>
      </c>
      <c r="L64">
        <v>40.028333333333336</v>
      </c>
      <c r="M64" t="s">
        <v>18</v>
      </c>
    </row>
    <row r="65" spans="1:13" x14ac:dyDescent="0.25">
      <c r="A65">
        <v>73</v>
      </c>
      <c r="B65" s="91">
        <v>33834</v>
      </c>
      <c r="C65" t="s">
        <v>136</v>
      </c>
      <c r="D65" t="s">
        <v>137</v>
      </c>
      <c r="E65" t="s">
        <v>76</v>
      </c>
      <c r="F65" t="s">
        <v>44</v>
      </c>
      <c r="G65" t="s">
        <v>374</v>
      </c>
      <c r="H65" t="s">
        <v>15</v>
      </c>
      <c r="I65" t="s">
        <v>16</v>
      </c>
      <c r="J65" t="s">
        <v>161</v>
      </c>
      <c r="K65">
        <v>-124.18833333333333</v>
      </c>
      <c r="L65">
        <v>41.561666666666667</v>
      </c>
      <c r="M65" t="s">
        <v>128</v>
      </c>
    </row>
    <row r="66" spans="1:13" x14ac:dyDescent="0.25">
      <c r="A66">
        <v>74</v>
      </c>
      <c r="B66" s="91">
        <v>33906</v>
      </c>
      <c r="C66" t="s">
        <v>94</v>
      </c>
      <c r="D66" t="s">
        <v>408</v>
      </c>
      <c r="E66" t="s">
        <v>71</v>
      </c>
      <c r="F66" t="s">
        <v>19</v>
      </c>
      <c r="G66" t="s">
        <v>443</v>
      </c>
      <c r="H66" s="92">
        <v>47</v>
      </c>
      <c r="I66" t="s">
        <v>16</v>
      </c>
      <c r="J66" t="s">
        <v>162</v>
      </c>
      <c r="K66">
        <v>-120.63666666666666</v>
      </c>
      <c r="L66">
        <v>34.04</v>
      </c>
      <c r="M66" t="s">
        <v>18</v>
      </c>
    </row>
    <row r="67" spans="1:13" x14ac:dyDescent="0.25">
      <c r="A67">
        <v>75</v>
      </c>
      <c r="B67" s="91">
        <v>33919</v>
      </c>
      <c r="C67" t="s">
        <v>163</v>
      </c>
      <c r="D67" t="s">
        <v>164</v>
      </c>
      <c r="E67" t="s">
        <v>60</v>
      </c>
      <c r="F67" t="s">
        <v>19</v>
      </c>
      <c r="G67" t="s">
        <v>443</v>
      </c>
      <c r="H67" s="92">
        <v>72</v>
      </c>
      <c r="I67" s="92" t="s">
        <v>102</v>
      </c>
      <c r="J67" t="s">
        <v>165</v>
      </c>
      <c r="K67">
        <v>-119.53833333333333</v>
      </c>
      <c r="L67">
        <v>33.226666666666667</v>
      </c>
      <c r="M67" t="s">
        <v>128</v>
      </c>
    </row>
    <row r="68" spans="1:13" x14ac:dyDescent="0.25">
      <c r="A68">
        <v>76</v>
      </c>
      <c r="B68" s="91">
        <v>33922</v>
      </c>
      <c r="C68" t="s">
        <v>66</v>
      </c>
      <c r="D68" t="s">
        <v>166</v>
      </c>
      <c r="E68" t="s">
        <v>140</v>
      </c>
      <c r="F68" t="s">
        <v>44</v>
      </c>
      <c r="G68" t="s">
        <v>374</v>
      </c>
      <c r="H68" t="s">
        <v>15</v>
      </c>
      <c r="I68" t="s">
        <v>16</v>
      </c>
      <c r="J68" t="s">
        <v>167</v>
      </c>
      <c r="K68">
        <v>-122.44333333333333</v>
      </c>
      <c r="L68">
        <v>37.108333333333334</v>
      </c>
      <c r="M68" t="s">
        <v>18</v>
      </c>
    </row>
    <row r="69" spans="1:13" x14ac:dyDescent="0.25">
      <c r="A69">
        <v>77</v>
      </c>
      <c r="B69" s="91">
        <v>33937</v>
      </c>
      <c r="C69" t="s">
        <v>11</v>
      </c>
      <c r="D69" t="s">
        <v>168</v>
      </c>
      <c r="E69" t="s">
        <v>26</v>
      </c>
      <c r="F69" t="s">
        <v>19</v>
      </c>
      <c r="G69" t="s">
        <v>443</v>
      </c>
      <c r="H69" t="s">
        <v>15</v>
      </c>
      <c r="I69" t="s">
        <v>102</v>
      </c>
      <c r="J69" t="s">
        <v>169</v>
      </c>
      <c r="K69">
        <v>-117.6</v>
      </c>
      <c r="L69">
        <v>33.369999999999997</v>
      </c>
      <c r="M69" t="s">
        <v>170</v>
      </c>
    </row>
    <row r="70" spans="1:13" x14ac:dyDescent="0.25">
      <c r="A70">
        <v>78</v>
      </c>
      <c r="B70" s="91">
        <v>34040</v>
      </c>
      <c r="C70" t="s">
        <v>66</v>
      </c>
      <c r="D70" t="s">
        <v>434</v>
      </c>
      <c r="E70" t="s">
        <v>26</v>
      </c>
      <c r="F70" t="s">
        <v>44</v>
      </c>
      <c r="G70" t="s">
        <v>374</v>
      </c>
      <c r="H70" s="92">
        <v>15</v>
      </c>
      <c r="I70" t="s">
        <v>16</v>
      </c>
      <c r="J70" t="s">
        <v>171</v>
      </c>
      <c r="K70">
        <v>-122.517</v>
      </c>
      <c r="L70">
        <v>37.596666666666664</v>
      </c>
      <c r="M70" t="s">
        <v>18</v>
      </c>
    </row>
    <row r="71" spans="1:13" x14ac:dyDescent="0.25">
      <c r="A71">
        <v>79</v>
      </c>
      <c r="B71" s="91">
        <v>34193</v>
      </c>
      <c r="C71" t="s">
        <v>78</v>
      </c>
      <c r="D71" t="s">
        <v>438</v>
      </c>
      <c r="E71" t="s">
        <v>26</v>
      </c>
      <c r="F71" t="s">
        <v>14</v>
      </c>
      <c r="G71" t="s">
        <v>443</v>
      </c>
      <c r="H71">
        <v>5</v>
      </c>
      <c r="I71" t="s">
        <v>16</v>
      </c>
      <c r="J71" t="s">
        <v>172</v>
      </c>
      <c r="K71">
        <v>-123.785</v>
      </c>
      <c r="L71">
        <v>39.666666666666664</v>
      </c>
      <c r="M71" t="s">
        <v>18</v>
      </c>
    </row>
    <row r="72" spans="1:13" x14ac:dyDescent="0.25">
      <c r="A72">
        <v>80</v>
      </c>
      <c r="B72" s="91">
        <v>34252</v>
      </c>
      <c r="C72" t="s">
        <v>42</v>
      </c>
      <c r="D72" t="s">
        <v>173</v>
      </c>
      <c r="E72" t="s">
        <v>140</v>
      </c>
      <c r="F72" t="s">
        <v>44</v>
      </c>
      <c r="G72" t="s">
        <v>374</v>
      </c>
      <c r="H72" t="s">
        <v>15</v>
      </c>
      <c r="I72" t="s">
        <v>16</v>
      </c>
      <c r="J72" t="s">
        <v>174</v>
      </c>
      <c r="K72">
        <v>-123.13333333333334</v>
      </c>
      <c r="L72">
        <v>38.436666666666667</v>
      </c>
      <c r="M72" t="s">
        <v>18</v>
      </c>
    </row>
    <row r="73" spans="1:13" x14ac:dyDescent="0.25">
      <c r="A73">
        <v>81</v>
      </c>
      <c r="B73" s="91">
        <v>34272</v>
      </c>
      <c r="C73" t="s">
        <v>97</v>
      </c>
      <c r="D73" t="s">
        <v>175</v>
      </c>
      <c r="E73" t="s">
        <v>76</v>
      </c>
      <c r="F73" t="s">
        <v>14</v>
      </c>
      <c r="G73" t="s">
        <v>443</v>
      </c>
      <c r="H73" t="s">
        <v>15</v>
      </c>
      <c r="I73" t="s">
        <v>16</v>
      </c>
      <c r="J73" t="s">
        <v>176</v>
      </c>
      <c r="K73">
        <v>-124.22666666666667</v>
      </c>
      <c r="L73">
        <v>40.770000000000003</v>
      </c>
      <c r="M73" t="s">
        <v>128</v>
      </c>
    </row>
    <row r="74" spans="1:13" x14ac:dyDescent="0.25">
      <c r="A74">
        <v>83</v>
      </c>
      <c r="B74" s="91">
        <v>34874</v>
      </c>
      <c r="C74" t="s">
        <v>11</v>
      </c>
      <c r="D74" t="s">
        <v>38</v>
      </c>
      <c r="E74" t="s">
        <v>140</v>
      </c>
      <c r="F74" t="s">
        <v>19</v>
      </c>
      <c r="G74" t="s">
        <v>443</v>
      </c>
      <c r="H74" t="s">
        <v>15</v>
      </c>
      <c r="I74" t="s">
        <v>16</v>
      </c>
      <c r="J74" t="s">
        <v>179</v>
      </c>
      <c r="K74">
        <v>-117.48</v>
      </c>
      <c r="L74">
        <v>32.854999999999997</v>
      </c>
      <c r="M74" t="s">
        <v>18</v>
      </c>
    </row>
    <row r="75" spans="1:13" x14ac:dyDescent="0.25">
      <c r="A75">
        <v>84</v>
      </c>
      <c r="B75" s="91">
        <v>34880</v>
      </c>
      <c r="C75" t="s">
        <v>22</v>
      </c>
      <c r="D75" t="s">
        <v>439</v>
      </c>
      <c r="E75" t="s">
        <v>60</v>
      </c>
      <c r="F75" t="s">
        <v>14</v>
      </c>
      <c r="G75" t="s">
        <v>443</v>
      </c>
      <c r="H75">
        <v>40</v>
      </c>
      <c r="I75" s="92" t="s">
        <v>16</v>
      </c>
      <c r="J75" t="s">
        <v>180</v>
      </c>
      <c r="K75">
        <v>-122.02666666666666</v>
      </c>
      <c r="L75">
        <v>36.526666666666664</v>
      </c>
      <c r="M75" t="s">
        <v>18</v>
      </c>
    </row>
    <row r="76" spans="1:13" x14ac:dyDescent="0.25">
      <c r="A76">
        <v>85</v>
      </c>
      <c r="B76" s="91">
        <v>34945</v>
      </c>
      <c r="C76" t="s">
        <v>97</v>
      </c>
      <c r="D76" t="s">
        <v>159</v>
      </c>
      <c r="E76" t="s">
        <v>26</v>
      </c>
      <c r="F76" t="s">
        <v>14</v>
      </c>
      <c r="G76" t="s">
        <v>443</v>
      </c>
      <c r="H76" t="s">
        <v>15</v>
      </c>
      <c r="I76" t="s">
        <v>16</v>
      </c>
      <c r="J76" t="s">
        <v>181</v>
      </c>
      <c r="K76">
        <v>-124.18333333333332</v>
      </c>
      <c r="L76">
        <v>40.028333333333336</v>
      </c>
      <c r="M76" t="s">
        <v>18</v>
      </c>
    </row>
    <row r="77" spans="1:13" x14ac:dyDescent="0.25">
      <c r="A77">
        <v>86</v>
      </c>
      <c r="B77" s="91">
        <v>34970</v>
      </c>
      <c r="C77" t="s">
        <v>52</v>
      </c>
      <c r="D77" t="s">
        <v>182</v>
      </c>
      <c r="E77" t="s">
        <v>76</v>
      </c>
      <c r="F77" t="s">
        <v>19</v>
      </c>
      <c r="G77" t="s">
        <v>443</v>
      </c>
      <c r="H77" t="s">
        <v>15</v>
      </c>
      <c r="I77" t="s">
        <v>16</v>
      </c>
      <c r="J77" t="s">
        <v>183</v>
      </c>
      <c r="K77">
        <v>-122.55333333333331</v>
      </c>
      <c r="L77">
        <v>37.049999999999997</v>
      </c>
      <c r="M77" t="s">
        <v>18</v>
      </c>
    </row>
    <row r="78" spans="1:13" x14ac:dyDescent="0.25">
      <c r="A78">
        <v>87</v>
      </c>
      <c r="B78" s="91">
        <v>35290</v>
      </c>
      <c r="C78" t="s">
        <v>50</v>
      </c>
      <c r="D78" t="s">
        <v>436</v>
      </c>
      <c r="E78" t="s">
        <v>26</v>
      </c>
      <c r="F78" t="s">
        <v>14</v>
      </c>
      <c r="G78" t="s">
        <v>443</v>
      </c>
      <c r="H78">
        <v>18</v>
      </c>
      <c r="I78" t="s">
        <v>16</v>
      </c>
      <c r="J78" t="s">
        <v>184</v>
      </c>
      <c r="K78">
        <v>-123.76499999999996</v>
      </c>
      <c r="L78">
        <v>38.181666666666665</v>
      </c>
      <c r="M78" t="s">
        <v>18</v>
      </c>
    </row>
    <row r="79" spans="1:13" x14ac:dyDescent="0.25">
      <c r="A79">
        <v>88</v>
      </c>
      <c r="B79" s="91">
        <v>35341</v>
      </c>
      <c r="C79" t="s">
        <v>42</v>
      </c>
      <c r="D79" t="s">
        <v>56</v>
      </c>
      <c r="E79" t="s">
        <v>76</v>
      </c>
      <c r="F79" t="s">
        <v>44</v>
      </c>
      <c r="G79" t="s">
        <v>374</v>
      </c>
      <c r="H79" t="s">
        <v>15</v>
      </c>
      <c r="I79" t="s">
        <v>16</v>
      </c>
      <c r="J79" t="s">
        <v>185</v>
      </c>
      <c r="K79">
        <v>-123.17666666666666</v>
      </c>
      <c r="L79">
        <v>38.358333333333334</v>
      </c>
      <c r="M79" t="s">
        <v>128</v>
      </c>
    </row>
    <row r="80" spans="1:13" x14ac:dyDescent="0.25">
      <c r="A80">
        <v>89</v>
      </c>
      <c r="B80" s="91">
        <v>35343</v>
      </c>
      <c r="C80" t="s">
        <v>50</v>
      </c>
      <c r="D80" t="s">
        <v>186</v>
      </c>
      <c r="E80" t="s">
        <v>76</v>
      </c>
      <c r="F80" t="s">
        <v>14</v>
      </c>
      <c r="G80" t="s">
        <v>443</v>
      </c>
      <c r="H80" t="s">
        <v>15</v>
      </c>
      <c r="I80" t="s">
        <v>16</v>
      </c>
      <c r="J80" t="s">
        <v>187</v>
      </c>
      <c r="K80">
        <v>-122.97166666666701</v>
      </c>
      <c r="L80">
        <v>38.25</v>
      </c>
      <c r="M80" t="s">
        <v>188</v>
      </c>
    </row>
    <row r="81" spans="1:13" x14ac:dyDescent="0.25">
      <c r="A81">
        <v>90</v>
      </c>
      <c r="B81" s="91">
        <v>35398</v>
      </c>
      <c r="C81" t="s">
        <v>42</v>
      </c>
      <c r="D81" t="s">
        <v>56</v>
      </c>
      <c r="E81" t="s">
        <v>76</v>
      </c>
      <c r="F81" t="s">
        <v>19</v>
      </c>
      <c r="G81" t="s">
        <v>443</v>
      </c>
      <c r="H81" t="s">
        <v>15</v>
      </c>
      <c r="I81" t="s">
        <v>16</v>
      </c>
      <c r="J81" t="s">
        <v>189</v>
      </c>
      <c r="K81">
        <v>-123.27666666666666</v>
      </c>
      <c r="L81">
        <v>38.358333333333334</v>
      </c>
      <c r="M81" t="s">
        <v>18</v>
      </c>
    </row>
    <row r="82" spans="1:13" x14ac:dyDescent="0.25">
      <c r="A82">
        <v>91</v>
      </c>
      <c r="B82" s="91">
        <v>35666</v>
      </c>
      <c r="C82" t="s">
        <v>97</v>
      </c>
      <c r="D82" t="s">
        <v>98</v>
      </c>
      <c r="E82" t="s">
        <v>76</v>
      </c>
      <c r="F82" t="s">
        <v>14</v>
      </c>
      <c r="G82" t="s">
        <v>443</v>
      </c>
      <c r="H82" t="s">
        <v>15</v>
      </c>
      <c r="I82" t="s">
        <v>16</v>
      </c>
      <c r="J82" t="s">
        <v>190</v>
      </c>
      <c r="K82">
        <v>-124.31166666666665</v>
      </c>
      <c r="L82">
        <v>41.024999999999999</v>
      </c>
      <c r="M82" t="s">
        <v>18</v>
      </c>
    </row>
    <row r="83" spans="1:13" x14ac:dyDescent="0.25">
      <c r="A83">
        <v>92</v>
      </c>
      <c r="B83" s="91">
        <v>36033</v>
      </c>
      <c r="C83" t="s">
        <v>50</v>
      </c>
      <c r="D83" t="s">
        <v>191</v>
      </c>
      <c r="E83" t="s">
        <v>76</v>
      </c>
      <c r="F83" t="s">
        <v>14</v>
      </c>
      <c r="G83" t="s">
        <v>443</v>
      </c>
      <c r="H83" t="s">
        <v>15</v>
      </c>
      <c r="I83" t="s">
        <v>16</v>
      </c>
      <c r="J83" t="s">
        <v>192</v>
      </c>
      <c r="K83">
        <v>-122.645</v>
      </c>
      <c r="L83">
        <v>37.896666666666668</v>
      </c>
      <c r="M83" t="s">
        <v>18</v>
      </c>
    </row>
    <row r="84" spans="1:13" x14ac:dyDescent="0.25">
      <c r="A84">
        <v>93</v>
      </c>
      <c r="B84" s="91">
        <v>36479</v>
      </c>
      <c r="C84" t="s">
        <v>52</v>
      </c>
      <c r="D84" t="s">
        <v>193</v>
      </c>
      <c r="E84" t="s">
        <v>76</v>
      </c>
      <c r="F84" t="s">
        <v>44</v>
      </c>
      <c r="G84" t="s">
        <v>374</v>
      </c>
      <c r="H84" t="s">
        <v>15</v>
      </c>
      <c r="I84" t="s">
        <v>16</v>
      </c>
      <c r="J84" t="s">
        <v>194</v>
      </c>
      <c r="K84">
        <v>-122.28333000000001</v>
      </c>
      <c r="L84">
        <v>37.095829999999999</v>
      </c>
      <c r="M84" t="s">
        <v>18</v>
      </c>
    </row>
    <row r="85" spans="1:13" x14ac:dyDescent="0.25">
      <c r="A85">
        <v>94</v>
      </c>
      <c r="B85" s="91">
        <v>36798</v>
      </c>
      <c r="C85" t="s">
        <v>66</v>
      </c>
      <c r="D85" t="s">
        <v>437</v>
      </c>
      <c r="E85" t="s">
        <v>76</v>
      </c>
      <c r="F85" t="s">
        <v>44</v>
      </c>
      <c r="G85" t="s">
        <v>374</v>
      </c>
      <c r="H85" t="s">
        <v>15</v>
      </c>
      <c r="I85" t="s">
        <v>16</v>
      </c>
      <c r="J85" t="s">
        <v>196</v>
      </c>
      <c r="K85">
        <v>-122.59899999999999</v>
      </c>
      <c r="L85">
        <v>37.491999999999997</v>
      </c>
      <c r="M85" t="s">
        <v>18</v>
      </c>
    </row>
    <row r="86" spans="1:13" x14ac:dyDescent="0.25">
      <c r="A86">
        <v>95</v>
      </c>
      <c r="B86" s="91">
        <v>36834</v>
      </c>
      <c r="C86" t="s">
        <v>97</v>
      </c>
      <c r="D86" t="s">
        <v>175</v>
      </c>
      <c r="E86" t="s">
        <v>76</v>
      </c>
      <c r="F86" t="s">
        <v>14</v>
      </c>
      <c r="G86" t="s">
        <v>443</v>
      </c>
      <c r="H86" t="s">
        <v>15</v>
      </c>
      <c r="I86" t="s">
        <v>16</v>
      </c>
      <c r="J86" t="s">
        <v>197</v>
      </c>
      <c r="K86">
        <v>-124.32666666666667</v>
      </c>
      <c r="L86">
        <v>40.770000000000003</v>
      </c>
      <c r="M86" t="s">
        <v>128</v>
      </c>
    </row>
    <row r="87" spans="1:13" x14ac:dyDescent="0.25">
      <c r="A87">
        <v>97</v>
      </c>
      <c r="B87" s="91">
        <v>37407</v>
      </c>
      <c r="C87" t="s">
        <v>50</v>
      </c>
      <c r="D87" t="s">
        <v>199</v>
      </c>
      <c r="E87" t="s">
        <v>76</v>
      </c>
      <c r="F87" t="s">
        <v>14</v>
      </c>
      <c r="G87" t="s">
        <v>443</v>
      </c>
      <c r="H87" t="s">
        <v>15</v>
      </c>
      <c r="I87" t="s">
        <v>16</v>
      </c>
      <c r="J87" t="s">
        <v>197</v>
      </c>
      <c r="K87">
        <v>-122.74499999999999</v>
      </c>
      <c r="L87">
        <v>37.896666666666668</v>
      </c>
      <c r="M87" t="s">
        <v>18</v>
      </c>
    </row>
    <row r="88" spans="1:13" x14ac:dyDescent="0.25">
      <c r="A88">
        <v>98</v>
      </c>
      <c r="B88" s="91">
        <v>37520</v>
      </c>
      <c r="C88" t="s">
        <v>97</v>
      </c>
      <c r="D88" t="s">
        <v>98</v>
      </c>
      <c r="E88" t="s">
        <v>76</v>
      </c>
      <c r="F88" t="s">
        <v>44</v>
      </c>
      <c r="G88" t="s">
        <v>374</v>
      </c>
      <c r="H88" t="s">
        <v>15</v>
      </c>
      <c r="I88" t="s">
        <v>16</v>
      </c>
      <c r="J88" t="s">
        <v>200</v>
      </c>
      <c r="K88">
        <v>-124.41166666666665</v>
      </c>
      <c r="L88">
        <v>41.024999999999999</v>
      </c>
      <c r="M88" t="s">
        <v>201</v>
      </c>
    </row>
    <row r="89" spans="1:13" x14ac:dyDescent="0.25">
      <c r="A89">
        <v>99</v>
      </c>
      <c r="B89" s="91">
        <v>37588</v>
      </c>
      <c r="C89" t="s">
        <v>42</v>
      </c>
      <c r="D89" t="s">
        <v>56</v>
      </c>
      <c r="E89" t="s">
        <v>76</v>
      </c>
      <c r="F89" t="s">
        <v>14</v>
      </c>
      <c r="G89" t="s">
        <v>443</v>
      </c>
      <c r="H89" t="s">
        <v>15</v>
      </c>
      <c r="I89" t="s">
        <v>16</v>
      </c>
      <c r="J89" t="s">
        <v>202</v>
      </c>
      <c r="K89">
        <v>-123.37666666666665</v>
      </c>
      <c r="L89">
        <v>38.358333333333334</v>
      </c>
      <c r="M89" t="s">
        <v>18</v>
      </c>
    </row>
    <row r="90" spans="1:13" x14ac:dyDescent="0.25">
      <c r="A90">
        <v>101</v>
      </c>
      <c r="B90" s="91">
        <v>38135</v>
      </c>
      <c r="C90" t="s">
        <v>42</v>
      </c>
      <c r="D90" t="s">
        <v>56</v>
      </c>
      <c r="E90" t="s">
        <v>76</v>
      </c>
      <c r="F90" t="s">
        <v>44</v>
      </c>
      <c r="G90" t="s">
        <v>374</v>
      </c>
      <c r="H90" t="s">
        <v>15</v>
      </c>
      <c r="I90" t="s">
        <v>16</v>
      </c>
      <c r="J90" t="s">
        <v>206</v>
      </c>
      <c r="K90">
        <v>-123.47666666666665</v>
      </c>
      <c r="L90">
        <v>38.358333333333334</v>
      </c>
      <c r="M90" t="s">
        <v>207</v>
      </c>
    </row>
    <row r="91" spans="1:13" x14ac:dyDescent="0.25">
      <c r="A91">
        <v>102</v>
      </c>
      <c r="B91" s="91">
        <v>38164</v>
      </c>
      <c r="C91" t="s">
        <v>11</v>
      </c>
      <c r="D91" t="s">
        <v>168</v>
      </c>
      <c r="E91" t="s">
        <v>76</v>
      </c>
      <c r="F91" t="s">
        <v>44</v>
      </c>
      <c r="G91" t="s">
        <v>374</v>
      </c>
      <c r="H91" t="s">
        <v>15</v>
      </c>
      <c r="I91" t="s">
        <v>16</v>
      </c>
      <c r="J91" t="s">
        <v>208</v>
      </c>
      <c r="K91">
        <v>-117.7</v>
      </c>
      <c r="L91">
        <v>33.369999999999997</v>
      </c>
      <c r="M91" t="s">
        <v>209</v>
      </c>
    </row>
    <row r="92" spans="1:13" x14ac:dyDescent="0.25">
      <c r="A92">
        <v>104</v>
      </c>
      <c r="B92" s="91">
        <v>38219</v>
      </c>
      <c r="C92" t="s">
        <v>123</v>
      </c>
      <c r="D92" t="s">
        <v>212</v>
      </c>
      <c r="E92" t="s">
        <v>76</v>
      </c>
      <c r="F92" t="s">
        <v>19</v>
      </c>
      <c r="G92" t="s">
        <v>443</v>
      </c>
      <c r="H92" t="s">
        <v>15</v>
      </c>
      <c r="I92" t="s">
        <v>16</v>
      </c>
      <c r="J92" t="s">
        <v>213</v>
      </c>
      <c r="K92">
        <v>-117.6198</v>
      </c>
      <c r="L92">
        <v>33.450000000000003</v>
      </c>
      <c r="M92" t="s">
        <v>128</v>
      </c>
    </row>
    <row r="93" spans="1:13" x14ac:dyDescent="0.25">
      <c r="A93">
        <v>105</v>
      </c>
      <c r="B93" s="91">
        <v>38261</v>
      </c>
      <c r="C93" t="s">
        <v>123</v>
      </c>
      <c r="D93" t="s">
        <v>405</v>
      </c>
      <c r="E93" t="s">
        <v>76</v>
      </c>
      <c r="F93" t="s">
        <v>44</v>
      </c>
      <c r="G93" t="s">
        <v>374</v>
      </c>
      <c r="H93" t="s">
        <v>15</v>
      </c>
      <c r="I93" t="s">
        <v>16</v>
      </c>
      <c r="J93" t="s">
        <v>214</v>
      </c>
      <c r="K93">
        <v>-118</v>
      </c>
      <c r="L93">
        <v>33.700000000000003</v>
      </c>
      <c r="M93" t="s">
        <v>128</v>
      </c>
    </row>
    <row r="94" spans="1:13" x14ac:dyDescent="0.25">
      <c r="A94">
        <v>106</v>
      </c>
      <c r="B94" s="91">
        <v>38262</v>
      </c>
      <c r="C94" t="s">
        <v>28</v>
      </c>
      <c r="D94" t="s">
        <v>29</v>
      </c>
      <c r="E94" t="s">
        <v>76</v>
      </c>
      <c r="F94" t="s">
        <v>44</v>
      </c>
      <c r="G94" t="s">
        <v>374</v>
      </c>
      <c r="H94" t="s">
        <v>15</v>
      </c>
      <c r="I94" t="s">
        <v>16</v>
      </c>
      <c r="J94" t="s">
        <v>215</v>
      </c>
      <c r="K94">
        <v>-120.74666666666666</v>
      </c>
      <c r="L94">
        <v>35.138333333333335</v>
      </c>
      <c r="M94" t="s">
        <v>216</v>
      </c>
    </row>
    <row r="95" spans="1:13" x14ac:dyDescent="0.25">
      <c r="A95">
        <v>107</v>
      </c>
      <c r="B95" s="91">
        <v>38270</v>
      </c>
      <c r="C95" t="s">
        <v>50</v>
      </c>
      <c r="D95" t="s">
        <v>217</v>
      </c>
      <c r="E95" t="s">
        <v>76</v>
      </c>
      <c r="F95" t="s">
        <v>19</v>
      </c>
      <c r="G95" t="s">
        <v>443</v>
      </c>
      <c r="H95" t="s">
        <v>15</v>
      </c>
      <c r="I95" t="s">
        <v>16</v>
      </c>
      <c r="J95" t="s">
        <v>218</v>
      </c>
      <c r="K95">
        <v>-122.886</v>
      </c>
      <c r="L95">
        <v>38.024000000000001</v>
      </c>
      <c r="M95" t="s">
        <v>219</v>
      </c>
    </row>
    <row r="96" spans="1:13" x14ac:dyDescent="0.25">
      <c r="A96">
        <v>108</v>
      </c>
      <c r="B96" s="91">
        <v>38302</v>
      </c>
      <c r="C96" t="s">
        <v>97</v>
      </c>
      <c r="D96" t="s">
        <v>175</v>
      </c>
      <c r="E96" t="s">
        <v>76</v>
      </c>
      <c r="F96" t="s">
        <v>14</v>
      </c>
      <c r="G96" t="s">
        <v>443</v>
      </c>
      <c r="H96" t="s">
        <v>15</v>
      </c>
      <c r="I96" t="s">
        <v>16</v>
      </c>
      <c r="J96" t="s">
        <v>220</v>
      </c>
      <c r="K96">
        <v>-124.42666666666666</v>
      </c>
      <c r="L96">
        <v>40.770000000000003</v>
      </c>
      <c r="M96" t="s">
        <v>221</v>
      </c>
    </row>
    <row r="97" spans="1:13" x14ac:dyDescent="0.25">
      <c r="A97">
        <v>109</v>
      </c>
      <c r="B97" s="91">
        <v>38588</v>
      </c>
      <c r="C97" t="s">
        <v>11</v>
      </c>
      <c r="D97" t="s">
        <v>38</v>
      </c>
      <c r="E97" t="s">
        <v>76</v>
      </c>
      <c r="F97" t="s">
        <v>19</v>
      </c>
      <c r="G97" t="s">
        <v>443</v>
      </c>
      <c r="H97" t="s">
        <v>15</v>
      </c>
      <c r="I97" t="s">
        <v>16</v>
      </c>
      <c r="J97" t="s">
        <v>222</v>
      </c>
      <c r="K97">
        <v>-117.58</v>
      </c>
      <c r="L97">
        <v>32.854999999999997</v>
      </c>
      <c r="M97" t="s">
        <v>128</v>
      </c>
    </row>
    <row r="98" spans="1:13" x14ac:dyDescent="0.25">
      <c r="A98">
        <v>110</v>
      </c>
      <c r="B98" s="91">
        <v>38644</v>
      </c>
      <c r="C98" t="s">
        <v>42</v>
      </c>
      <c r="D98" t="s">
        <v>56</v>
      </c>
      <c r="E98" t="s">
        <v>76</v>
      </c>
      <c r="F98" t="s">
        <v>14</v>
      </c>
      <c r="G98" t="s">
        <v>443</v>
      </c>
      <c r="H98" t="s">
        <v>15</v>
      </c>
      <c r="I98" t="s">
        <v>16</v>
      </c>
      <c r="J98" t="s">
        <v>223</v>
      </c>
      <c r="K98" s="108">
        <v>-123.57666666666699</v>
      </c>
      <c r="L98" s="108">
        <v>38.358333333333334</v>
      </c>
      <c r="M98" t="s">
        <v>224</v>
      </c>
    </row>
    <row r="99" spans="1:13" x14ac:dyDescent="0.25">
      <c r="A99">
        <v>111</v>
      </c>
      <c r="B99" s="91">
        <v>38646</v>
      </c>
      <c r="C99" t="s">
        <v>136</v>
      </c>
      <c r="D99" t="s">
        <v>225</v>
      </c>
      <c r="E99" t="s">
        <v>76</v>
      </c>
      <c r="F99" t="s">
        <v>19</v>
      </c>
      <c r="G99" t="s">
        <v>443</v>
      </c>
      <c r="H99" t="s">
        <v>15</v>
      </c>
      <c r="I99" t="s">
        <v>16</v>
      </c>
      <c r="J99" t="s">
        <v>226</v>
      </c>
      <c r="K99">
        <v>-124.28833333333333</v>
      </c>
      <c r="L99">
        <v>41.561666666666667</v>
      </c>
      <c r="M99" t="s">
        <v>227</v>
      </c>
    </row>
    <row r="100" spans="1:13" x14ac:dyDescent="0.25">
      <c r="A100">
        <v>113</v>
      </c>
      <c r="B100" s="91">
        <v>38658</v>
      </c>
      <c r="C100" t="s">
        <v>35</v>
      </c>
      <c r="D100" t="s">
        <v>231</v>
      </c>
      <c r="E100" t="s">
        <v>76</v>
      </c>
      <c r="F100" t="s">
        <v>44</v>
      </c>
      <c r="G100" t="s">
        <v>374</v>
      </c>
      <c r="H100" t="s">
        <v>15</v>
      </c>
      <c r="I100" t="s">
        <v>16</v>
      </c>
      <c r="J100" t="s">
        <v>232</v>
      </c>
      <c r="K100">
        <v>-122.518</v>
      </c>
      <c r="L100">
        <v>37.74</v>
      </c>
      <c r="M100" t="s">
        <v>233</v>
      </c>
    </row>
    <row r="101" spans="1:13" x14ac:dyDescent="0.25">
      <c r="A101">
        <v>112</v>
      </c>
      <c r="B101" s="91">
        <v>38658</v>
      </c>
      <c r="C101" t="s">
        <v>66</v>
      </c>
      <c r="D101" t="s">
        <v>228</v>
      </c>
      <c r="E101" t="s">
        <v>76</v>
      </c>
      <c r="F101" t="s">
        <v>44</v>
      </c>
      <c r="G101" t="s">
        <v>374</v>
      </c>
      <c r="H101" t="s">
        <v>15</v>
      </c>
      <c r="I101" t="s">
        <v>16</v>
      </c>
      <c r="J101" t="s">
        <v>229</v>
      </c>
      <c r="K101">
        <v>-122.69899999999998</v>
      </c>
      <c r="L101">
        <v>37.491999999999997</v>
      </c>
      <c r="M101" t="s">
        <v>230</v>
      </c>
    </row>
    <row r="102" spans="1:13" x14ac:dyDescent="0.25">
      <c r="A102">
        <v>114</v>
      </c>
      <c r="B102" s="91">
        <v>38735</v>
      </c>
      <c r="C102" t="s">
        <v>52</v>
      </c>
      <c r="D102" t="s">
        <v>52</v>
      </c>
      <c r="E102" t="s">
        <v>76</v>
      </c>
      <c r="F102" t="s">
        <v>44</v>
      </c>
      <c r="G102" t="s">
        <v>374</v>
      </c>
      <c r="H102" t="s">
        <v>15</v>
      </c>
      <c r="I102" t="s">
        <v>16</v>
      </c>
      <c r="J102" t="s">
        <v>234</v>
      </c>
      <c r="K102">
        <v>-122.19499999999999</v>
      </c>
      <c r="L102">
        <v>36.96</v>
      </c>
      <c r="M102" t="s">
        <v>233</v>
      </c>
    </row>
    <row r="103" spans="1:13" x14ac:dyDescent="0.25">
      <c r="A103">
        <v>115</v>
      </c>
      <c r="B103" s="91">
        <v>38885</v>
      </c>
      <c r="C103" t="s">
        <v>22</v>
      </c>
      <c r="D103" t="s">
        <v>22</v>
      </c>
      <c r="E103" t="s">
        <v>60</v>
      </c>
      <c r="F103" t="s">
        <v>44</v>
      </c>
      <c r="G103" t="s">
        <v>374</v>
      </c>
      <c r="H103" t="s">
        <v>235</v>
      </c>
      <c r="I103" t="s">
        <v>16</v>
      </c>
      <c r="J103" t="s">
        <v>236</v>
      </c>
      <c r="K103">
        <v>-121.85</v>
      </c>
      <c r="L103">
        <v>36.626666666666665</v>
      </c>
      <c r="M103" t="s">
        <v>227</v>
      </c>
    </row>
    <row r="104" spans="1:13" x14ac:dyDescent="0.25">
      <c r="A104">
        <v>116</v>
      </c>
      <c r="B104" s="91">
        <v>39061</v>
      </c>
      <c r="C104" t="s">
        <v>50</v>
      </c>
      <c r="D104" t="s">
        <v>186</v>
      </c>
      <c r="E104" t="s">
        <v>76</v>
      </c>
      <c r="F104" t="s">
        <v>19</v>
      </c>
      <c r="G104" t="s">
        <v>443</v>
      </c>
      <c r="H104" t="s">
        <v>15</v>
      </c>
      <c r="I104" t="s">
        <v>16</v>
      </c>
      <c r="J104" t="s">
        <v>237</v>
      </c>
      <c r="K104">
        <v>-123.071666666667</v>
      </c>
      <c r="L104">
        <v>38.25</v>
      </c>
      <c r="M104" t="s">
        <v>207</v>
      </c>
    </row>
    <row r="105" spans="1:13" x14ac:dyDescent="0.25">
      <c r="A105">
        <v>117</v>
      </c>
      <c r="B105" s="91">
        <v>39263</v>
      </c>
      <c r="C105" t="s">
        <v>46</v>
      </c>
      <c r="D105" t="s">
        <v>238</v>
      </c>
      <c r="E105" t="s">
        <v>13</v>
      </c>
      <c r="F105" t="s">
        <v>19</v>
      </c>
      <c r="G105" t="s">
        <v>443</v>
      </c>
      <c r="H105" t="s">
        <v>15</v>
      </c>
      <c r="I105" t="s">
        <v>102</v>
      </c>
      <c r="J105" t="s">
        <v>239</v>
      </c>
      <c r="K105">
        <v>-118.54</v>
      </c>
      <c r="L105">
        <v>34.03</v>
      </c>
      <c r="M105" t="s">
        <v>240</v>
      </c>
    </row>
    <row r="106" spans="1:13" x14ac:dyDescent="0.25">
      <c r="A106">
        <v>118</v>
      </c>
      <c r="B106" s="91">
        <v>39280</v>
      </c>
      <c r="C106" t="s">
        <v>241</v>
      </c>
      <c r="D106" t="s">
        <v>242</v>
      </c>
      <c r="E106" t="s">
        <v>13</v>
      </c>
      <c r="F106" t="s">
        <v>19</v>
      </c>
      <c r="G106" t="s">
        <v>443</v>
      </c>
      <c r="H106" t="s">
        <v>15</v>
      </c>
      <c r="I106" t="s">
        <v>102</v>
      </c>
      <c r="J106" t="s">
        <v>243</v>
      </c>
      <c r="K106">
        <v>-119.39100000000001</v>
      </c>
      <c r="L106">
        <v>34.317999999999998</v>
      </c>
      <c r="M106" t="s">
        <v>244</v>
      </c>
    </row>
    <row r="107" spans="1:13" x14ac:dyDescent="0.25">
      <c r="A107">
        <v>119</v>
      </c>
      <c r="B107" s="91">
        <v>39284</v>
      </c>
      <c r="C107" t="s">
        <v>66</v>
      </c>
      <c r="D107" t="s">
        <v>245</v>
      </c>
      <c r="E107" t="s">
        <v>140</v>
      </c>
      <c r="F107" t="s">
        <v>44</v>
      </c>
      <c r="G107" t="s">
        <v>374</v>
      </c>
      <c r="H107" t="s">
        <v>15</v>
      </c>
      <c r="I107" t="s">
        <v>16</v>
      </c>
      <c r="J107" t="s">
        <v>246</v>
      </c>
      <c r="K107">
        <v>-122.60833333333332</v>
      </c>
      <c r="L107">
        <v>37.19166666666667</v>
      </c>
      <c r="M107" t="s">
        <v>247</v>
      </c>
    </row>
    <row r="108" spans="1:13" x14ac:dyDescent="0.25">
      <c r="A108">
        <v>120</v>
      </c>
      <c r="B108" s="91">
        <v>39285</v>
      </c>
      <c r="C108" t="s">
        <v>46</v>
      </c>
      <c r="D108" t="s">
        <v>139</v>
      </c>
      <c r="E108" t="s">
        <v>112</v>
      </c>
      <c r="F108" t="s">
        <v>44</v>
      </c>
      <c r="G108" t="s">
        <v>374</v>
      </c>
      <c r="H108" t="s">
        <v>15</v>
      </c>
      <c r="I108" t="s">
        <v>16</v>
      </c>
      <c r="J108" t="s">
        <v>248</v>
      </c>
      <c r="K108">
        <v>-118.98333333333299</v>
      </c>
      <c r="L108">
        <v>34.018333333333331</v>
      </c>
      <c r="M108" t="s">
        <v>249</v>
      </c>
    </row>
    <row r="109" spans="1:13" x14ac:dyDescent="0.25">
      <c r="A109">
        <v>121</v>
      </c>
      <c r="B109" s="91">
        <v>39291</v>
      </c>
      <c r="C109" t="s">
        <v>11</v>
      </c>
      <c r="D109" t="s">
        <v>12</v>
      </c>
      <c r="E109" t="s">
        <v>76</v>
      </c>
      <c r="F109" t="s">
        <v>44</v>
      </c>
      <c r="G109" t="s">
        <v>374</v>
      </c>
      <c r="H109" t="s">
        <v>15</v>
      </c>
      <c r="I109" t="s">
        <v>102</v>
      </c>
      <c r="J109" t="s">
        <v>250</v>
      </c>
      <c r="K109">
        <v>-117.34666666666665</v>
      </c>
      <c r="L109">
        <v>32.588333333333331</v>
      </c>
      <c r="M109" t="s">
        <v>251</v>
      </c>
    </row>
    <row r="110" spans="1:13" x14ac:dyDescent="0.25">
      <c r="A110">
        <v>122</v>
      </c>
      <c r="B110" s="91">
        <v>39322</v>
      </c>
      <c r="C110" t="s">
        <v>22</v>
      </c>
      <c r="D110" t="s">
        <v>252</v>
      </c>
      <c r="E110" t="s">
        <v>76</v>
      </c>
      <c r="F110" t="s">
        <v>14</v>
      </c>
      <c r="G110" t="s">
        <v>443</v>
      </c>
      <c r="H110" t="s">
        <v>15</v>
      </c>
      <c r="I110" t="s">
        <v>16</v>
      </c>
      <c r="J110" t="s">
        <v>487</v>
      </c>
      <c r="K110">
        <v>-121.8</v>
      </c>
      <c r="L110">
        <v>36.700000000000003</v>
      </c>
      <c r="M110" t="s">
        <v>254</v>
      </c>
    </row>
    <row r="111" spans="1:13" x14ac:dyDescent="0.25">
      <c r="A111">
        <v>123</v>
      </c>
      <c r="B111" s="91">
        <v>39352</v>
      </c>
      <c r="C111" t="s">
        <v>97</v>
      </c>
      <c r="D111" t="s">
        <v>98</v>
      </c>
      <c r="E111" t="s">
        <v>76</v>
      </c>
      <c r="F111" t="s">
        <v>44</v>
      </c>
      <c r="G111" t="s">
        <v>374</v>
      </c>
      <c r="H111" t="s">
        <v>15</v>
      </c>
      <c r="I111" t="s">
        <v>16</v>
      </c>
      <c r="J111" t="s">
        <v>255</v>
      </c>
      <c r="K111">
        <v>-124.51166666666664</v>
      </c>
      <c r="L111">
        <v>41.024999999999999</v>
      </c>
      <c r="M111" t="s">
        <v>256</v>
      </c>
    </row>
    <row r="112" spans="1:13" x14ac:dyDescent="0.25">
      <c r="A112">
        <v>124</v>
      </c>
      <c r="B112" s="91">
        <v>39355</v>
      </c>
      <c r="C112" t="s">
        <v>46</v>
      </c>
      <c r="D112" t="s">
        <v>257</v>
      </c>
      <c r="E112" t="s">
        <v>76</v>
      </c>
      <c r="F112" t="s">
        <v>19</v>
      </c>
      <c r="G112" t="s">
        <v>443</v>
      </c>
      <c r="H112" t="s">
        <v>15</v>
      </c>
      <c r="I112" t="s">
        <v>102</v>
      </c>
      <c r="J112" t="s">
        <v>258</v>
      </c>
      <c r="K112">
        <v>-118.502</v>
      </c>
      <c r="L112">
        <v>34.003999999999998</v>
      </c>
      <c r="M112" t="s">
        <v>128</v>
      </c>
    </row>
    <row r="113" spans="1:13" x14ac:dyDescent="0.25">
      <c r="A113">
        <v>125</v>
      </c>
      <c r="B113" s="91">
        <v>39362</v>
      </c>
      <c r="C113" t="s">
        <v>46</v>
      </c>
      <c r="D113" t="s">
        <v>259</v>
      </c>
      <c r="E113" t="s">
        <v>76</v>
      </c>
      <c r="F113" t="s">
        <v>19</v>
      </c>
      <c r="G113" t="s">
        <v>443</v>
      </c>
      <c r="H113" t="s">
        <v>15</v>
      </c>
      <c r="I113" t="s">
        <v>260</v>
      </c>
      <c r="J113" t="s">
        <v>261</v>
      </c>
      <c r="K113">
        <v>-118.46899999999999</v>
      </c>
      <c r="L113">
        <v>33.978000000000002</v>
      </c>
      <c r="M113" t="s">
        <v>262</v>
      </c>
    </row>
    <row r="114" spans="1:13" x14ac:dyDescent="0.25">
      <c r="A114">
        <v>126</v>
      </c>
      <c r="B114" s="91">
        <v>39514</v>
      </c>
      <c r="C114" t="s">
        <v>123</v>
      </c>
      <c r="D114" t="s">
        <v>263</v>
      </c>
      <c r="E114" t="s">
        <v>76</v>
      </c>
      <c r="F114" t="s">
        <v>44</v>
      </c>
      <c r="G114" t="s">
        <v>374</v>
      </c>
      <c r="H114" t="s">
        <v>15</v>
      </c>
      <c r="I114" t="s">
        <v>16</v>
      </c>
      <c r="J114" t="s">
        <v>264</v>
      </c>
      <c r="K114">
        <v>-118.1</v>
      </c>
      <c r="L114">
        <v>33.700000000000003</v>
      </c>
      <c r="M114" t="s">
        <v>265</v>
      </c>
    </row>
    <row r="115" spans="1:13" x14ac:dyDescent="0.25">
      <c r="A115">
        <v>128</v>
      </c>
      <c r="B115" s="91">
        <v>39620</v>
      </c>
      <c r="C115" t="s">
        <v>269</v>
      </c>
      <c r="D115" t="s">
        <v>270</v>
      </c>
      <c r="E115" t="s">
        <v>140</v>
      </c>
      <c r="F115" t="s">
        <v>44</v>
      </c>
      <c r="G115" t="s">
        <v>374</v>
      </c>
      <c r="H115" t="s">
        <v>15</v>
      </c>
      <c r="I115" t="s">
        <v>16</v>
      </c>
      <c r="J115" t="s">
        <v>271</v>
      </c>
      <c r="K115">
        <v>-118.41630000000001</v>
      </c>
      <c r="L115">
        <v>33.387900000000002</v>
      </c>
      <c r="M115" t="s">
        <v>265</v>
      </c>
    </row>
    <row r="116" spans="1:13" x14ac:dyDescent="0.25">
      <c r="A116">
        <v>129</v>
      </c>
      <c r="B116" s="91">
        <v>39699</v>
      </c>
      <c r="C116" t="s">
        <v>69</v>
      </c>
      <c r="D116" t="s">
        <v>272</v>
      </c>
      <c r="E116" t="s">
        <v>76</v>
      </c>
      <c r="F116" t="s">
        <v>44</v>
      </c>
      <c r="G116" t="s">
        <v>374</v>
      </c>
      <c r="H116" t="s">
        <v>15</v>
      </c>
      <c r="I116" t="s">
        <v>16</v>
      </c>
      <c r="J116" t="s">
        <v>273</v>
      </c>
      <c r="K116">
        <v>-120.61</v>
      </c>
      <c r="L116">
        <v>34.683</v>
      </c>
      <c r="M116" t="s">
        <v>274</v>
      </c>
    </row>
    <row r="117" spans="1:13" x14ac:dyDescent="0.25">
      <c r="A117">
        <v>130</v>
      </c>
      <c r="B117" s="91">
        <v>39909</v>
      </c>
      <c r="C117" t="s">
        <v>11</v>
      </c>
      <c r="D117" t="s">
        <v>11</v>
      </c>
      <c r="E117" t="s">
        <v>26</v>
      </c>
      <c r="F117" t="s">
        <v>44</v>
      </c>
      <c r="G117" t="s">
        <v>374</v>
      </c>
      <c r="H117" t="s">
        <v>15</v>
      </c>
      <c r="I117" t="s">
        <v>16</v>
      </c>
      <c r="J117" t="s">
        <v>275</v>
      </c>
      <c r="K117">
        <v>-117.274</v>
      </c>
      <c r="L117">
        <v>32.817</v>
      </c>
      <c r="M117" t="s">
        <v>276</v>
      </c>
    </row>
    <row r="118" spans="1:13" x14ac:dyDescent="0.25">
      <c r="A118">
        <v>131</v>
      </c>
      <c r="B118" s="91">
        <v>40050</v>
      </c>
      <c r="C118" t="s">
        <v>11</v>
      </c>
      <c r="D118" t="s">
        <v>409</v>
      </c>
      <c r="E118" t="s">
        <v>13</v>
      </c>
      <c r="F118" t="s">
        <v>19</v>
      </c>
      <c r="G118" t="s">
        <v>443</v>
      </c>
      <c r="H118" t="s">
        <v>15</v>
      </c>
      <c r="I118" t="s">
        <v>16</v>
      </c>
      <c r="J118" t="s">
        <v>277</v>
      </c>
      <c r="K118">
        <v>-117.3</v>
      </c>
      <c r="L118">
        <v>33.1</v>
      </c>
      <c r="M118" t="s">
        <v>278</v>
      </c>
    </row>
    <row r="119" spans="1:13" x14ac:dyDescent="0.25">
      <c r="A119">
        <v>132</v>
      </c>
      <c r="B119" s="91">
        <v>40055</v>
      </c>
      <c r="C119" t="s">
        <v>123</v>
      </c>
      <c r="D119" t="s">
        <v>263</v>
      </c>
      <c r="E119" t="s">
        <v>76</v>
      </c>
      <c r="F119" t="s">
        <v>44</v>
      </c>
      <c r="G119" t="s">
        <v>374</v>
      </c>
      <c r="H119" t="s">
        <v>15</v>
      </c>
      <c r="I119" t="s">
        <v>16</v>
      </c>
      <c r="J119" t="s">
        <v>279</v>
      </c>
      <c r="K119">
        <v>-118.19999999999999</v>
      </c>
      <c r="L119">
        <v>33.700000000000003</v>
      </c>
      <c r="M119" t="s">
        <v>128</v>
      </c>
    </row>
    <row r="120" spans="1:13" x14ac:dyDescent="0.25">
      <c r="A120">
        <v>133</v>
      </c>
      <c r="B120" s="91">
        <v>40110</v>
      </c>
      <c r="C120" t="s">
        <v>11</v>
      </c>
      <c r="D120" t="s">
        <v>168</v>
      </c>
      <c r="E120" t="s">
        <v>76</v>
      </c>
      <c r="F120" t="s">
        <v>19</v>
      </c>
      <c r="G120" t="s">
        <v>443</v>
      </c>
      <c r="H120" t="s">
        <v>15</v>
      </c>
      <c r="I120" t="s">
        <v>102</v>
      </c>
      <c r="J120" t="s">
        <v>280</v>
      </c>
      <c r="K120">
        <v>-117.8</v>
      </c>
      <c r="L120">
        <v>33.369999999999997</v>
      </c>
      <c r="M120" t="s">
        <v>128</v>
      </c>
    </row>
    <row r="121" spans="1:13" x14ac:dyDescent="0.25">
      <c r="A121">
        <v>134</v>
      </c>
      <c r="B121" s="91">
        <v>40122</v>
      </c>
      <c r="C121" t="s">
        <v>52</v>
      </c>
      <c r="D121" t="s">
        <v>152</v>
      </c>
      <c r="E121" t="s">
        <v>76</v>
      </c>
      <c r="F121" t="s">
        <v>44</v>
      </c>
      <c r="G121" t="s">
        <v>374</v>
      </c>
      <c r="H121" t="s">
        <v>15</v>
      </c>
      <c r="I121" t="s">
        <v>16</v>
      </c>
      <c r="J121" t="s">
        <v>281</v>
      </c>
      <c r="K121">
        <v>-122.65333333333331</v>
      </c>
      <c r="L121">
        <v>37.049999999999997</v>
      </c>
      <c r="M121" t="s">
        <v>282</v>
      </c>
    </row>
    <row r="122" spans="1:13" x14ac:dyDescent="0.25">
      <c r="A122">
        <v>135</v>
      </c>
      <c r="B122" s="91">
        <v>40361</v>
      </c>
      <c r="C122" t="s">
        <v>11</v>
      </c>
      <c r="D122" t="s">
        <v>168</v>
      </c>
      <c r="E122" t="s">
        <v>112</v>
      </c>
      <c r="F122" t="s">
        <v>44</v>
      </c>
      <c r="G122" t="s">
        <v>374</v>
      </c>
      <c r="H122" t="s">
        <v>15</v>
      </c>
      <c r="I122" t="s">
        <v>16</v>
      </c>
      <c r="J122" t="s">
        <v>283</v>
      </c>
      <c r="K122">
        <v>-117.9</v>
      </c>
      <c r="L122">
        <v>33.369999999999997</v>
      </c>
      <c r="M122" t="s">
        <v>265</v>
      </c>
    </row>
    <row r="123" spans="1:13" x14ac:dyDescent="0.25">
      <c r="A123">
        <v>136</v>
      </c>
      <c r="B123" s="91">
        <v>40361</v>
      </c>
      <c r="C123" t="s">
        <v>28</v>
      </c>
      <c r="D123" t="s">
        <v>29</v>
      </c>
      <c r="E123" t="s">
        <v>76</v>
      </c>
      <c r="F123" t="s">
        <v>19</v>
      </c>
      <c r="G123" t="s">
        <v>443</v>
      </c>
      <c r="H123" t="s">
        <v>15</v>
      </c>
      <c r="I123" t="s">
        <v>260</v>
      </c>
      <c r="J123" t="s">
        <v>284</v>
      </c>
      <c r="K123">
        <v>-120.84666666666665</v>
      </c>
      <c r="L123">
        <v>35.138333333333335</v>
      </c>
      <c r="M123" t="s">
        <v>285</v>
      </c>
    </row>
    <row r="124" spans="1:13" x14ac:dyDescent="0.25">
      <c r="A124">
        <v>137</v>
      </c>
      <c r="B124" s="91">
        <v>40392</v>
      </c>
      <c r="C124" t="s">
        <v>69</v>
      </c>
      <c r="D124" t="s">
        <v>286</v>
      </c>
      <c r="E124" t="s">
        <v>140</v>
      </c>
      <c r="F124" t="s">
        <v>44</v>
      </c>
      <c r="G124" t="s">
        <v>374</v>
      </c>
      <c r="H124" t="s">
        <v>15</v>
      </c>
      <c r="I124" t="s">
        <v>16</v>
      </c>
      <c r="J124" t="s">
        <v>287</v>
      </c>
      <c r="K124">
        <v>-120.122</v>
      </c>
      <c r="L124">
        <v>34.396999999999998</v>
      </c>
      <c r="M124" t="s">
        <v>288</v>
      </c>
    </row>
    <row r="125" spans="1:13" x14ac:dyDescent="0.25">
      <c r="A125">
        <v>138</v>
      </c>
      <c r="B125" s="91">
        <v>40404</v>
      </c>
      <c r="C125" t="s">
        <v>66</v>
      </c>
      <c r="D125" t="s">
        <v>431</v>
      </c>
      <c r="E125" t="s">
        <v>140</v>
      </c>
      <c r="F125" t="s">
        <v>44</v>
      </c>
      <c r="G125" t="s">
        <v>374</v>
      </c>
      <c r="H125" t="s">
        <v>15</v>
      </c>
      <c r="I125" t="s">
        <v>16</v>
      </c>
      <c r="J125" t="s">
        <v>287</v>
      </c>
      <c r="K125">
        <v>-122.70833333333331</v>
      </c>
      <c r="L125">
        <v>37.19166666666667</v>
      </c>
      <c r="M125" t="s">
        <v>289</v>
      </c>
    </row>
    <row r="126" spans="1:13" x14ac:dyDescent="0.25">
      <c r="A126">
        <v>140</v>
      </c>
      <c r="B126" s="91">
        <v>40700</v>
      </c>
      <c r="C126" t="s">
        <v>11</v>
      </c>
      <c r="D126" t="s">
        <v>291</v>
      </c>
      <c r="E126" t="s">
        <v>26</v>
      </c>
      <c r="F126" t="s">
        <v>44</v>
      </c>
      <c r="G126" t="s">
        <v>374</v>
      </c>
      <c r="H126" t="s">
        <v>15</v>
      </c>
      <c r="I126" t="s">
        <v>292</v>
      </c>
      <c r="J126" t="s">
        <v>293</v>
      </c>
      <c r="K126">
        <v>-117.68</v>
      </c>
      <c r="L126">
        <v>32.854999999999997</v>
      </c>
      <c r="M126" t="s">
        <v>294</v>
      </c>
    </row>
    <row r="127" spans="1:13" x14ac:dyDescent="0.25">
      <c r="A127">
        <v>141</v>
      </c>
      <c r="B127" s="91">
        <v>40718</v>
      </c>
      <c r="C127" t="s">
        <v>11</v>
      </c>
      <c r="D127" t="s">
        <v>168</v>
      </c>
      <c r="E127" t="s">
        <v>76</v>
      </c>
      <c r="F127" t="s">
        <v>44</v>
      </c>
      <c r="G127" t="s">
        <v>374</v>
      </c>
      <c r="H127" t="s">
        <v>15</v>
      </c>
      <c r="I127" t="s">
        <v>16</v>
      </c>
      <c r="J127" t="s">
        <v>295</v>
      </c>
      <c r="K127">
        <v>-118</v>
      </c>
      <c r="L127">
        <v>33.369999999999997</v>
      </c>
      <c r="M127" t="s">
        <v>244</v>
      </c>
    </row>
    <row r="128" spans="1:13" x14ac:dyDescent="0.25">
      <c r="A128">
        <v>142</v>
      </c>
      <c r="B128" s="91">
        <v>40797</v>
      </c>
      <c r="C128" t="s">
        <v>97</v>
      </c>
      <c r="D128" t="s">
        <v>296</v>
      </c>
      <c r="E128" t="s">
        <v>76</v>
      </c>
      <c r="F128" t="s">
        <v>44</v>
      </c>
      <c r="G128" t="s">
        <v>374</v>
      </c>
      <c r="H128" t="s">
        <v>15</v>
      </c>
      <c r="I128" t="s">
        <v>16</v>
      </c>
      <c r="J128" t="s">
        <v>297</v>
      </c>
      <c r="K128">
        <v>-124.20399999999999</v>
      </c>
      <c r="L128">
        <v>40.799999999999997</v>
      </c>
      <c r="M128" t="s">
        <v>298</v>
      </c>
    </row>
    <row r="129" spans="1:13" x14ac:dyDescent="0.25">
      <c r="A129">
        <v>143</v>
      </c>
      <c r="B129" s="91">
        <v>40845</v>
      </c>
      <c r="C129" t="s">
        <v>22</v>
      </c>
      <c r="D129" t="s">
        <v>252</v>
      </c>
      <c r="E129" t="s">
        <v>76</v>
      </c>
      <c r="F129" t="s">
        <v>14</v>
      </c>
      <c r="G129" t="s">
        <v>443</v>
      </c>
      <c r="H129" t="s">
        <v>15</v>
      </c>
      <c r="I129" t="s">
        <v>16</v>
      </c>
      <c r="J129" t="s">
        <v>299</v>
      </c>
      <c r="K129">
        <v>-121.9</v>
      </c>
      <c r="L129">
        <v>36.700000000000003</v>
      </c>
      <c r="M129" t="s">
        <v>224</v>
      </c>
    </row>
    <row r="130" spans="1:13" x14ac:dyDescent="0.25">
      <c r="A130">
        <v>144</v>
      </c>
      <c r="B130" s="91">
        <v>40869</v>
      </c>
      <c r="C130" t="s">
        <v>66</v>
      </c>
      <c r="D130" t="s">
        <v>67</v>
      </c>
      <c r="E130" t="s">
        <v>140</v>
      </c>
      <c r="F130" t="s">
        <v>44</v>
      </c>
      <c r="G130" t="s">
        <v>374</v>
      </c>
      <c r="H130" t="s">
        <v>15</v>
      </c>
      <c r="I130" t="s">
        <v>16</v>
      </c>
      <c r="J130" t="s">
        <v>287</v>
      </c>
      <c r="K130">
        <v>-122.80833333333331</v>
      </c>
      <c r="L130">
        <v>37.19166666666667</v>
      </c>
      <c r="M130" t="s">
        <v>278</v>
      </c>
    </row>
    <row r="131" spans="1:13" x14ac:dyDescent="0.25">
      <c r="A131">
        <v>145</v>
      </c>
      <c r="B131" s="91">
        <v>41035</v>
      </c>
      <c r="C131" t="s">
        <v>269</v>
      </c>
      <c r="D131" t="s">
        <v>300</v>
      </c>
      <c r="E131" t="s">
        <v>112</v>
      </c>
      <c r="F131" t="s">
        <v>44</v>
      </c>
      <c r="G131" t="s">
        <v>374</v>
      </c>
      <c r="H131" t="s">
        <v>15</v>
      </c>
      <c r="I131" t="s">
        <v>16</v>
      </c>
      <c r="J131" t="s">
        <v>301</v>
      </c>
      <c r="K131">
        <v>-118.5163</v>
      </c>
      <c r="L131">
        <v>33.387900000000002</v>
      </c>
      <c r="M131" t="s">
        <v>302</v>
      </c>
    </row>
    <row r="132" spans="1:13" x14ac:dyDescent="0.25">
      <c r="A132">
        <v>146</v>
      </c>
      <c r="B132" s="91">
        <v>41041</v>
      </c>
      <c r="C132" t="s">
        <v>28</v>
      </c>
      <c r="D132" t="s">
        <v>410</v>
      </c>
      <c r="E132" t="s">
        <v>140</v>
      </c>
      <c r="F132" t="s">
        <v>44</v>
      </c>
      <c r="G132" t="s">
        <v>374</v>
      </c>
      <c r="H132" t="s">
        <v>15</v>
      </c>
      <c r="I132" t="s">
        <v>16</v>
      </c>
      <c r="J132" t="s">
        <v>174</v>
      </c>
      <c r="K132">
        <v>-121.122</v>
      </c>
      <c r="L132">
        <v>35.582999999999998</v>
      </c>
      <c r="M132" t="s">
        <v>303</v>
      </c>
    </row>
    <row r="133" spans="1:13" x14ac:dyDescent="0.25">
      <c r="A133">
        <v>147</v>
      </c>
      <c r="B133" s="91">
        <v>41097</v>
      </c>
      <c r="C133" t="s">
        <v>52</v>
      </c>
      <c r="D133" t="s">
        <v>304</v>
      </c>
      <c r="E133" t="s">
        <v>140</v>
      </c>
      <c r="F133" t="s">
        <v>44</v>
      </c>
      <c r="G133" t="s">
        <v>374</v>
      </c>
      <c r="H133" t="s">
        <v>15</v>
      </c>
      <c r="I133" t="s">
        <v>16</v>
      </c>
      <c r="J133" t="s">
        <v>305</v>
      </c>
      <c r="K133">
        <v>-121.995</v>
      </c>
      <c r="L133">
        <v>36.96</v>
      </c>
      <c r="M133" t="s">
        <v>306</v>
      </c>
    </row>
    <row r="134" spans="1:13" x14ac:dyDescent="0.25">
      <c r="A134">
        <v>148</v>
      </c>
      <c r="B134" s="91">
        <v>41121</v>
      </c>
      <c r="C134" t="s">
        <v>46</v>
      </c>
      <c r="D134" t="s">
        <v>307</v>
      </c>
      <c r="E134" t="s">
        <v>76</v>
      </c>
      <c r="F134" t="s">
        <v>19</v>
      </c>
      <c r="G134" t="s">
        <v>443</v>
      </c>
      <c r="H134" t="s">
        <v>15</v>
      </c>
      <c r="I134" t="s">
        <v>102</v>
      </c>
      <c r="J134" t="s">
        <v>308</v>
      </c>
      <c r="K134">
        <v>-118.6</v>
      </c>
      <c r="L134">
        <v>34</v>
      </c>
      <c r="M134" t="s">
        <v>128</v>
      </c>
    </row>
    <row r="135" spans="1:13" x14ac:dyDescent="0.25">
      <c r="A135">
        <v>149</v>
      </c>
      <c r="B135" s="91">
        <v>41189</v>
      </c>
      <c r="C135" t="s">
        <v>52</v>
      </c>
      <c r="D135" t="s">
        <v>182</v>
      </c>
      <c r="E135" t="s">
        <v>76</v>
      </c>
      <c r="F135" t="s">
        <v>44</v>
      </c>
      <c r="G135" t="s">
        <v>374</v>
      </c>
      <c r="H135" t="s">
        <v>15</v>
      </c>
      <c r="I135" t="s">
        <v>16</v>
      </c>
      <c r="J135" t="s">
        <v>309</v>
      </c>
      <c r="K135">
        <v>-122.7533333333333</v>
      </c>
      <c r="L135">
        <v>37.049999999999997</v>
      </c>
      <c r="M135" t="s">
        <v>278</v>
      </c>
    </row>
    <row r="136" spans="1:13" x14ac:dyDescent="0.25">
      <c r="A136">
        <v>151</v>
      </c>
      <c r="B136" s="91">
        <v>41212</v>
      </c>
      <c r="C136" t="s">
        <v>97</v>
      </c>
      <c r="D136" t="s">
        <v>312</v>
      </c>
      <c r="E136" t="s">
        <v>76</v>
      </c>
      <c r="F136" t="s">
        <v>14</v>
      </c>
      <c r="G136" t="s">
        <v>443</v>
      </c>
      <c r="H136" t="s">
        <v>15</v>
      </c>
      <c r="I136" t="s">
        <v>16</v>
      </c>
      <c r="J136" t="s">
        <v>313</v>
      </c>
      <c r="K136">
        <v>-124.52666666666666</v>
      </c>
      <c r="L136">
        <v>40.770000000000003</v>
      </c>
      <c r="M136" t="s">
        <v>254</v>
      </c>
    </row>
    <row r="137" spans="1:13" x14ac:dyDescent="0.25">
      <c r="A137">
        <v>152</v>
      </c>
      <c r="B137" s="91">
        <v>41450</v>
      </c>
      <c r="C137" t="s">
        <v>66</v>
      </c>
      <c r="D137" t="s">
        <v>501</v>
      </c>
      <c r="E137" t="s">
        <v>140</v>
      </c>
      <c r="F137" t="s">
        <v>44</v>
      </c>
      <c r="G137" t="s">
        <v>374</v>
      </c>
      <c r="H137" t="s">
        <v>15</v>
      </c>
      <c r="I137" t="s">
        <v>16</v>
      </c>
      <c r="J137" t="s">
        <v>315</v>
      </c>
      <c r="K137">
        <v>-122.617</v>
      </c>
      <c r="L137">
        <v>37.596666666666664</v>
      </c>
      <c r="M137" t="s">
        <v>224</v>
      </c>
    </row>
    <row r="138" spans="1:13" x14ac:dyDescent="0.25">
      <c r="A138">
        <v>153</v>
      </c>
      <c r="B138" s="91">
        <v>41503</v>
      </c>
      <c r="C138" t="s">
        <v>66</v>
      </c>
      <c r="D138" t="s">
        <v>195</v>
      </c>
      <c r="E138" t="s">
        <v>76</v>
      </c>
      <c r="F138" t="s">
        <v>44</v>
      </c>
      <c r="G138" t="s">
        <v>374</v>
      </c>
      <c r="H138" t="s">
        <v>15</v>
      </c>
      <c r="I138" t="s">
        <v>16</v>
      </c>
      <c r="J138" t="s">
        <v>316</v>
      </c>
      <c r="K138">
        <v>-122.79899999999998</v>
      </c>
      <c r="L138">
        <v>37.491999999999997</v>
      </c>
      <c r="M138" t="s">
        <v>317</v>
      </c>
    </row>
    <row r="139" spans="1:13" x14ac:dyDescent="0.25">
      <c r="A139">
        <v>154</v>
      </c>
      <c r="B139" s="91">
        <v>41517</v>
      </c>
      <c r="C139" t="s">
        <v>69</v>
      </c>
      <c r="D139" t="s">
        <v>406</v>
      </c>
      <c r="E139" t="s">
        <v>13</v>
      </c>
      <c r="F139" t="s">
        <v>19</v>
      </c>
      <c r="G139" t="s">
        <v>443</v>
      </c>
      <c r="H139" t="s">
        <v>15</v>
      </c>
      <c r="I139" t="s">
        <v>318</v>
      </c>
      <c r="J139" t="s">
        <v>319</v>
      </c>
      <c r="K139">
        <v>-119.64919999999999</v>
      </c>
      <c r="L139">
        <v>34.4176</v>
      </c>
      <c r="M139" t="s">
        <v>320</v>
      </c>
    </row>
    <row r="140" spans="1:13" x14ac:dyDescent="0.25">
      <c r="A140">
        <v>155</v>
      </c>
      <c r="B140" s="91">
        <v>41553</v>
      </c>
      <c r="C140" t="s">
        <v>97</v>
      </c>
      <c r="D140" t="s">
        <v>411</v>
      </c>
      <c r="E140" t="s">
        <v>76</v>
      </c>
      <c r="F140" t="s">
        <v>14</v>
      </c>
      <c r="G140" t="s">
        <v>443</v>
      </c>
      <c r="H140" t="s">
        <v>15</v>
      </c>
      <c r="I140" t="s">
        <v>16</v>
      </c>
      <c r="J140" t="s">
        <v>321</v>
      </c>
      <c r="K140">
        <v>-124.62666666666665</v>
      </c>
      <c r="L140">
        <v>40.770000000000003</v>
      </c>
      <c r="M140" t="s">
        <v>322</v>
      </c>
    </row>
    <row r="141" spans="1:13" x14ac:dyDescent="0.25">
      <c r="A141">
        <v>156</v>
      </c>
      <c r="B141" s="91">
        <v>41825</v>
      </c>
      <c r="C141" t="s">
        <v>28</v>
      </c>
      <c r="D141" t="s">
        <v>412</v>
      </c>
      <c r="E141" t="s">
        <v>76</v>
      </c>
      <c r="F141" t="s">
        <v>44</v>
      </c>
      <c r="G141" t="s">
        <v>374</v>
      </c>
      <c r="H141" t="s">
        <v>15</v>
      </c>
      <c r="I141" t="s">
        <v>16</v>
      </c>
      <c r="J141" t="s">
        <v>323</v>
      </c>
      <c r="K141">
        <v>-120.63500000000001</v>
      </c>
      <c r="L141">
        <v>35.11</v>
      </c>
      <c r="M141" t="s">
        <v>324</v>
      </c>
    </row>
    <row r="142" spans="1:13" x14ac:dyDescent="0.25">
      <c r="A142">
        <v>157</v>
      </c>
      <c r="B142" s="91">
        <v>41895</v>
      </c>
      <c r="C142" t="s">
        <v>52</v>
      </c>
      <c r="D142" t="s">
        <v>519</v>
      </c>
      <c r="E142" t="s">
        <v>76</v>
      </c>
      <c r="F142" t="s">
        <v>44</v>
      </c>
      <c r="G142" t="s">
        <v>374</v>
      </c>
      <c r="H142" t="s">
        <v>15</v>
      </c>
      <c r="I142" t="s">
        <v>16</v>
      </c>
      <c r="J142" t="s">
        <v>325</v>
      </c>
      <c r="K142">
        <v>-122</v>
      </c>
      <c r="L142">
        <v>36.700000000000003</v>
      </c>
      <c r="M142" t="s">
        <v>326</v>
      </c>
    </row>
    <row r="143" spans="1:13" x14ac:dyDescent="0.25">
      <c r="A143">
        <v>158</v>
      </c>
      <c r="B143" s="91">
        <v>41914</v>
      </c>
      <c r="C143" t="s">
        <v>69</v>
      </c>
      <c r="D143" t="s">
        <v>426</v>
      </c>
      <c r="E143" t="s">
        <v>76</v>
      </c>
      <c r="F143" t="s">
        <v>19</v>
      </c>
      <c r="G143" t="s">
        <v>443</v>
      </c>
      <c r="H143" t="s">
        <v>15</v>
      </c>
      <c r="I143" t="s">
        <v>16</v>
      </c>
      <c r="J143" t="s">
        <v>327</v>
      </c>
      <c r="K143">
        <v>-120.64</v>
      </c>
      <c r="L143">
        <v>34.76</v>
      </c>
      <c r="M143" t="s">
        <v>328</v>
      </c>
    </row>
    <row r="144" spans="1:13" x14ac:dyDescent="0.25">
      <c r="A144">
        <v>159</v>
      </c>
      <c r="B144" s="91">
        <v>41915</v>
      </c>
      <c r="C144" t="s">
        <v>69</v>
      </c>
      <c r="D144" t="s">
        <v>426</v>
      </c>
      <c r="E144" t="s">
        <v>140</v>
      </c>
      <c r="F144" t="s">
        <v>44</v>
      </c>
      <c r="G144" t="s">
        <v>374</v>
      </c>
      <c r="H144" t="s">
        <v>15</v>
      </c>
      <c r="I144" t="s">
        <v>16</v>
      </c>
      <c r="J144" t="s">
        <v>329</v>
      </c>
      <c r="K144">
        <v>-120.74</v>
      </c>
      <c r="L144">
        <v>34.76</v>
      </c>
      <c r="M144" t="s">
        <v>330</v>
      </c>
    </row>
    <row r="145" spans="1:13" x14ac:dyDescent="0.25">
      <c r="A145">
        <v>160</v>
      </c>
      <c r="B145" s="91">
        <v>41915</v>
      </c>
      <c r="C145" t="s">
        <v>69</v>
      </c>
      <c r="D145" t="s">
        <v>426</v>
      </c>
      <c r="E145" t="s">
        <v>140</v>
      </c>
      <c r="F145" t="s">
        <v>44</v>
      </c>
      <c r="G145" t="s">
        <v>374</v>
      </c>
      <c r="H145" t="s">
        <v>15</v>
      </c>
      <c r="I145" t="s">
        <v>16</v>
      </c>
      <c r="J145" t="s">
        <v>331</v>
      </c>
      <c r="K145">
        <v>-120.84</v>
      </c>
      <c r="L145">
        <v>34.76</v>
      </c>
      <c r="M145" t="s">
        <v>330</v>
      </c>
    </row>
    <row r="146" spans="1:13" x14ac:dyDescent="0.25">
      <c r="A146">
        <v>161</v>
      </c>
      <c r="B146" s="91">
        <v>41931</v>
      </c>
      <c r="C146" t="s">
        <v>69</v>
      </c>
      <c r="D146" t="s">
        <v>427</v>
      </c>
      <c r="E146" t="s">
        <v>140</v>
      </c>
      <c r="F146" t="s">
        <v>44</v>
      </c>
      <c r="G146" t="s">
        <v>374</v>
      </c>
      <c r="H146" t="s">
        <v>15</v>
      </c>
      <c r="I146" t="s">
        <v>16</v>
      </c>
      <c r="J146" t="s">
        <v>332</v>
      </c>
      <c r="K146">
        <v>-119.70099999999999</v>
      </c>
      <c r="L146">
        <v>34.398000000000003</v>
      </c>
      <c r="M146" t="s">
        <v>328</v>
      </c>
    </row>
    <row r="147" spans="1:13" x14ac:dyDescent="0.25">
      <c r="A147">
        <v>162</v>
      </c>
      <c r="B147" s="91">
        <v>42001</v>
      </c>
      <c r="C147" t="s">
        <v>28</v>
      </c>
      <c r="D147" t="s">
        <v>413</v>
      </c>
      <c r="E147" t="s">
        <v>76</v>
      </c>
      <c r="F147" t="s">
        <v>14</v>
      </c>
      <c r="G147" t="s">
        <v>443</v>
      </c>
      <c r="H147" t="s">
        <v>15</v>
      </c>
      <c r="I147" t="s">
        <v>16</v>
      </c>
      <c r="J147" t="s">
        <v>333</v>
      </c>
      <c r="K147">
        <v>-120.892</v>
      </c>
      <c r="L147">
        <v>35.276000000000003</v>
      </c>
      <c r="M147" t="s">
        <v>324</v>
      </c>
    </row>
    <row r="148" spans="1:13" x14ac:dyDescent="0.25">
      <c r="A148">
        <v>163</v>
      </c>
      <c r="B148" s="91">
        <v>42195</v>
      </c>
      <c r="C148" t="s">
        <v>123</v>
      </c>
      <c r="D148" t="s">
        <v>414</v>
      </c>
      <c r="E148" t="s">
        <v>76</v>
      </c>
      <c r="F148" t="s">
        <v>44</v>
      </c>
      <c r="G148" t="s">
        <v>374</v>
      </c>
      <c r="H148" t="s">
        <v>15</v>
      </c>
      <c r="I148" t="s">
        <v>16</v>
      </c>
      <c r="J148" t="s">
        <v>334</v>
      </c>
      <c r="K148">
        <v>-118.29999999999998</v>
      </c>
      <c r="L148">
        <v>33.700000000000003</v>
      </c>
      <c r="M148" t="s">
        <v>335</v>
      </c>
    </row>
    <row r="149" spans="1:13" x14ac:dyDescent="0.25">
      <c r="A149">
        <v>164</v>
      </c>
      <c r="B149" s="91">
        <v>42234</v>
      </c>
      <c r="C149" t="s">
        <v>69</v>
      </c>
      <c r="D149" t="s">
        <v>415</v>
      </c>
      <c r="E149" t="s">
        <v>140</v>
      </c>
      <c r="F149" t="s">
        <v>44</v>
      </c>
      <c r="G149" t="s">
        <v>374</v>
      </c>
      <c r="H149" t="s">
        <v>15</v>
      </c>
      <c r="I149" t="s">
        <v>16</v>
      </c>
      <c r="J149" t="s">
        <v>336</v>
      </c>
      <c r="K149">
        <v>-120.21</v>
      </c>
      <c r="L149">
        <v>34.366999999999997</v>
      </c>
      <c r="M149" t="s">
        <v>337</v>
      </c>
    </row>
    <row r="150" spans="1:13" x14ac:dyDescent="0.25">
      <c r="A150">
        <v>165</v>
      </c>
      <c r="B150" s="91">
        <v>42245</v>
      </c>
      <c r="C150" t="s">
        <v>28</v>
      </c>
      <c r="D150" t="s">
        <v>416</v>
      </c>
      <c r="E150" t="s">
        <v>76</v>
      </c>
      <c r="F150" t="s">
        <v>44</v>
      </c>
      <c r="G150" t="s">
        <v>374</v>
      </c>
      <c r="H150" t="s">
        <v>15</v>
      </c>
      <c r="I150" t="s">
        <v>16</v>
      </c>
      <c r="J150" t="s">
        <v>323</v>
      </c>
      <c r="K150">
        <v>-121.07499999999999</v>
      </c>
      <c r="L150">
        <v>35.403333333333336</v>
      </c>
      <c r="M150" t="s">
        <v>324</v>
      </c>
    </row>
    <row r="151" spans="1:13" x14ac:dyDescent="0.25">
      <c r="A151">
        <v>166</v>
      </c>
      <c r="B151" s="91">
        <v>42252</v>
      </c>
      <c r="C151" t="s">
        <v>241</v>
      </c>
      <c r="D151" t="s">
        <v>338</v>
      </c>
      <c r="E151" t="s">
        <v>140</v>
      </c>
      <c r="F151" t="s">
        <v>19</v>
      </c>
      <c r="G151" t="s">
        <v>443</v>
      </c>
      <c r="H151" t="s">
        <v>15</v>
      </c>
      <c r="I151" t="s">
        <v>40</v>
      </c>
      <c r="J151" t="s">
        <v>339</v>
      </c>
      <c r="K151">
        <v>-118.9986</v>
      </c>
      <c r="L151">
        <v>34.051400000000001</v>
      </c>
      <c r="M151" t="s">
        <v>289</v>
      </c>
    </row>
    <row r="152" spans="1:13" x14ac:dyDescent="0.25">
      <c r="A152">
        <v>167</v>
      </c>
      <c r="B152" s="91">
        <v>42253</v>
      </c>
      <c r="C152" t="s">
        <v>46</v>
      </c>
      <c r="D152" t="s">
        <v>417</v>
      </c>
      <c r="E152" t="s">
        <v>112</v>
      </c>
      <c r="F152" t="s">
        <v>44</v>
      </c>
      <c r="G152" t="s">
        <v>374</v>
      </c>
      <c r="H152" t="s">
        <v>15</v>
      </c>
      <c r="I152" t="s">
        <v>16</v>
      </c>
      <c r="J152" t="s">
        <v>340</v>
      </c>
      <c r="K152">
        <v>-118.89400000000001</v>
      </c>
      <c r="L152">
        <v>34.037999999999997</v>
      </c>
      <c r="M152" t="s">
        <v>128</v>
      </c>
    </row>
    <row r="153" spans="1:13" x14ac:dyDescent="0.25">
      <c r="A153">
        <v>168</v>
      </c>
      <c r="B153" s="91">
        <v>42267</v>
      </c>
      <c r="C153" t="s">
        <v>578</v>
      </c>
      <c r="D153" t="s">
        <v>584</v>
      </c>
      <c r="E153" t="s">
        <v>26</v>
      </c>
      <c r="F153" t="s">
        <v>19</v>
      </c>
      <c r="G153" t="s">
        <v>443</v>
      </c>
      <c r="H153" t="s">
        <v>15</v>
      </c>
      <c r="I153" t="s">
        <v>40</v>
      </c>
      <c r="J153" t="s">
        <v>585</v>
      </c>
      <c r="K153">
        <v>-119.55</v>
      </c>
      <c r="L153">
        <v>34</v>
      </c>
      <c r="M153" t="s">
        <v>586</v>
      </c>
    </row>
    <row r="154" spans="1:13" x14ac:dyDescent="0.25">
      <c r="A154">
        <v>169</v>
      </c>
      <c r="B154" s="91">
        <v>42271</v>
      </c>
      <c r="C154" t="s">
        <v>69</v>
      </c>
      <c r="D154" t="s">
        <v>418</v>
      </c>
      <c r="E154" t="s">
        <v>140</v>
      </c>
      <c r="F154" t="s">
        <v>19</v>
      </c>
      <c r="G154" t="s">
        <v>443</v>
      </c>
      <c r="H154" t="s">
        <v>15</v>
      </c>
      <c r="I154" t="s">
        <v>16</v>
      </c>
      <c r="J154" t="s">
        <v>341</v>
      </c>
      <c r="K154">
        <v>-119.595</v>
      </c>
      <c r="L154">
        <v>34.417000000000002</v>
      </c>
      <c r="M154" t="s">
        <v>328</v>
      </c>
    </row>
    <row r="155" spans="1:13" x14ac:dyDescent="0.25">
      <c r="A155">
        <v>170</v>
      </c>
      <c r="B155" s="91">
        <v>42519</v>
      </c>
      <c r="C155" t="s">
        <v>123</v>
      </c>
      <c r="D155" t="s">
        <v>419</v>
      </c>
      <c r="E155" t="s">
        <v>13</v>
      </c>
      <c r="F155" t="s">
        <v>14</v>
      </c>
      <c r="G155" t="s">
        <v>443</v>
      </c>
      <c r="H155" t="s">
        <v>15</v>
      </c>
      <c r="I155" t="s">
        <v>16</v>
      </c>
      <c r="J155" t="s">
        <v>342</v>
      </c>
      <c r="K155">
        <v>-117.8755</v>
      </c>
      <c r="L155">
        <v>33.593299999999999</v>
      </c>
      <c r="M155" t="s">
        <v>343</v>
      </c>
    </row>
    <row r="156" spans="1:13" x14ac:dyDescent="0.25">
      <c r="A156">
        <v>171</v>
      </c>
      <c r="B156" s="91">
        <v>42614</v>
      </c>
      <c r="C156" t="s">
        <v>69</v>
      </c>
      <c r="D156" t="s">
        <v>420</v>
      </c>
      <c r="E156" t="s">
        <v>26</v>
      </c>
      <c r="F156" t="s">
        <v>19</v>
      </c>
      <c r="G156" t="s">
        <v>443</v>
      </c>
      <c r="H156" t="s">
        <v>15</v>
      </c>
      <c r="I156" t="s">
        <v>16</v>
      </c>
      <c r="J156" t="s">
        <v>344</v>
      </c>
      <c r="K156">
        <v>-120.075</v>
      </c>
      <c r="L156">
        <v>34.46</v>
      </c>
      <c r="M156" t="s">
        <v>345</v>
      </c>
    </row>
    <row r="157" spans="1:13" x14ac:dyDescent="0.25">
      <c r="A157">
        <v>172</v>
      </c>
      <c r="B157" s="91">
        <v>42630</v>
      </c>
      <c r="C157" t="s">
        <v>97</v>
      </c>
      <c r="D157" t="s">
        <v>421</v>
      </c>
      <c r="E157" t="s">
        <v>76</v>
      </c>
      <c r="F157" t="s">
        <v>44</v>
      </c>
      <c r="G157" t="s">
        <v>374</v>
      </c>
      <c r="H157" t="s">
        <v>15</v>
      </c>
      <c r="I157" t="s">
        <v>16</v>
      </c>
      <c r="J157" t="s">
        <v>346</v>
      </c>
      <c r="K157">
        <v>-124.72666666666665</v>
      </c>
      <c r="L157">
        <v>40.770000000000003</v>
      </c>
      <c r="M157" t="s">
        <v>298</v>
      </c>
    </row>
    <row r="158" spans="1:13" x14ac:dyDescent="0.25">
      <c r="A158">
        <v>173</v>
      </c>
      <c r="B158" s="91">
        <v>42812</v>
      </c>
      <c r="C158" t="s">
        <v>22</v>
      </c>
      <c r="D158" t="s">
        <v>422</v>
      </c>
      <c r="E158" t="s">
        <v>140</v>
      </c>
      <c r="F158" t="s">
        <v>44</v>
      </c>
      <c r="G158" t="s">
        <v>374</v>
      </c>
      <c r="H158" t="s">
        <v>15</v>
      </c>
      <c r="I158" t="s">
        <v>16</v>
      </c>
      <c r="J158" t="s">
        <v>348</v>
      </c>
      <c r="K158">
        <v>-121.95</v>
      </c>
      <c r="L158">
        <v>36.626666666666665</v>
      </c>
      <c r="M158" t="s">
        <v>224</v>
      </c>
    </row>
    <row r="159" spans="1:13" x14ac:dyDescent="0.25">
      <c r="A159">
        <v>174</v>
      </c>
      <c r="B159" s="91">
        <v>42854</v>
      </c>
      <c r="C159" t="s">
        <v>11</v>
      </c>
      <c r="D159" t="s">
        <v>423</v>
      </c>
      <c r="E159" t="s">
        <v>13</v>
      </c>
      <c r="F159" t="s">
        <v>14</v>
      </c>
      <c r="G159" t="s">
        <v>443</v>
      </c>
      <c r="H159" t="s">
        <v>15</v>
      </c>
      <c r="I159" t="s">
        <v>16</v>
      </c>
      <c r="J159" t="s">
        <v>349</v>
      </c>
      <c r="K159">
        <v>-118.1</v>
      </c>
      <c r="L159">
        <v>33.369999999999997</v>
      </c>
      <c r="M159" t="s">
        <v>265</v>
      </c>
    </row>
    <row r="160" spans="1:13" x14ac:dyDescent="0.25">
      <c r="A160">
        <v>175</v>
      </c>
      <c r="B160" s="91">
        <v>42927</v>
      </c>
      <c r="C160" t="s">
        <v>52</v>
      </c>
      <c r="D160" t="s">
        <v>350</v>
      </c>
      <c r="E160" t="s">
        <v>140</v>
      </c>
      <c r="F160" t="s">
        <v>44</v>
      </c>
      <c r="G160" t="s">
        <v>374</v>
      </c>
      <c r="H160" t="s">
        <v>15</v>
      </c>
      <c r="I160" t="s">
        <v>16</v>
      </c>
      <c r="J160" t="s">
        <v>351</v>
      </c>
      <c r="K160">
        <v>-121.895</v>
      </c>
      <c r="L160">
        <v>36.96</v>
      </c>
      <c r="M160" t="s">
        <v>352</v>
      </c>
    </row>
    <row r="161" spans="1:13" x14ac:dyDescent="0.25">
      <c r="A161">
        <v>176</v>
      </c>
      <c r="B161" s="91">
        <v>42936</v>
      </c>
      <c r="C161" t="s">
        <v>69</v>
      </c>
      <c r="D161" t="s">
        <v>424</v>
      </c>
      <c r="E161" t="s">
        <v>112</v>
      </c>
      <c r="F161" t="s">
        <v>44</v>
      </c>
      <c r="G161" t="s">
        <v>374</v>
      </c>
      <c r="H161" t="s">
        <v>15</v>
      </c>
      <c r="I161" t="s">
        <v>16</v>
      </c>
      <c r="J161" t="s">
        <v>353</v>
      </c>
      <c r="K161">
        <v>-119.8</v>
      </c>
      <c r="L161">
        <v>34.398000000000003</v>
      </c>
      <c r="M161" t="s">
        <v>354</v>
      </c>
    </row>
    <row r="162" spans="1:13" x14ac:dyDescent="0.25">
      <c r="A162">
        <v>177</v>
      </c>
      <c r="B162" s="91">
        <v>42936</v>
      </c>
      <c r="C162" t="s">
        <v>69</v>
      </c>
      <c r="D162" t="s">
        <v>425</v>
      </c>
      <c r="E162" t="s">
        <v>140</v>
      </c>
      <c r="F162" t="s">
        <v>44</v>
      </c>
      <c r="G162" t="s">
        <v>374</v>
      </c>
      <c r="H162" t="s">
        <v>15</v>
      </c>
      <c r="I162" t="s">
        <v>16</v>
      </c>
      <c r="J162" t="s">
        <v>355</v>
      </c>
      <c r="K162">
        <v>-119.9</v>
      </c>
      <c r="L162">
        <v>34.398000000000003</v>
      </c>
      <c r="M162" t="s">
        <v>354</v>
      </c>
    </row>
    <row r="163" spans="1:13" x14ac:dyDescent="0.25">
      <c r="A163">
        <v>178</v>
      </c>
      <c r="B163" s="91">
        <v>42948</v>
      </c>
      <c r="C163" t="s">
        <v>66</v>
      </c>
      <c r="D163" t="s">
        <v>245</v>
      </c>
      <c r="E163" t="s">
        <v>140</v>
      </c>
      <c r="F163" t="s">
        <v>44</v>
      </c>
      <c r="G163" t="s">
        <v>374</v>
      </c>
      <c r="H163" t="s">
        <v>15</v>
      </c>
      <c r="I163" t="s">
        <v>16</v>
      </c>
      <c r="J163" t="s">
        <v>445</v>
      </c>
      <c r="K163">
        <v>-122.9083333</v>
      </c>
      <c r="L163">
        <v>37.19166666666667</v>
      </c>
      <c r="M163" t="s">
        <v>230</v>
      </c>
    </row>
    <row r="164" spans="1:13" x14ac:dyDescent="0.25">
      <c r="A164">
        <v>179</v>
      </c>
      <c r="B164" s="94">
        <v>43063</v>
      </c>
      <c r="C164" t="s">
        <v>22</v>
      </c>
      <c r="D164" t="s">
        <v>453</v>
      </c>
      <c r="E164" t="s">
        <v>26</v>
      </c>
      <c r="F164" t="s">
        <v>14</v>
      </c>
      <c r="G164" t="s">
        <v>443</v>
      </c>
      <c r="H164" t="s">
        <v>15</v>
      </c>
      <c r="I164" t="s">
        <v>16</v>
      </c>
      <c r="J164" t="s">
        <v>454</v>
      </c>
      <c r="K164">
        <v>-121.94237219999999</v>
      </c>
      <c r="L164">
        <v>36.564250000000001</v>
      </c>
      <c r="M164" t="s">
        <v>455</v>
      </c>
    </row>
    <row r="165" spans="1:13" x14ac:dyDescent="0.25">
      <c r="A165">
        <v>180</v>
      </c>
      <c r="B165" s="94">
        <v>43099</v>
      </c>
      <c r="C165" t="s">
        <v>50</v>
      </c>
      <c r="D165" t="s">
        <v>456</v>
      </c>
      <c r="E165" t="s">
        <v>76</v>
      </c>
      <c r="F165" t="s">
        <v>19</v>
      </c>
      <c r="G165" t="s">
        <v>443</v>
      </c>
      <c r="H165" t="s">
        <v>15</v>
      </c>
      <c r="I165" t="s">
        <v>16</v>
      </c>
      <c r="J165" t="s">
        <v>457</v>
      </c>
      <c r="K165">
        <v>-122.9417</v>
      </c>
      <c r="L165">
        <v>38.027799999999999</v>
      </c>
      <c r="M165" t="s">
        <v>458</v>
      </c>
    </row>
    <row r="166" spans="1:13" x14ac:dyDescent="0.25">
      <c r="A166">
        <v>181</v>
      </c>
      <c r="B166" s="91">
        <v>43276</v>
      </c>
      <c r="C166" t="s">
        <v>11</v>
      </c>
      <c r="D166" t="s">
        <v>462</v>
      </c>
      <c r="E166" t="s">
        <v>140</v>
      </c>
      <c r="F166" t="s">
        <v>44</v>
      </c>
      <c r="G166" t="s">
        <v>374</v>
      </c>
      <c r="H166" t="s">
        <v>15</v>
      </c>
      <c r="I166" t="s">
        <v>102</v>
      </c>
      <c r="J166" t="s">
        <v>332</v>
      </c>
      <c r="K166">
        <v>-117.430831</v>
      </c>
      <c r="L166">
        <v>33.187739000000001</v>
      </c>
      <c r="M166" t="s">
        <v>463</v>
      </c>
    </row>
    <row r="167" spans="1:13" x14ac:dyDescent="0.25">
      <c r="A167">
        <v>182</v>
      </c>
      <c r="B167" s="91">
        <v>43336</v>
      </c>
      <c r="C167" t="s">
        <v>123</v>
      </c>
      <c r="D167" t="s">
        <v>263</v>
      </c>
      <c r="E167" t="s">
        <v>13</v>
      </c>
      <c r="F167" t="s">
        <v>44</v>
      </c>
      <c r="G167" t="s">
        <v>374</v>
      </c>
      <c r="H167" t="s">
        <v>15</v>
      </c>
      <c r="I167" t="s">
        <v>16</v>
      </c>
      <c r="J167" t="s">
        <v>470</v>
      </c>
      <c r="K167">
        <v>-118.4</v>
      </c>
      <c r="L167">
        <v>33.700000000000003</v>
      </c>
      <c r="M167" t="s">
        <v>471</v>
      </c>
    </row>
    <row r="168" spans="1:13" x14ac:dyDescent="0.25">
      <c r="A168">
        <v>183</v>
      </c>
      <c r="B168" s="94">
        <v>43372</v>
      </c>
      <c r="C168" t="s">
        <v>11</v>
      </c>
      <c r="D168" t="s">
        <v>474</v>
      </c>
      <c r="E168" t="s">
        <v>26</v>
      </c>
      <c r="F168" t="s">
        <v>14</v>
      </c>
      <c r="G168" t="s">
        <v>443</v>
      </c>
      <c r="H168" t="s">
        <v>15</v>
      </c>
      <c r="I168" t="s">
        <v>16</v>
      </c>
      <c r="J168" t="s">
        <v>476</v>
      </c>
      <c r="K168">
        <v>-117.3047</v>
      </c>
      <c r="L168">
        <v>33.065199999999997</v>
      </c>
      <c r="M168" t="s">
        <v>475</v>
      </c>
    </row>
    <row r="169" spans="1:13" x14ac:dyDescent="0.25">
      <c r="A169">
        <v>184</v>
      </c>
      <c r="B169" s="94">
        <v>43396</v>
      </c>
      <c r="C169" t="s">
        <v>58</v>
      </c>
      <c r="D169" t="s">
        <v>59</v>
      </c>
      <c r="E169" t="s">
        <v>60</v>
      </c>
      <c r="F169" t="s">
        <v>14</v>
      </c>
      <c r="G169" t="s">
        <v>443</v>
      </c>
      <c r="H169" t="s">
        <v>477</v>
      </c>
      <c r="I169" t="s">
        <v>16</v>
      </c>
      <c r="J169" t="s">
        <v>478</v>
      </c>
      <c r="K169">
        <v>-123.631666666667</v>
      </c>
      <c r="L169">
        <v>37.72</v>
      </c>
      <c r="M169" t="s">
        <v>479</v>
      </c>
    </row>
    <row r="170" spans="1:13" x14ac:dyDescent="0.25">
      <c r="A170">
        <v>185</v>
      </c>
      <c r="B170" s="94">
        <v>43473</v>
      </c>
      <c r="C170" t="s">
        <v>28</v>
      </c>
      <c r="D170" t="s">
        <v>413</v>
      </c>
      <c r="E170" t="s">
        <v>76</v>
      </c>
      <c r="F170" t="s">
        <v>14</v>
      </c>
      <c r="G170" t="s">
        <v>443</v>
      </c>
      <c r="H170" t="s">
        <v>15</v>
      </c>
      <c r="I170" t="s">
        <v>16</v>
      </c>
      <c r="J170" t="s">
        <v>481</v>
      </c>
      <c r="K170">
        <v>-120.992</v>
      </c>
      <c r="L170">
        <v>35.276000000000003</v>
      </c>
      <c r="M170" t="s">
        <v>482</v>
      </c>
    </row>
    <row r="171" spans="1:13" s="106" customFormat="1" x14ac:dyDescent="0.25">
      <c r="A171" s="106">
        <v>186</v>
      </c>
      <c r="B171" s="107">
        <v>43592</v>
      </c>
      <c r="C171" s="106" t="s">
        <v>42</v>
      </c>
      <c r="D171" s="106" t="s">
        <v>56</v>
      </c>
      <c r="E171" s="106" t="s">
        <v>76</v>
      </c>
      <c r="F171" s="106" t="s">
        <v>44</v>
      </c>
      <c r="G171" s="105" t="s">
        <v>374</v>
      </c>
      <c r="H171" s="106" t="s">
        <v>15</v>
      </c>
      <c r="I171" s="106" t="s">
        <v>16</v>
      </c>
      <c r="J171" s="106" t="s">
        <v>485</v>
      </c>
      <c r="K171" s="108">
        <v>-123.676666666667</v>
      </c>
      <c r="L171" s="108">
        <v>38.358333333333334</v>
      </c>
      <c r="M171" s="105" t="s">
        <v>486</v>
      </c>
    </row>
    <row r="172" spans="1:13" x14ac:dyDescent="0.25">
      <c r="A172">
        <v>187</v>
      </c>
      <c r="B172" s="94">
        <v>43709</v>
      </c>
      <c r="C172" t="s">
        <v>11</v>
      </c>
      <c r="D172" t="s">
        <v>266</v>
      </c>
      <c r="E172" t="s">
        <v>76</v>
      </c>
      <c r="F172" t="s">
        <v>44</v>
      </c>
      <c r="G172" t="s">
        <v>374</v>
      </c>
      <c r="H172" t="s">
        <v>15</v>
      </c>
      <c r="I172" t="s">
        <v>488</v>
      </c>
      <c r="J172" t="s">
        <v>489</v>
      </c>
      <c r="K172">
        <v>-117.4</v>
      </c>
      <c r="L172">
        <v>33</v>
      </c>
      <c r="M172" t="s">
        <v>490</v>
      </c>
    </row>
    <row r="173" spans="1:13" x14ac:dyDescent="0.25">
      <c r="A173">
        <v>188</v>
      </c>
      <c r="B173" s="94">
        <v>43743</v>
      </c>
      <c r="C173" t="s">
        <v>269</v>
      </c>
      <c r="D173" t="s">
        <v>491</v>
      </c>
      <c r="E173" t="s">
        <v>140</v>
      </c>
      <c r="F173" t="s">
        <v>44</v>
      </c>
      <c r="G173" t="s">
        <v>374</v>
      </c>
      <c r="H173" t="s">
        <v>15</v>
      </c>
      <c r="I173" t="s">
        <v>16</v>
      </c>
      <c r="J173" t="s">
        <v>492</v>
      </c>
      <c r="K173">
        <v>-118.49169999999999</v>
      </c>
      <c r="L173">
        <v>33.462499999999999</v>
      </c>
      <c r="M173" t="s">
        <v>493</v>
      </c>
    </row>
    <row r="174" spans="1:13" x14ac:dyDescent="0.25">
      <c r="A174">
        <v>189</v>
      </c>
      <c r="B174" s="94">
        <v>43820</v>
      </c>
      <c r="C174" t="s">
        <v>494</v>
      </c>
      <c r="D174" t="s">
        <v>495</v>
      </c>
      <c r="E174" t="s">
        <v>76</v>
      </c>
      <c r="F174" t="s">
        <v>14</v>
      </c>
      <c r="G174" t="s">
        <v>443</v>
      </c>
      <c r="H174" t="s">
        <v>15</v>
      </c>
      <c r="I174" t="s">
        <v>16</v>
      </c>
      <c r="J174" t="s">
        <v>496</v>
      </c>
      <c r="K174">
        <v>-120.23333</v>
      </c>
      <c r="L174">
        <v>34.016669999999998</v>
      </c>
      <c r="M174" t="s">
        <v>497</v>
      </c>
    </row>
    <row r="175" spans="1:13" x14ac:dyDescent="0.25">
      <c r="A175">
        <v>190</v>
      </c>
      <c r="B175" s="94">
        <v>43917</v>
      </c>
      <c r="C175" t="s">
        <v>52</v>
      </c>
      <c r="D175" t="s">
        <v>304</v>
      </c>
      <c r="E175" t="s">
        <v>112</v>
      </c>
      <c r="F175" t="s">
        <v>44</v>
      </c>
      <c r="G175" t="s">
        <v>374</v>
      </c>
      <c r="H175" t="s">
        <v>15</v>
      </c>
      <c r="I175" t="s">
        <v>16</v>
      </c>
      <c r="J175" t="s">
        <v>508</v>
      </c>
      <c r="K175">
        <v>-122.095</v>
      </c>
      <c r="L175">
        <v>36.96</v>
      </c>
      <c r="M175" t="s">
        <v>509</v>
      </c>
    </row>
    <row r="176" spans="1:13" x14ac:dyDescent="0.25">
      <c r="A176">
        <v>191</v>
      </c>
      <c r="B176" s="94">
        <v>43952</v>
      </c>
      <c r="C176" t="s">
        <v>69</v>
      </c>
      <c r="D176" t="s">
        <v>513</v>
      </c>
      <c r="E176" t="s">
        <v>13</v>
      </c>
      <c r="F176" t="s">
        <v>19</v>
      </c>
      <c r="G176" t="s">
        <v>443</v>
      </c>
      <c r="H176" t="s">
        <v>15</v>
      </c>
      <c r="I176" t="s">
        <v>16</v>
      </c>
      <c r="J176" t="s">
        <v>514</v>
      </c>
      <c r="K176">
        <v>-119.69499999999999</v>
      </c>
      <c r="L176">
        <v>34.413330000000002</v>
      </c>
      <c r="M176" t="s">
        <v>515</v>
      </c>
    </row>
    <row r="177" spans="1:13" x14ac:dyDescent="0.25">
      <c r="A177">
        <v>193</v>
      </c>
      <c r="B177" s="94">
        <v>43976</v>
      </c>
      <c r="C177" t="s">
        <v>97</v>
      </c>
      <c r="D177" t="s">
        <v>159</v>
      </c>
      <c r="E177" t="s">
        <v>140</v>
      </c>
      <c r="F177" t="s">
        <v>44</v>
      </c>
      <c r="G177" t="s">
        <v>374</v>
      </c>
      <c r="H177" t="s">
        <v>15</v>
      </c>
      <c r="I177" t="s">
        <v>575</v>
      </c>
      <c r="J177" t="s">
        <v>576</v>
      </c>
      <c r="K177">
        <v>-124.283333</v>
      </c>
      <c r="L177">
        <v>40.028333000000003</v>
      </c>
      <c r="M177" t="s">
        <v>577</v>
      </c>
    </row>
    <row r="178" spans="1:13" x14ac:dyDescent="0.25">
      <c r="A178">
        <v>194</v>
      </c>
      <c r="B178" s="94">
        <v>44001</v>
      </c>
      <c r="C178" t="s">
        <v>578</v>
      </c>
      <c r="D178" t="s">
        <v>579</v>
      </c>
      <c r="E178" t="s">
        <v>60</v>
      </c>
      <c r="F178" t="s">
        <v>44</v>
      </c>
      <c r="G178" t="s">
        <v>374</v>
      </c>
      <c r="H178" t="s">
        <v>580</v>
      </c>
      <c r="I178" t="s">
        <v>16</v>
      </c>
      <c r="J178" t="s">
        <v>581</v>
      </c>
      <c r="K178">
        <v>-119.5202778</v>
      </c>
      <c r="L178">
        <v>34.034166669999998</v>
      </c>
      <c r="M178" t="s">
        <v>582</v>
      </c>
    </row>
    <row r="179" spans="1:13" x14ac:dyDescent="0.25">
      <c r="A179">
        <v>195</v>
      </c>
      <c r="B179" s="94">
        <v>44055</v>
      </c>
      <c r="C179" t="s">
        <v>46</v>
      </c>
      <c r="D179" t="s">
        <v>587</v>
      </c>
      <c r="E179" t="s">
        <v>26</v>
      </c>
      <c r="F179" t="s">
        <v>19</v>
      </c>
      <c r="G179" t="s">
        <v>443</v>
      </c>
      <c r="H179" t="s">
        <v>15</v>
      </c>
      <c r="I179" t="s">
        <v>16</v>
      </c>
      <c r="J179" t="s">
        <v>588</v>
      </c>
      <c r="K179">
        <v>-118.4089628</v>
      </c>
      <c r="L179">
        <v>33.79</v>
      </c>
      <c r="M179" t="s">
        <v>589</v>
      </c>
    </row>
    <row r="180" spans="1:13" x14ac:dyDescent="0.25">
      <c r="A180">
        <v>196</v>
      </c>
      <c r="B180" s="94">
        <v>44071</v>
      </c>
      <c r="C180" t="s">
        <v>97</v>
      </c>
      <c r="D180" t="s">
        <v>159</v>
      </c>
      <c r="E180" t="s">
        <v>140</v>
      </c>
      <c r="F180" t="s">
        <v>44</v>
      </c>
      <c r="G180" t="s">
        <v>374</v>
      </c>
      <c r="H180" t="s">
        <v>15</v>
      </c>
      <c r="I180" t="s">
        <v>16</v>
      </c>
      <c r="J180" t="s">
        <v>591</v>
      </c>
      <c r="K180">
        <v>-124.38333299999999</v>
      </c>
      <c r="L180">
        <v>40.028333000000003</v>
      </c>
      <c r="M180" t="s">
        <v>592</v>
      </c>
    </row>
    <row r="181" spans="1:13" x14ac:dyDescent="0.25">
      <c r="A181">
        <v>197</v>
      </c>
      <c r="B181" s="94">
        <v>44195</v>
      </c>
      <c r="C181" t="s">
        <v>11</v>
      </c>
      <c r="D181" t="s">
        <v>593</v>
      </c>
      <c r="E181" t="s">
        <v>13</v>
      </c>
      <c r="F181" t="s">
        <v>44</v>
      </c>
      <c r="G181" t="s">
        <v>374</v>
      </c>
      <c r="H181" t="s">
        <v>15</v>
      </c>
      <c r="I181" t="s">
        <v>16</v>
      </c>
      <c r="J181" t="s">
        <v>594</v>
      </c>
      <c r="K181">
        <v>-117.316667</v>
      </c>
      <c r="L181">
        <v>32.685000000000002</v>
      </c>
      <c r="M181" t="s">
        <v>595</v>
      </c>
    </row>
    <row r="182" spans="1:13" x14ac:dyDescent="0.25">
      <c r="A182">
        <v>198</v>
      </c>
      <c r="B182" s="94">
        <v>44008</v>
      </c>
      <c r="C182" t="s">
        <v>66</v>
      </c>
      <c r="D182" t="s">
        <v>606</v>
      </c>
      <c r="E182" t="s">
        <v>26</v>
      </c>
      <c r="F182" t="s">
        <v>14</v>
      </c>
      <c r="G182" t="s">
        <v>443</v>
      </c>
      <c r="H182" t="s">
        <v>15</v>
      </c>
      <c r="I182" t="s">
        <v>16</v>
      </c>
      <c r="J182" t="s">
        <v>607</v>
      </c>
      <c r="K182">
        <v>-122.615003</v>
      </c>
      <c r="L182">
        <v>37.564967000000003</v>
      </c>
      <c r="M182" t="s">
        <v>608</v>
      </c>
    </row>
    <row r="183" spans="1:13" x14ac:dyDescent="0.25">
      <c r="A183">
        <v>199</v>
      </c>
      <c r="B183" s="94">
        <v>44377</v>
      </c>
      <c r="C183" t="s">
        <v>269</v>
      </c>
      <c r="D183" t="s">
        <v>611</v>
      </c>
      <c r="E183" t="s">
        <v>140</v>
      </c>
      <c r="F183" t="s">
        <v>19</v>
      </c>
      <c r="G183" t="s">
        <v>443</v>
      </c>
      <c r="H183" t="s">
        <v>15</v>
      </c>
      <c r="I183" t="s">
        <v>16</v>
      </c>
      <c r="J183" t="s">
        <v>612</v>
      </c>
      <c r="K183">
        <v>-118.55</v>
      </c>
      <c r="L183">
        <v>33.47</v>
      </c>
      <c r="M183" t="s">
        <v>610</v>
      </c>
    </row>
    <row r="184" spans="1:13" x14ac:dyDescent="0.25">
      <c r="A184">
        <v>200</v>
      </c>
      <c r="B184" s="94">
        <v>44382</v>
      </c>
      <c r="C184" t="s">
        <v>28</v>
      </c>
      <c r="D184" t="s">
        <v>613</v>
      </c>
      <c r="E184" t="s">
        <v>140</v>
      </c>
      <c r="F184" t="s">
        <v>44</v>
      </c>
      <c r="G184" t="s">
        <v>374</v>
      </c>
      <c r="H184" t="s">
        <v>15</v>
      </c>
      <c r="I184" t="s">
        <v>16</v>
      </c>
      <c r="J184" t="s">
        <v>614</v>
      </c>
      <c r="K184">
        <v>-121.22199999999999</v>
      </c>
      <c r="L184">
        <v>35.582999999999998</v>
      </c>
      <c r="M184" t="s">
        <v>615</v>
      </c>
    </row>
    <row r="185" spans="1:13" x14ac:dyDescent="0.25">
      <c r="A185">
        <v>201</v>
      </c>
      <c r="B185" s="94">
        <v>44399</v>
      </c>
      <c r="C185" t="s">
        <v>22</v>
      </c>
      <c r="D185" t="s">
        <v>618</v>
      </c>
      <c r="E185" t="s">
        <v>76</v>
      </c>
      <c r="F185" t="s">
        <v>44</v>
      </c>
      <c r="G185" t="s">
        <v>374</v>
      </c>
      <c r="H185" t="s">
        <v>15</v>
      </c>
      <c r="I185" t="s">
        <v>102</v>
      </c>
      <c r="J185" t="s">
        <v>620</v>
      </c>
      <c r="K185">
        <v>-121.79170000000001</v>
      </c>
      <c r="L185">
        <v>36.807600000000001</v>
      </c>
      <c r="M185" t="s">
        <v>621</v>
      </c>
    </row>
    <row r="186" spans="1:13" x14ac:dyDescent="0.25">
      <c r="A186">
        <v>202</v>
      </c>
      <c r="B186" s="94">
        <v>44472</v>
      </c>
      <c r="C186" t="s">
        <v>42</v>
      </c>
      <c r="D186" t="s">
        <v>56</v>
      </c>
      <c r="E186" t="s">
        <v>76</v>
      </c>
      <c r="F186" t="s">
        <v>14</v>
      </c>
      <c r="G186" t="s">
        <v>443</v>
      </c>
      <c r="H186" t="s">
        <v>15</v>
      </c>
      <c r="I186" t="s">
        <v>16</v>
      </c>
      <c r="J186" t="s">
        <v>623</v>
      </c>
      <c r="K186">
        <v>-123.77666670000001</v>
      </c>
      <c r="L186">
        <v>38.358333330000001</v>
      </c>
      <c r="M186" t="s">
        <v>624</v>
      </c>
    </row>
    <row r="187" spans="1:13" x14ac:dyDescent="0.25">
      <c r="A187">
        <v>203</v>
      </c>
      <c r="B187" s="94">
        <v>44552</v>
      </c>
      <c r="C187" t="s">
        <v>42</v>
      </c>
      <c r="D187" t="s">
        <v>56</v>
      </c>
      <c r="E187" t="s">
        <v>76</v>
      </c>
      <c r="F187" t="s">
        <v>44</v>
      </c>
      <c r="G187" t="s">
        <v>374</v>
      </c>
      <c r="H187" t="s">
        <v>15</v>
      </c>
      <c r="I187" t="s">
        <v>16</v>
      </c>
      <c r="J187" t="s">
        <v>630</v>
      </c>
      <c r="K187">
        <v>-123.8766667</v>
      </c>
      <c r="L187">
        <v>38.358333332999997</v>
      </c>
      <c r="M187" t="s">
        <v>631</v>
      </c>
    </row>
    <row r="188" spans="1:13" x14ac:dyDescent="0.25">
      <c r="A188">
        <v>205</v>
      </c>
      <c r="B188" s="94">
        <v>44618</v>
      </c>
      <c r="C188" t="s">
        <v>94</v>
      </c>
      <c r="D188" t="s">
        <v>685</v>
      </c>
      <c r="E188" t="s">
        <v>60</v>
      </c>
      <c r="F188" t="s">
        <v>14</v>
      </c>
      <c r="G188" t="s">
        <v>443</v>
      </c>
      <c r="H188" t="s">
        <v>477</v>
      </c>
      <c r="I188" t="s">
        <v>102</v>
      </c>
      <c r="J188" t="s">
        <v>687</v>
      </c>
      <c r="K188">
        <v>-120.83666669999999</v>
      </c>
      <c r="L188">
        <v>34.04</v>
      </c>
      <c r="M188" t="s">
        <v>686</v>
      </c>
    </row>
  </sheetData>
  <autoFilter ref="A1:M174" xr:uid="{93A2E436-6C4A-4C5D-8479-2863E64188E7}"/>
  <sortState xmlns:xlrd2="http://schemas.microsoft.com/office/spreadsheetml/2017/richdata2" ref="A2:O164">
    <sortCondition ref="B2:B164"/>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6"/>
  <sheetViews>
    <sheetView workbookViewId="0">
      <selection activeCell="C19" sqref="C19"/>
    </sheetView>
  </sheetViews>
  <sheetFormatPr defaultRowHeight="15" x14ac:dyDescent="0.25"/>
  <cols>
    <col min="1" max="1" width="12.5703125" bestFit="1" customWidth="1"/>
    <col min="2" max="2" width="10.7109375" bestFit="1" customWidth="1"/>
    <col min="3" max="3" width="18.140625" bestFit="1" customWidth="1"/>
    <col min="4" max="4" width="35" bestFit="1" customWidth="1"/>
    <col min="5" max="5" width="19.140625" bestFit="1" customWidth="1"/>
    <col min="6" max="6" width="6.28515625" bestFit="1" customWidth="1"/>
    <col min="7" max="7" width="15.42578125" bestFit="1" customWidth="1"/>
    <col min="8" max="8" width="11" bestFit="1" customWidth="1"/>
    <col min="9" max="9" width="13.140625" bestFit="1" customWidth="1"/>
    <col min="10" max="10" width="119.28515625" bestFit="1" customWidth="1"/>
  </cols>
  <sheetData>
    <row r="1" spans="1:13" x14ac:dyDescent="0.25">
      <c r="A1" t="s">
        <v>440</v>
      </c>
      <c r="B1" s="91" t="s">
        <v>0</v>
      </c>
      <c r="C1" t="s">
        <v>1</v>
      </c>
      <c r="D1" t="s">
        <v>2</v>
      </c>
      <c r="E1" t="s">
        <v>3</v>
      </c>
      <c r="F1" t="s">
        <v>4</v>
      </c>
      <c r="G1" t="s">
        <v>441</v>
      </c>
      <c r="H1" t="s">
        <v>5</v>
      </c>
      <c r="I1" t="s">
        <v>6</v>
      </c>
      <c r="J1" t="s">
        <v>7</v>
      </c>
      <c r="K1" t="s">
        <v>8</v>
      </c>
      <c r="L1" t="s">
        <v>9</v>
      </c>
      <c r="M1" t="s">
        <v>10</v>
      </c>
    </row>
    <row r="2" spans="1:13" x14ac:dyDescent="0.25">
      <c r="A2">
        <v>3</v>
      </c>
      <c r="B2" s="91">
        <v>19335</v>
      </c>
      <c r="C2" t="s">
        <v>22</v>
      </c>
      <c r="D2" t="s">
        <v>428</v>
      </c>
      <c r="E2" t="s">
        <v>13</v>
      </c>
      <c r="F2" t="s">
        <v>23</v>
      </c>
      <c r="G2" t="s">
        <v>442</v>
      </c>
      <c r="H2" t="s">
        <v>15</v>
      </c>
      <c r="I2" t="s">
        <v>16</v>
      </c>
      <c r="J2" t="s">
        <v>24</v>
      </c>
      <c r="K2">
        <v>-122.05</v>
      </c>
      <c r="L2">
        <v>36.626666666666665</v>
      </c>
      <c r="M2" t="s">
        <v>18</v>
      </c>
    </row>
    <row r="3" spans="1:13" x14ac:dyDescent="0.25">
      <c r="A3">
        <v>6</v>
      </c>
      <c r="B3" s="91">
        <v>20938</v>
      </c>
      <c r="C3" t="s">
        <v>28</v>
      </c>
      <c r="D3" t="s">
        <v>31</v>
      </c>
      <c r="E3" t="s">
        <v>13</v>
      </c>
      <c r="F3" t="s">
        <v>23</v>
      </c>
      <c r="G3" t="s">
        <v>442</v>
      </c>
      <c r="H3" t="s">
        <v>15</v>
      </c>
      <c r="I3" t="s">
        <v>16</v>
      </c>
      <c r="J3" t="s">
        <v>32</v>
      </c>
      <c r="K3">
        <v>-120.875</v>
      </c>
      <c r="L3">
        <v>35.403333333333336</v>
      </c>
      <c r="M3" t="s">
        <v>18</v>
      </c>
    </row>
    <row r="4" spans="1:13" x14ac:dyDescent="0.25">
      <c r="A4">
        <v>8</v>
      </c>
      <c r="B4" s="91">
        <v>21677</v>
      </c>
      <c r="C4" t="s">
        <v>35</v>
      </c>
      <c r="D4" t="s">
        <v>36</v>
      </c>
      <c r="E4" t="s">
        <v>13</v>
      </c>
      <c r="F4" t="s">
        <v>23</v>
      </c>
      <c r="G4" t="s">
        <v>442</v>
      </c>
      <c r="H4" t="s">
        <v>15</v>
      </c>
      <c r="I4" t="s">
        <v>16</v>
      </c>
      <c r="J4" t="s">
        <v>37</v>
      </c>
      <c r="K4">
        <v>-122.4836</v>
      </c>
      <c r="L4">
        <v>37.793599999999998</v>
      </c>
      <c r="M4" t="s">
        <v>18</v>
      </c>
    </row>
    <row r="5" spans="1:13" x14ac:dyDescent="0.25">
      <c r="A5">
        <v>9</v>
      </c>
      <c r="B5" s="91">
        <v>21715</v>
      </c>
      <c r="C5" t="s">
        <v>11</v>
      </c>
      <c r="D5" t="s">
        <v>38</v>
      </c>
      <c r="E5" t="s">
        <v>26</v>
      </c>
      <c r="F5" t="s">
        <v>23</v>
      </c>
      <c r="G5" t="s">
        <v>442</v>
      </c>
      <c r="H5" t="s">
        <v>15</v>
      </c>
      <c r="I5" t="s">
        <v>16</v>
      </c>
      <c r="J5" t="s">
        <v>39</v>
      </c>
      <c r="K5">
        <v>-117.28</v>
      </c>
      <c r="L5">
        <v>32.854999999999997</v>
      </c>
      <c r="M5" t="s">
        <v>18</v>
      </c>
    </row>
    <row r="6" spans="1:13" x14ac:dyDescent="0.25">
      <c r="A6">
        <v>45</v>
      </c>
      <c r="B6" s="91">
        <v>29939</v>
      </c>
      <c r="C6" t="s">
        <v>22</v>
      </c>
      <c r="D6" t="s">
        <v>107</v>
      </c>
      <c r="E6" t="s">
        <v>76</v>
      </c>
      <c r="F6" t="s">
        <v>23</v>
      </c>
      <c r="G6" t="s">
        <v>442</v>
      </c>
      <c r="H6" t="s">
        <v>15</v>
      </c>
      <c r="I6" t="s">
        <v>16</v>
      </c>
      <c r="J6" t="s">
        <v>108</v>
      </c>
      <c r="K6">
        <v>-122.25</v>
      </c>
      <c r="L6">
        <v>36.626666666666665</v>
      </c>
      <c r="M6" t="s">
        <v>18</v>
      </c>
    </row>
    <row r="7" spans="1:13" x14ac:dyDescent="0.25">
      <c r="A7">
        <v>50</v>
      </c>
      <c r="B7" s="91">
        <v>30940</v>
      </c>
      <c r="C7" t="s">
        <v>66</v>
      </c>
      <c r="D7" t="s">
        <v>431</v>
      </c>
      <c r="E7" t="s">
        <v>26</v>
      </c>
      <c r="F7" t="s">
        <v>23</v>
      </c>
      <c r="G7" t="s">
        <v>442</v>
      </c>
      <c r="H7" t="s">
        <v>15</v>
      </c>
      <c r="I7" t="s">
        <v>16</v>
      </c>
      <c r="J7" t="s">
        <v>118</v>
      </c>
      <c r="K7">
        <v>-122.50833333333333</v>
      </c>
      <c r="L7">
        <v>37.19166666666667</v>
      </c>
      <c r="M7" t="s">
        <v>18</v>
      </c>
    </row>
    <row r="8" spans="1:13" x14ac:dyDescent="0.25">
      <c r="A8">
        <v>62</v>
      </c>
      <c r="B8" s="91">
        <v>32534</v>
      </c>
      <c r="C8" t="s">
        <v>46</v>
      </c>
      <c r="D8" t="s">
        <v>139</v>
      </c>
      <c r="E8" t="s">
        <v>140</v>
      </c>
      <c r="F8" t="s">
        <v>23</v>
      </c>
      <c r="G8" t="s">
        <v>442</v>
      </c>
      <c r="H8" t="s">
        <v>15</v>
      </c>
      <c r="I8" t="s">
        <v>16</v>
      </c>
      <c r="J8" t="s">
        <v>141</v>
      </c>
      <c r="K8">
        <v>-118.88333333333333</v>
      </c>
      <c r="L8">
        <v>34.018333333333331</v>
      </c>
      <c r="M8" t="s">
        <v>18</v>
      </c>
    </row>
    <row r="9" spans="1:13" x14ac:dyDescent="0.25">
      <c r="A9">
        <v>82</v>
      </c>
      <c r="B9" s="91">
        <v>34677</v>
      </c>
      <c r="C9" t="s">
        <v>94</v>
      </c>
      <c r="D9" t="s">
        <v>435</v>
      </c>
      <c r="E9" t="s">
        <v>71</v>
      </c>
      <c r="F9" t="s">
        <v>23</v>
      </c>
      <c r="G9" t="s">
        <v>442</v>
      </c>
      <c r="H9" t="s">
        <v>177</v>
      </c>
      <c r="I9" t="s">
        <v>16</v>
      </c>
      <c r="J9" t="s">
        <v>178</v>
      </c>
      <c r="K9">
        <v>-120.73666666666665</v>
      </c>
      <c r="L9">
        <v>34.04</v>
      </c>
      <c r="M9" t="s">
        <v>18</v>
      </c>
    </row>
    <row r="10" spans="1:13" x14ac:dyDescent="0.25">
      <c r="A10">
        <v>100</v>
      </c>
      <c r="B10" s="91">
        <v>37852</v>
      </c>
      <c r="C10" t="s">
        <v>28</v>
      </c>
      <c r="D10" t="s">
        <v>203</v>
      </c>
      <c r="E10" t="s">
        <v>13</v>
      </c>
      <c r="F10" t="s">
        <v>23</v>
      </c>
      <c r="G10" t="s">
        <v>442</v>
      </c>
      <c r="H10" t="s">
        <v>15</v>
      </c>
      <c r="I10" t="s">
        <v>16</v>
      </c>
      <c r="J10" t="s">
        <v>204</v>
      </c>
      <c r="K10">
        <v>-120.7</v>
      </c>
      <c r="L10">
        <v>35.200000000000003</v>
      </c>
      <c r="M10" t="s">
        <v>205</v>
      </c>
    </row>
    <row r="11" spans="1:13" x14ac:dyDescent="0.25">
      <c r="A11">
        <v>103</v>
      </c>
      <c r="B11" s="91">
        <v>38214</v>
      </c>
      <c r="C11" t="s">
        <v>78</v>
      </c>
      <c r="D11" t="s">
        <v>210</v>
      </c>
      <c r="E11" t="s">
        <v>26</v>
      </c>
      <c r="F11" t="s">
        <v>23</v>
      </c>
      <c r="G11" t="s">
        <v>442</v>
      </c>
      <c r="H11" t="s">
        <v>15</v>
      </c>
      <c r="I11" t="s">
        <v>16</v>
      </c>
      <c r="J11" t="s">
        <v>211</v>
      </c>
      <c r="K11">
        <v>-123.77833333333334</v>
      </c>
      <c r="L11">
        <v>39.578333333333333</v>
      </c>
      <c r="M11" t="s">
        <v>205</v>
      </c>
    </row>
    <row r="12" spans="1:13" x14ac:dyDescent="0.25">
      <c r="A12">
        <v>127</v>
      </c>
      <c r="B12" s="91">
        <v>39563</v>
      </c>
      <c r="C12" t="s">
        <v>11</v>
      </c>
      <c r="D12" t="s">
        <v>266</v>
      </c>
      <c r="E12" t="s">
        <v>13</v>
      </c>
      <c r="F12" t="s">
        <v>23</v>
      </c>
      <c r="G12" t="s">
        <v>442</v>
      </c>
      <c r="H12" t="s">
        <v>15</v>
      </c>
      <c r="I12" t="s">
        <v>16</v>
      </c>
      <c r="J12" t="s">
        <v>267</v>
      </c>
      <c r="K12">
        <v>-117.3</v>
      </c>
      <c r="L12">
        <v>33</v>
      </c>
      <c r="M12" t="s">
        <v>268</v>
      </c>
    </row>
    <row r="13" spans="1:13" x14ac:dyDescent="0.25">
      <c r="A13">
        <v>139</v>
      </c>
      <c r="B13" s="91">
        <v>40473</v>
      </c>
      <c r="C13" t="s">
        <v>69</v>
      </c>
      <c r="D13" t="s">
        <v>272</v>
      </c>
      <c r="E13" t="s">
        <v>76</v>
      </c>
      <c r="F13" t="s">
        <v>23</v>
      </c>
      <c r="G13" t="s">
        <v>442</v>
      </c>
      <c r="H13" t="s">
        <v>15</v>
      </c>
      <c r="I13" t="s">
        <v>16</v>
      </c>
      <c r="J13" t="s">
        <v>192</v>
      </c>
      <c r="K13">
        <v>-120.71</v>
      </c>
      <c r="L13">
        <v>34.683</v>
      </c>
      <c r="M13" t="s">
        <v>290</v>
      </c>
    </row>
    <row r="14" spans="1:13" x14ac:dyDescent="0.25">
      <c r="A14">
        <v>150</v>
      </c>
      <c r="B14" s="91">
        <v>41205</v>
      </c>
      <c r="C14" t="s">
        <v>69</v>
      </c>
      <c r="D14" t="s">
        <v>272</v>
      </c>
      <c r="E14" t="s">
        <v>76</v>
      </c>
      <c r="F14" t="s">
        <v>23</v>
      </c>
      <c r="G14" t="s">
        <v>442</v>
      </c>
      <c r="H14" t="s">
        <v>15</v>
      </c>
      <c r="I14" t="s">
        <v>16</v>
      </c>
      <c r="J14" t="s">
        <v>310</v>
      </c>
      <c r="K14">
        <v>-120.81</v>
      </c>
      <c r="L14">
        <v>34.683</v>
      </c>
      <c r="M14" t="s">
        <v>311</v>
      </c>
    </row>
    <row r="15" spans="1:13" x14ac:dyDescent="0.25">
      <c r="A15">
        <v>192</v>
      </c>
      <c r="B15" s="94">
        <v>43960</v>
      </c>
      <c r="C15" t="s">
        <v>52</v>
      </c>
      <c r="D15" t="s">
        <v>516</v>
      </c>
      <c r="E15" t="s">
        <v>76</v>
      </c>
      <c r="F15" t="s">
        <v>23</v>
      </c>
      <c r="G15" t="s">
        <v>442</v>
      </c>
      <c r="H15" t="s">
        <v>15</v>
      </c>
      <c r="I15" t="s">
        <v>16</v>
      </c>
      <c r="J15" t="s">
        <v>518</v>
      </c>
      <c r="K15">
        <v>-121.8558</v>
      </c>
      <c r="L15">
        <v>36.919966000000002</v>
      </c>
      <c r="M15" t="s">
        <v>517</v>
      </c>
    </row>
    <row r="16" spans="1:13" x14ac:dyDescent="0.25">
      <c r="A16">
        <v>204</v>
      </c>
      <c r="B16" s="94">
        <v>44554</v>
      </c>
      <c r="C16" t="s">
        <v>28</v>
      </c>
      <c r="D16" t="s">
        <v>632</v>
      </c>
      <c r="E16" t="s">
        <v>76</v>
      </c>
      <c r="F16" t="s">
        <v>23</v>
      </c>
      <c r="G16" t="s">
        <v>442</v>
      </c>
      <c r="H16" t="s">
        <v>15</v>
      </c>
      <c r="I16" t="s">
        <v>16</v>
      </c>
      <c r="J16" t="s">
        <v>633</v>
      </c>
      <c r="K16">
        <v>-121.175</v>
      </c>
      <c r="L16">
        <v>35.403333330000002</v>
      </c>
      <c r="M16" t="s">
        <v>624</v>
      </c>
    </row>
  </sheetData>
  <sortState xmlns:xlrd2="http://schemas.microsoft.com/office/spreadsheetml/2017/richdata2" ref="A2:M14">
    <sortCondition ref="B2:B1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0"/>
  <sheetViews>
    <sheetView workbookViewId="0">
      <pane ySplit="1" topLeftCell="A164" activePane="bottomLeft" state="frozen"/>
      <selection pane="bottomLeft" activeCell="A180" sqref="A180:XFD180"/>
    </sheetView>
  </sheetViews>
  <sheetFormatPr defaultRowHeight="15" x14ac:dyDescent="0.25"/>
  <cols>
    <col min="1" max="1" width="15.28515625" bestFit="1" customWidth="1"/>
    <col min="2" max="2" width="15.140625" customWidth="1"/>
    <col min="3" max="3" width="23" customWidth="1"/>
    <col min="4" max="4" width="39.7109375" bestFit="1" customWidth="1"/>
    <col min="5" max="5" width="22.42578125" bestFit="1" customWidth="1"/>
    <col min="6" max="6" width="7.42578125" bestFit="1" customWidth="1"/>
    <col min="7" max="7" width="12.5703125" bestFit="1" customWidth="1"/>
    <col min="8" max="8" width="15" bestFit="1" customWidth="1"/>
    <col min="9" max="9" width="149.85546875" bestFit="1" customWidth="1"/>
  </cols>
  <sheetData>
    <row r="1" spans="1:9" ht="15.75" x14ac:dyDescent="0.25">
      <c r="A1" s="14" t="s">
        <v>440</v>
      </c>
      <c r="B1" s="15" t="s">
        <v>0</v>
      </c>
      <c r="C1" s="16" t="s">
        <v>1</v>
      </c>
      <c r="D1" s="16" t="s">
        <v>2</v>
      </c>
      <c r="E1" s="16" t="s">
        <v>3</v>
      </c>
      <c r="F1" s="16" t="s">
        <v>4</v>
      </c>
      <c r="G1" s="16" t="s">
        <v>5</v>
      </c>
      <c r="H1" s="16" t="s">
        <v>6</v>
      </c>
      <c r="I1" s="17" t="s">
        <v>7</v>
      </c>
    </row>
    <row r="2" spans="1:9" ht="15.75" x14ac:dyDescent="0.25">
      <c r="A2" s="18">
        <v>1</v>
      </c>
      <c r="B2" s="19">
        <v>18544</v>
      </c>
      <c r="C2" s="3" t="s">
        <v>11</v>
      </c>
      <c r="D2" s="3" t="s">
        <v>12</v>
      </c>
      <c r="E2" s="3" t="s">
        <v>13</v>
      </c>
      <c r="F2" s="3" t="s">
        <v>14</v>
      </c>
      <c r="G2" s="3" t="s">
        <v>15</v>
      </c>
      <c r="H2" s="3" t="s">
        <v>16</v>
      </c>
      <c r="I2" s="20" t="s">
        <v>17</v>
      </c>
    </row>
    <row r="3" spans="1:9" ht="15.75" x14ac:dyDescent="0.25">
      <c r="A3" s="18">
        <v>2</v>
      </c>
      <c r="B3" s="19">
        <v>19141</v>
      </c>
      <c r="C3" s="3" t="s">
        <v>11</v>
      </c>
      <c r="D3" s="3" t="s">
        <v>12</v>
      </c>
      <c r="E3" s="3" t="s">
        <v>13</v>
      </c>
      <c r="F3" s="3" t="s">
        <v>19</v>
      </c>
      <c r="G3" s="3" t="s">
        <v>15</v>
      </c>
      <c r="H3" s="3" t="s">
        <v>16</v>
      </c>
      <c r="I3" s="22" t="s">
        <v>20</v>
      </c>
    </row>
    <row r="4" spans="1:9" ht="15.75" x14ac:dyDescent="0.25">
      <c r="A4" s="18">
        <v>3</v>
      </c>
      <c r="B4" s="19">
        <v>19335</v>
      </c>
      <c r="C4" s="3" t="s">
        <v>22</v>
      </c>
      <c r="D4" s="3" t="s">
        <v>428</v>
      </c>
      <c r="E4" s="3" t="s">
        <v>13</v>
      </c>
      <c r="F4" s="3" t="s">
        <v>23</v>
      </c>
      <c r="G4" s="3" t="s">
        <v>15</v>
      </c>
      <c r="H4" s="3" t="s">
        <v>16</v>
      </c>
      <c r="I4" s="20" t="s">
        <v>24</v>
      </c>
    </row>
    <row r="5" spans="1:9" ht="15.75" x14ac:dyDescent="0.25">
      <c r="A5" s="18">
        <v>4</v>
      </c>
      <c r="B5" s="19">
        <v>20126</v>
      </c>
      <c r="C5" s="3" t="s">
        <v>22</v>
      </c>
      <c r="D5" s="3" t="s">
        <v>25</v>
      </c>
      <c r="E5" s="3" t="s">
        <v>26</v>
      </c>
      <c r="F5" s="3" t="s">
        <v>19</v>
      </c>
      <c r="G5" s="3" t="s">
        <v>15</v>
      </c>
      <c r="H5" s="3" t="s">
        <v>16</v>
      </c>
      <c r="I5" s="20" t="s">
        <v>27</v>
      </c>
    </row>
    <row r="6" spans="1:9" ht="15.75" x14ac:dyDescent="0.25">
      <c r="A6" s="18">
        <v>5</v>
      </c>
      <c r="B6" s="19">
        <v>20681</v>
      </c>
      <c r="C6" s="3" t="s">
        <v>28</v>
      </c>
      <c r="D6" s="3" t="s">
        <v>29</v>
      </c>
      <c r="E6" s="3" t="s">
        <v>13</v>
      </c>
      <c r="F6" s="3" t="s">
        <v>14</v>
      </c>
      <c r="G6" s="3" t="s">
        <v>15</v>
      </c>
      <c r="H6" s="3" t="s">
        <v>16</v>
      </c>
      <c r="I6" s="20" t="s">
        <v>30</v>
      </c>
    </row>
    <row r="7" spans="1:9" ht="15.75" x14ac:dyDescent="0.25">
      <c r="A7" s="18">
        <v>6</v>
      </c>
      <c r="B7" s="19">
        <v>20938</v>
      </c>
      <c r="C7" s="3" t="s">
        <v>28</v>
      </c>
      <c r="D7" s="3" t="s">
        <v>31</v>
      </c>
      <c r="E7" s="3" t="s">
        <v>13</v>
      </c>
      <c r="F7" s="3" t="s">
        <v>23</v>
      </c>
      <c r="G7" s="3" t="s">
        <v>15</v>
      </c>
      <c r="H7" s="3" t="s">
        <v>16</v>
      </c>
      <c r="I7" s="20" t="s">
        <v>32</v>
      </c>
    </row>
    <row r="8" spans="1:9" ht="15.75" x14ac:dyDescent="0.25">
      <c r="A8" s="18">
        <v>7</v>
      </c>
      <c r="B8" s="19">
        <v>21470</v>
      </c>
      <c r="C8" s="3" t="s">
        <v>11</v>
      </c>
      <c r="D8" s="3" t="s">
        <v>33</v>
      </c>
      <c r="E8" s="3" t="s">
        <v>13</v>
      </c>
      <c r="F8" s="3" t="s">
        <v>14</v>
      </c>
      <c r="G8" s="3" t="s">
        <v>15</v>
      </c>
      <c r="H8" s="3" t="s">
        <v>16</v>
      </c>
      <c r="I8" s="20" t="s">
        <v>34</v>
      </c>
    </row>
    <row r="9" spans="1:9" ht="15.75" x14ac:dyDescent="0.25">
      <c r="A9" s="18">
        <v>8</v>
      </c>
      <c r="B9" s="19">
        <v>21677</v>
      </c>
      <c r="C9" s="3" t="s">
        <v>35</v>
      </c>
      <c r="D9" s="3" t="s">
        <v>36</v>
      </c>
      <c r="E9" s="3" t="s">
        <v>13</v>
      </c>
      <c r="F9" s="3" t="s">
        <v>23</v>
      </c>
      <c r="G9" s="3" t="s">
        <v>15</v>
      </c>
      <c r="H9" s="3" t="s">
        <v>16</v>
      </c>
      <c r="I9" s="20" t="s">
        <v>37</v>
      </c>
    </row>
    <row r="10" spans="1:9" ht="15.75" x14ac:dyDescent="0.25">
      <c r="A10" s="18">
        <v>9</v>
      </c>
      <c r="B10" s="19">
        <v>21715</v>
      </c>
      <c r="C10" s="3" t="s">
        <v>11</v>
      </c>
      <c r="D10" s="3" t="s">
        <v>38</v>
      </c>
      <c r="E10" s="3" t="s">
        <v>26</v>
      </c>
      <c r="F10" s="3" t="s">
        <v>23</v>
      </c>
      <c r="G10" s="3" t="s">
        <v>15</v>
      </c>
      <c r="H10" s="3" t="s">
        <v>16</v>
      </c>
      <c r="I10" s="20" t="s">
        <v>39</v>
      </c>
    </row>
    <row r="11" spans="1:9" ht="15.75" x14ac:dyDescent="0.25">
      <c r="A11" s="18">
        <v>11</v>
      </c>
      <c r="B11" s="19">
        <v>21827</v>
      </c>
      <c r="C11" s="3" t="s">
        <v>42</v>
      </c>
      <c r="D11" s="3" t="s">
        <v>43</v>
      </c>
      <c r="E11" s="3" t="s">
        <v>26</v>
      </c>
      <c r="F11" s="3" t="s">
        <v>44</v>
      </c>
      <c r="G11" s="3" t="s">
        <v>15</v>
      </c>
      <c r="H11" s="3" t="s">
        <v>16</v>
      </c>
      <c r="I11" s="20" t="s">
        <v>45</v>
      </c>
    </row>
    <row r="12" spans="1:9" ht="15.75" x14ac:dyDescent="0.25">
      <c r="A12" s="18">
        <v>13</v>
      </c>
      <c r="B12" s="19">
        <v>22030</v>
      </c>
      <c r="C12" s="3" t="s">
        <v>50</v>
      </c>
      <c r="D12" s="3" t="s">
        <v>429</v>
      </c>
      <c r="E12" s="3" t="s">
        <v>26</v>
      </c>
      <c r="F12" s="3" t="s">
        <v>19</v>
      </c>
      <c r="G12" s="3" t="s">
        <v>15</v>
      </c>
      <c r="H12" s="3" t="s">
        <v>16</v>
      </c>
      <c r="I12" s="20" t="s">
        <v>51</v>
      </c>
    </row>
    <row r="13" spans="1:9" ht="15.75" x14ac:dyDescent="0.25">
      <c r="A13" s="18">
        <v>14</v>
      </c>
      <c r="B13" s="19">
        <v>22055</v>
      </c>
      <c r="C13" s="3" t="s">
        <v>52</v>
      </c>
      <c r="D13" s="3" t="s">
        <v>53</v>
      </c>
      <c r="E13" s="3" t="s">
        <v>13</v>
      </c>
      <c r="F13" s="3" t="s">
        <v>14</v>
      </c>
      <c r="G13" s="3" t="s">
        <v>15</v>
      </c>
      <c r="H13" s="3" t="s">
        <v>16</v>
      </c>
      <c r="I13" s="20" t="s">
        <v>54</v>
      </c>
    </row>
    <row r="14" spans="1:9" ht="15.75" x14ac:dyDescent="0.25">
      <c r="A14" s="18">
        <v>15</v>
      </c>
      <c r="B14" s="19">
        <v>22422</v>
      </c>
      <c r="C14" s="3" t="s">
        <v>50</v>
      </c>
      <c r="D14" s="3" t="s">
        <v>429</v>
      </c>
      <c r="E14" s="3" t="s">
        <v>26</v>
      </c>
      <c r="F14" s="3" t="s">
        <v>44</v>
      </c>
      <c r="G14" s="4">
        <v>25</v>
      </c>
      <c r="H14" s="3" t="s">
        <v>16</v>
      </c>
      <c r="I14" s="20" t="s">
        <v>55</v>
      </c>
    </row>
    <row r="15" spans="1:9" ht="15.75" x14ac:dyDescent="0.25">
      <c r="A15" s="18">
        <v>16</v>
      </c>
      <c r="B15" s="19">
        <v>22513</v>
      </c>
      <c r="C15" s="3" t="s">
        <v>42</v>
      </c>
      <c r="D15" s="3" t="s">
        <v>56</v>
      </c>
      <c r="E15" s="3" t="s">
        <v>13</v>
      </c>
      <c r="F15" s="3" t="s">
        <v>14</v>
      </c>
      <c r="G15" s="3" t="s">
        <v>15</v>
      </c>
      <c r="H15" s="3" t="s">
        <v>16</v>
      </c>
      <c r="I15" s="20" t="s">
        <v>57</v>
      </c>
    </row>
    <row r="16" spans="1:9" ht="15.75" x14ac:dyDescent="0.25">
      <c r="A16" s="18">
        <v>17</v>
      </c>
      <c r="B16" s="19">
        <v>22660</v>
      </c>
      <c r="C16" s="3" t="s">
        <v>58</v>
      </c>
      <c r="D16" s="3" t="s">
        <v>59</v>
      </c>
      <c r="E16" s="3" t="s">
        <v>60</v>
      </c>
      <c r="F16" s="3" t="s">
        <v>14</v>
      </c>
      <c r="G16" s="3" t="s">
        <v>15</v>
      </c>
      <c r="H16" s="3" t="s">
        <v>16</v>
      </c>
      <c r="I16" s="20" t="s">
        <v>61</v>
      </c>
    </row>
    <row r="17" spans="1:9" ht="15.75" x14ac:dyDescent="0.25">
      <c r="A17" s="18">
        <v>18</v>
      </c>
      <c r="B17" s="19">
        <v>22961</v>
      </c>
      <c r="C17" s="3" t="s">
        <v>58</v>
      </c>
      <c r="D17" s="3" t="s">
        <v>59</v>
      </c>
      <c r="E17" s="3" t="s">
        <v>60</v>
      </c>
      <c r="F17" s="3" t="s">
        <v>14</v>
      </c>
      <c r="G17" s="3" t="s">
        <v>15</v>
      </c>
      <c r="H17" s="3" t="s">
        <v>16</v>
      </c>
      <c r="I17" s="20" t="s">
        <v>62</v>
      </c>
    </row>
    <row r="18" spans="1:9" ht="15.75" x14ac:dyDescent="0.25">
      <c r="A18" s="18">
        <v>19</v>
      </c>
      <c r="B18" s="19">
        <v>23387</v>
      </c>
      <c r="C18" s="3" t="s">
        <v>58</v>
      </c>
      <c r="D18" s="3" t="s">
        <v>59</v>
      </c>
      <c r="E18" s="3" t="s">
        <v>60</v>
      </c>
      <c r="F18" s="3" t="s">
        <v>14</v>
      </c>
      <c r="G18" s="3" t="s">
        <v>15</v>
      </c>
      <c r="H18" s="3" t="s">
        <v>16</v>
      </c>
      <c r="I18" s="20" t="s">
        <v>63</v>
      </c>
    </row>
    <row r="19" spans="1:9" ht="15.75" x14ac:dyDescent="0.25">
      <c r="A19" s="18">
        <v>20</v>
      </c>
      <c r="B19" s="19">
        <v>24129</v>
      </c>
      <c r="C19" s="3" t="s">
        <v>22</v>
      </c>
      <c r="D19" s="3" t="s">
        <v>430</v>
      </c>
      <c r="E19" s="3" t="s">
        <v>26</v>
      </c>
      <c r="F19" s="3" t="s">
        <v>14</v>
      </c>
      <c r="G19" s="3" t="s">
        <v>15</v>
      </c>
      <c r="H19" s="3" t="s">
        <v>16</v>
      </c>
      <c r="I19" s="20" t="s">
        <v>64</v>
      </c>
    </row>
    <row r="20" spans="1:9" ht="15.75" x14ac:dyDescent="0.25">
      <c r="A20" s="18">
        <v>21</v>
      </c>
      <c r="B20" s="19">
        <v>25046</v>
      </c>
      <c r="C20" s="3" t="s">
        <v>42</v>
      </c>
      <c r="D20" s="3" t="s">
        <v>43</v>
      </c>
      <c r="E20" s="3" t="s">
        <v>26</v>
      </c>
      <c r="F20" s="3" t="s">
        <v>14</v>
      </c>
      <c r="G20" s="4">
        <v>20</v>
      </c>
      <c r="H20" s="3" t="s">
        <v>16</v>
      </c>
      <c r="I20" s="20" t="s">
        <v>65</v>
      </c>
    </row>
    <row r="21" spans="1:9" ht="15.75" x14ac:dyDescent="0.25">
      <c r="A21" s="18">
        <v>23</v>
      </c>
      <c r="B21" s="19">
        <v>25452</v>
      </c>
      <c r="C21" s="3" t="s">
        <v>50</v>
      </c>
      <c r="D21" s="3" t="s">
        <v>429</v>
      </c>
      <c r="E21" s="3" t="s">
        <v>26</v>
      </c>
      <c r="F21" s="3" t="s">
        <v>14</v>
      </c>
      <c r="G21" s="3" t="s">
        <v>15</v>
      </c>
      <c r="H21" s="3" t="s">
        <v>16</v>
      </c>
      <c r="I21" s="20" t="s">
        <v>68</v>
      </c>
    </row>
    <row r="22" spans="1:9" ht="15.75" x14ac:dyDescent="0.25">
      <c r="A22" s="18">
        <v>24</v>
      </c>
      <c r="B22" s="19">
        <v>26133</v>
      </c>
      <c r="C22" s="3" t="s">
        <v>69</v>
      </c>
      <c r="D22" s="3" t="s">
        <v>70</v>
      </c>
      <c r="E22" s="3" t="s">
        <v>71</v>
      </c>
      <c r="F22" s="3" t="s">
        <v>14</v>
      </c>
      <c r="G22" s="4">
        <v>20</v>
      </c>
      <c r="H22" s="3" t="s">
        <v>16</v>
      </c>
      <c r="I22" s="20" t="s">
        <v>72</v>
      </c>
    </row>
    <row r="23" spans="1:9" ht="15.75" x14ac:dyDescent="0.25">
      <c r="A23" s="18">
        <v>25</v>
      </c>
      <c r="B23" s="19">
        <v>26208</v>
      </c>
      <c r="C23" s="3" t="s">
        <v>42</v>
      </c>
      <c r="D23" s="3" t="s">
        <v>73</v>
      </c>
      <c r="E23" s="3" t="s">
        <v>60</v>
      </c>
      <c r="F23" s="3" t="s">
        <v>14</v>
      </c>
      <c r="G23" s="4">
        <v>15</v>
      </c>
      <c r="H23" s="3" t="s">
        <v>16</v>
      </c>
      <c r="I23" s="20" t="s">
        <v>74</v>
      </c>
    </row>
    <row r="24" spans="1:9" ht="15.75" x14ac:dyDescent="0.25">
      <c r="A24" s="18">
        <v>26</v>
      </c>
      <c r="B24" s="19">
        <v>26447</v>
      </c>
      <c r="C24" s="3" t="s">
        <v>50</v>
      </c>
      <c r="D24" s="3" t="s">
        <v>429</v>
      </c>
      <c r="E24" s="3" t="s">
        <v>26</v>
      </c>
      <c r="F24" s="3" t="s">
        <v>14</v>
      </c>
      <c r="G24" s="3" t="s">
        <v>15</v>
      </c>
      <c r="H24" s="3" t="s">
        <v>16</v>
      </c>
      <c r="I24" s="20" t="s">
        <v>75</v>
      </c>
    </row>
    <row r="25" spans="1:9" ht="15.75" x14ac:dyDescent="0.25">
      <c r="A25" s="18">
        <v>28</v>
      </c>
      <c r="B25" s="19">
        <v>27175</v>
      </c>
      <c r="C25" s="3" t="s">
        <v>50</v>
      </c>
      <c r="D25" s="3" t="s">
        <v>429</v>
      </c>
      <c r="E25" s="3" t="s">
        <v>26</v>
      </c>
      <c r="F25" s="3" t="s">
        <v>14</v>
      </c>
      <c r="G25" s="3" t="s">
        <v>15</v>
      </c>
      <c r="H25" s="3" t="s">
        <v>16</v>
      </c>
      <c r="I25" s="20" t="s">
        <v>77</v>
      </c>
    </row>
    <row r="26" spans="1:9" ht="15.75" x14ac:dyDescent="0.25">
      <c r="A26" s="18">
        <v>29</v>
      </c>
      <c r="B26" s="19">
        <v>27236</v>
      </c>
      <c r="C26" s="3" t="s">
        <v>78</v>
      </c>
      <c r="D26" s="3" t="s">
        <v>79</v>
      </c>
      <c r="E26" s="3" t="s">
        <v>26</v>
      </c>
      <c r="F26" s="3" t="s">
        <v>19</v>
      </c>
      <c r="G26" s="4">
        <v>25</v>
      </c>
      <c r="H26" s="3" t="s">
        <v>16</v>
      </c>
      <c r="I26" s="20" t="s">
        <v>80</v>
      </c>
    </row>
    <row r="27" spans="1:9" ht="15.75" x14ac:dyDescent="0.25">
      <c r="A27" s="18">
        <v>30</v>
      </c>
      <c r="B27" s="19">
        <v>27246</v>
      </c>
      <c r="C27" s="3" t="s">
        <v>66</v>
      </c>
      <c r="D27" s="3" t="s">
        <v>81</v>
      </c>
      <c r="E27" s="3" t="s">
        <v>76</v>
      </c>
      <c r="F27" s="3" t="s">
        <v>19</v>
      </c>
      <c r="G27" s="3" t="s">
        <v>15</v>
      </c>
      <c r="H27" s="3" t="s">
        <v>16</v>
      </c>
      <c r="I27" s="20" t="s">
        <v>82</v>
      </c>
    </row>
    <row r="28" spans="1:9" ht="15.75" x14ac:dyDescent="0.25">
      <c r="A28" s="18">
        <v>31</v>
      </c>
      <c r="B28" s="19">
        <v>27274</v>
      </c>
      <c r="C28" s="3" t="s">
        <v>66</v>
      </c>
      <c r="D28" s="3" t="s">
        <v>432</v>
      </c>
      <c r="E28" s="3" t="s">
        <v>60</v>
      </c>
      <c r="F28" s="3" t="s">
        <v>19</v>
      </c>
      <c r="G28" s="3" t="s">
        <v>15</v>
      </c>
      <c r="H28" s="3" t="s">
        <v>16</v>
      </c>
      <c r="I28" s="20" t="s">
        <v>83</v>
      </c>
    </row>
    <row r="29" spans="1:9" ht="15.75" x14ac:dyDescent="0.25">
      <c r="A29" s="18">
        <v>32</v>
      </c>
      <c r="B29" s="19">
        <v>27274</v>
      </c>
      <c r="C29" s="5" t="s">
        <v>66</v>
      </c>
      <c r="D29" s="5" t="s">
        <v>432</v>
      </c>
      <c r="E29" s="5" t="s">
        <v>60</v>
      </c>
      <c r="F29" s="5" t="s">
        <v>19</v>
      </c>
      <c r="G29" s="5" t="s">
        <v>15</v>
      </c>
      <c r="H29" s="3" t="s">
        <v>16</v>
      </c>
      <c r="I29" s="20" t="s">
        <v>83</v>
      </c>
    </row>
    <row r="30" spans="1:9" ht="15.75" x14ac:dyDescent="0.25">
      <c r="A30" s="18">
        <v>33</v>
      </c>
      <c r="B30" s="19">
        <v>27286</v>
      </c>
      <c r="C30" s="3" t="s">
        <v>58</v>
      </c>
      <c r="D30" s="3" t="s">
        <v>59</v>
      </c>
      <c r="E30" s="3" t="s">
        <v>71</v>
      </c>
      <c r="F30" s="3" t="s">
        <v>14</v>
      </c>
      <c r="G30" s="4">
        <v>28</v>
      </c>
      <c r="H30" s="3" t="s">
        <v>16</v>
      </c>
      <c r="I30" s="20" t="s">
        <v>84</v>
      </c>
    </row>
    <row r="31" spans="1:9" ht="15.75" x14ac:dyDescent="0.25">
      <c r="A31" s="18">
        <v>34</v>
      </c>
      <c r="B31" s="19">
        <v>27300</v>
      </c>
      <c r="C31" s="3" t="s">
        <v>22</v>
      </c>
      <c r="D31" s="3" t="s">
        <v>85</v>
      </c>
      <c r="E31" s="3" t="s">
        <v>76</v>
      </c>
      <c r="F31" s="3" t="s">
        <v>14</v>
      </c>
      <c r="G31" s="3" t="s">
        <v>15</v>
      </c>
      <c r="H31" s="3" t="s">
        <v>16</v>
      </c>
      <c r="I31" s="20" t="s">
        <v>86</v>
      </c>
    </row>
    <row r="32" spans="1:9" ht="15.75" x14ac:dyDescent="0.25">
      <c r="A32" s="18">
        <v>35</v>
      </c>
      <c r="B32" s="19">
        <v>27594</v>
      </c>
      <c r="C32" s="3" t="s">
        <v>69</v>
      </c>
      <c r="D32" s="3" t="s">
        <v>87</v>
      </c>
      <c r="E32" s="3" t="s">
        <v>71</v>
      </c>
      <c r="F32" s="3" t="s">
        <v>44</v>
      </c>
      <c r="G32" s="4">
        <v>30</v>
      </c>
      <c r="H32" s="3" t="s">
        <v>16</v>
      </c>
      <c r="I32" s="20" t="s">
        <v>88</v>
      </c>
    </row>
    <row r="33" spans="1:9" ht="15.75" x14ac:dyDescent="0.25">
      <c r="A33" s="18">
        <v>36</v>
      </c>
      <c r="B33" s="19">
        <v>27598</v>
      </c>
      <c r="C33" s="3" t="s">
        <v>69</v>
      </c>
      <c r="D33" s="3" t="s">
        <v>89</v>
      </c>
      <c r="E33" s="3" t="s">
        <v>60</v>
      </c>
      <c r="F33" s="3" t="s">
        <v>14</v>
      </c>
      <c r="G33" s="3" t="s">
        <v>15</v>
      </c>
      <c r="H33" s="3" t="s">
        <v>16</v>
      </c>
      <c r="I33" s="20" t="s">
        <v>90</v>
      </c>
    </row>
    <row r="34" spans="1:9" ht="15.75" x14ac:dyDescent="0.25">
      <c r="A34" s="18">
        <v>37</v>
      </c>
      <c r="B34" s="19">
        <v>27615</v>
      </c>
      <c r="C34" s="3" t="s">
        <v>78</v>
      </c>
      <c r="D34" s="3" t="s">
        <v>91</v>
      </c>
      <c r="E34" s="3" t="s">
        <v>26</v>
      </c>
      <c r="F34" s="3" t="s">
        <v>14</v>
      </c>
      <c r="G34" s="4">
        <v>19</v>
      </c>
      <c r="H34" s="3" t="s">
        <v>16</v>
      </c>
      <c r="I34" s="20" t="s">
        <v>92</v>
      </c>
    </row>
    <row r="35" spans="1:9" ht="15.75" x14ac:dyDescent="0.25">
      <c r="A35" s="18">
        <v>38</v>
      </c>
      <c r="B35" s="19">
        <v>27734</v>
      </c>
      <c r="C35" s="3" t="s">
        <v>58</v>
      </c>
      <c r="D35" s="3" t="s">
        <v>59</v>
      </c>
      <c r="E35" s="3" t="s">
        <v>60</v>
      </c>
      <c r="F35" s="3" t="s">
        <v>14</v>
      </c>
      <c r="G35" s="4">
        <v>20</v>
      </c>
      <c r="H35" s="3" t="s">
        <v>16</v>
      </c>
      <c r="I35" s="20" t="s">
        <v>93</v>
      </c>
    </row>
    <row r="36" spans="1:9" ht="15.75" x14ac:dyDescent="0.25">
      <c r="A36" s="18">
        <v>40</v>
      </c>
      <c r="B36" s="19">
        <v>28051</v>
      </c>
      <c r="C36" s="3" t="s">
        <v>94</v>
      </c>
      <c r="D36" s="3" t="s">
        <v>95</v>
      </c>
      <c r="E36" s="3" t="s">
        <v>71</v>
      </c>
      <c r="F36" s="3" t="s">
        <v>14</v>
      </c>
      <c r="G36" s="4">
        <v>18</v>
      </c>
      <c r="H36" s="3" t="s">
        <v>16</v>
      </c>
      <c r="I36" s="20" t="s">
        <v>96</v>
      </c>
    </row>
    <row r="37" spans="1:9" ht="15.75" x14ac:dyDescent="0.25">
      <c r="A37" s="18">
        <v>39</v>
      </c>
      <c r="B37" s="19">
        <v>28051</v>
      </c>
      <c r="C37" s="3" t="s">
        <v>97</v>
      </c>
      <c r="D37" s="3" t="s">
        <v>98</v>
      </c>
      <c r="E37" s="3" t="s">
        <v>76</v>
      </c>
      <c r="F37" s="3" t="s">
        <v>19</v>
      </c>
      <c r="G37" s="3" t="s">
        <v>15</v>
      </c>
      <c r="H37" s="3" t="s">
        <v>16</v>
      </c>
      <c r="I37" s="20" t="s">
        <v>99</v>
      </c>
    </row>
    <row r="38" spans="1:9" ht="15.75" x14ac:dyDescent="0.25">
      <c r="A38" s="18">
        <v>41</v>
      </c>
      <c r="B38" s="19">
        <v>28351</v>
      </c>
      <c r="C38" s="3" t="s">
        <v>50</v>
      </c>
      <c r="D38" s="3" t="s">
        <v>429</v>
      </c>
      <c r="E38" s="3" t="s">
        <v>26</v>
      </c>
      <c r="F38" s="3" t="s">
        <v>14</v>
      </c>
      <c r="G38" s="3" t="s">
        <v>15</v>
      </c>
      <c r="H38" s="3" t="s">
        <v>16</v>
      </c>
      <c r="I38" s="20" t="s">
        <v>100</v>
      </c>
    </row>
    <row r="39" spans="1:9" ht="15.75" x14ac:dyDescent="0.25">
      <c r="A39" s="18">
        <v>43</v>
      </c>
      <c r="B39" s="19">
        <v>28925</v>
      </c>
      <c r="C39" s="3" t="s">
        <v>66</v>
      </c>
      <c r="D39" s="3" t="s">
        <v>104</v>
      </c>
      <c r="E39" s="3" t="s">
        <v>60</v>
      </c>
      <c r="F39" s="3" t="s">
        <v>44</v>
      </c>
      <c r="G39" s="4">
        <v>20</v>
      </c>
      <c r="H39" s="3" t="s">
        <v>16</v>
      </c>
      <c r="I39" s="18" t="s">
        <v>105</v>
      </c>
    </row>
    <row r="40" spans="1:9" ht="15.75" x14ac:dyDescent="0.25">
      <c r="A40" s="18">
        <v>44</v>
      </c>
      <c r="B40" s="19">
        <v>29511</v>
      </c>
      <c r="C40" s="3" t="s">
        <v>97</v>
      </c>
      <c r="D40" s="3" t="s">
        <v>98</v>
      </c>
      <c r="E40" s="3" t="s">
        <v>76</v>
      </c>
      <c r="F40" s="3" t="s">
        <v>44</v>
      </c>
      <c r="G40" s="3" t="s">
        <v>15</v>
      </c>
      <c r="H40" s="3" t="s">
        <v>16</v>
      </c>
      <c r="I40" s="20" t="s">
        <v>106</v>
      </c>
    </row>
    <row r="41" spans="1:9" ht="15.75" x14ac:dyDescent="0.25">
      <c r="A41" s="18">
        <v>45</v>
      </c>
      <c r="B41" s="19">
        <v>29939</v>
      </c>
      <c r="C41" s="3" t="s">
        <v>22</v>
      </c>
      <c r="D41" s="3" t="s">
        <v>107</v>
      </c>
      <c r="E41" s="3" t="s">
        <v>76</v>
      </c>
      <c r="F41" s="3" t="s">
        <v>23</v>
      </c>
      <c r="G41" s="3" t="s">
        <v>15</v>
      </c>
      <c r="H41" s="3" t="s">
        <v>16</v>
      </c>
      <c r="I41" s="20" t="s">
        <v>108</v>
      </c>
    </row>
    <row r="42" spans="1:9" ht="15.75" x14ac:dyDescent="0.25">
      <c r="A42" s="18">
        <v>46</v>
      </c>
      <c r="B42" s="19">
        <v>29989</v>
      </c>
      <c r="C42" s="3" t="s">
        <v>42</v>
      </c>
      <c r="D42" s="3" t="s">
        <v>109</v>
      </c>
      <c r="E42" s="3" t="s">
        <v>60</v>
      </c>
      <c r="F42" s="3" t="s">
        <v>14</v>
      </c>
      <c r="G42" s="4">
        <v>40</v>
      </c>
      <c r="H42" s="3" t="s">
        <v>16</v>
      </c>
      <c r="I42" s="20" t="s">
        <v>110</v>
      </c>
    </row>
    <row r="43" spans="1:9" ht="15.75" x14ac:dyDescent="0.25">
      <c r="A43" s="18">
        <v>47</v>
      </c>
      <c r="B43" s="19">
        <v>30156</v>
      </c>
      <c r="C43" s="3" t="s">
        <v>28</v>
      </c>
      <c r="D43" s="3" t="s">
        <v>111</v>
      </c>
      <c r="E43" s="3" t="s">
        <v>112</v>
      </c>
      <c r="F43" s="3" t="s">
        <v>44</v>
      </c>
      <c r="G43" s="3" t="s">
        <v>15</v>
      </c>
      <c r="H43" s="3" t="s">
        <v>16</v>
      </c>
      <c r="I43" s="20" t="s">
        <v>113</v>
      </c>
    </row>
    <row r="44" spans="1:9" ht="15.75" x14ac:dyDescent="0.25">
      <c r="A44" s="18">
        <v>48</v>
      </c>
      <c r="B44" s="19">
        <v>30213</v>
      </c>
      <c r="C44" s="3" t="s">
        <v>78</v>
      </c>
      <c r="D44" s="3" t="s">
        <v>114</v>
      </c>
      <c r="E44" s="3" t="s">
        <v>26</v>
      </c>
      <c r="F44" s="3" t="s">
        <v>14</v>
      </c>
      <c r="G44" s="4">
        <v>12</v>
      </c>
      <c r="H44" s="3" t="s">
        <v>16</v>
      </c>
      <c r="I44" s="20" t="s">
        <v>115</v>
      </c>
    </row>
    <row r="45" spans="1:9" ht="15.75" x14ac:dyDescent="0.25">
      <c r="A45" s="18">
        <v>49</v>
      </c>
      <c r="B45" s="19">
        <v>30219</v>
      </c>
      <c r="C45" s="3" t="s">
        <v>22</v>
      </c>
      <c r="D45" s="3" t="s">
        <v>116</v>
      </c>
      <c r="E45" s="3" t="s">
        <v>60</v>
      </c>
      <c r="F45" s="3" t="s">
        <v>19</v>
      </c>
      <c r="G45" s="4">
        <v>40</v>
      </c>
      <c r="H45" s="3" t="s">
        <v>16</v>
      </c>
      <c r="I45" s="22" t="s">
        <v>117</v>
      </c>
    </row>
    <row r="46" spans="1:9" ht="15.75" x14ac:dyDescent="0.25">
      <c r="A46" s="18">
        <v>50</v>
      </c>
      <c r="B46" s="19">
        <v>30940</v>
      </c>
      <c r="C46" s="3" t="s">
        <v>66</v>
      </c>
      <c r="D46" s="3" t="s">
        <v>431</v>
      </c>
      <c r="E46" s="3" t="s">
        <v>26</v>
      </c>
      <c r="F46" s="3" t="s">
        <v>23</v>
      </c>
      <c r="G46" s="3" t="s">
        <v>15</v>
      </c>
      <c r="H46" s="3" t="s">
        <v>16</v>
      </c>
      <c r="I46" s="20" t="s">
        <v>118</v>
      </c>
    </row>
    <row r="47" spans="1:9" ht="15.75" x14ac:dyDescent="0.25">
      <c r="A47" s="18">
        <v>52</v>
      </c>
      <c r="B47" s="19">
        <v>30955</v>
      </c>
      <c r="C47" s="3" t="s">
        <v>50</v>
      </c>
      <c r="D47" s="3" t="s">
        <v>429</v>
      </c>
      <c r="E47" s="3" t="s">
        <v>26</v>
      </c>
      <c r="F47" s="3" t="s">
        <v>14</v>
      </c>
      <c r="G47" s="4">
        <v>10</v>
      </c>
      <c r="H47" s="3" t="s">
        <v>16</v>
      </c>
      <c r="I47" s="20" t="s">
        <v>121</v>
      </c>
    </row>
    <row r="48" spans="1:9" ht="15.75" x14ac:dyDescent="0.25">
      <c r="A48" s="18">
        <v>53</v>
      </c>
      <c r="B48" s="19">
        <v>31096</v>
      </c>
      <c r="C48" s="3" t="s">
        <v>94</v>
      </c>
      <c r="D48" s="3" t="s">
        <v>95</v>
      </c>
      <c r="E48" s="3" t="s">
        <v>60</v>
      </c>
      <c r="F48" s="3" t="s">
        <v>19</v>
      </c>
      <c r="G48" s="3" t="s">
        <v>15</v>
      </c>
      <c r="H48" s="3" t="s">
        <v>16</v>
      </c>
      <c r="I48" s="20" t="s">
        <v>122</v>
      </c>
    </row>
    <row r="49" spans="1:9" ht="15.75" x14ac:dyDescent="0.25">
      <c r="A49" s="18">
        <v>55</v>
      </c>
      <c r="B49" s="19">
        <v>31318</v>
      </c>
      <c r="C49" s="3" t="s">
        <v>50</v>
      </c>
      <c r="D49" s="3" t="s">
        <v>433</v>
      </c>
      <c r="E49" s="3" t="s">
        <v>26</v>
      </c>
      <c r="F49" s="3" t="s">
        <v>44</v>
      </c>
      <c r="G49" s="4">
        <v>14</v>
      </c>
      <c r="H49" s="3" t="s">
        <v>16</v>
      </c>
      <c r="I49" s="20" t="s">
        <v>126</v>
      </c>
    </row>
    <row r="50" spans="1:9" ht="15.75" x14ac:dyDescent="0.25">
      <c r="A50" s="18">
        <v>57</v>
      </c>
      <c r="B50" s="19">
        <v>31752</v>
      </c>
      <c r="C50" s="3" t="s">
        <v>22</v>
      </c>
      <c r="D50" s="3" t="s">
        <v>116</v>
      </c>
      <c r="E50" s="3" t="s">
        <v>26</v>
      </c>
      <c r="F50" s="3" t="s">
        <v>14</v>
      </c>
      <c r="G50" s="3">
        <v>38</v>
      </c>
      <c r="H50" s="3" t="s">
        <v>16</v>
      </c>
      <c r="I50" s="20" t="s">
        <v>129</v>
      </c>
    </row>
    <row r="51" spans="1:9" ht="15.75" x14ac:dyDescent="0.25">
      <c r="A51" s="18">
        <v>58</v>
      </c>
      <c r="B51" s="19">
        <v>32004</v>
      </c>
      <c r="C51" s="3" t="s">
        <v>66</v>
      </c>
      <c r="D51" s="3" t="s">
        <v>130</v>
      </c>
      <c r="E51" s="3" t="s">
        <v>76</v>
      </c>
      <c r="F51" s="3" t="s">
        <v>19</v>
      </c>
      <c r="G51" s="3" t="s">
        <v>15</v>
      </c>
      <c r="H51" s="3" t="s">
        <v>16</v>
      </c>
      <c r="I51" s="20" t="s">
        <v>131</v>
      </c>
    </row>
    <row r="52" spans="1:9" ht="15.75" x14ac:dyDescent="0.25">
      <c r="A52" s="18">
        <v>59</v>
      </c>
      <c r="B52" s="19">
        <v>32076</v>
      </c>
      <c r="C52" s="3" t="s">
        <v>52</v>
      </c>
      <c r="D52" s="3" t="s">
        <v>132</v>
      </c>
      <c r="E52" s="3" t="s">
        <v>76</v>
      </c>
      <c r="F52" s="3" t="s">
        <v>19</v>
      </c>
      <c r="G52" s="3" t="s">
        <v>15</v>
      </c>
      <c r="H52" s="3" t="s">
        <v>16</v>
      </c>
      <c r="I52" s="6" t="s">
        <v>133</v>
      </c>
    </row>
    <row r="53" spans="1:9" ht="15.75" x14ac:dyDescent="0.25">
      <c r="A53" s="18">
        <v>60</v>
      </c>
      <c r="B53" s="19">
        <v>32257</v>
      </c>
      <c r="C53" s="3" t="s">
        <v>28</v>
      </c>
      <c r="D53" s="3" t="s">
        <v>134</v>
      </c>
      <c r="E53" s="3" t="s">
        <v>76</v>
      </c>
      <c r="F53" s="3" t="s">
        <v>44</v>
      </c>
      <c r="G53" s="3" t="s">
        <v>15</v>
      </c>
      <c r="H53" s="3" t="s">
        <v>16</v>
      </c>
      <c r="I53" s="20" t="s">
        <v>135</v>
      </c>
    </row>
    <row r="54" spans="1:9" ht="15.75" x14ac:dyDescent="0.25">
      <c r="A54" s="18">
        <v>61</v>
      </c>
      <c r="B54" s="19">
        <v>32366</v>
      </c>
      <c r="C54" s="3" t="s">
        <v>136</v>
      </c>
      <c r="D54" s="3" t="s">
        <v>137</v>
      </c>
      <c r="E54" s="3" t="s">
        <v>76</v>
      </c>
      <c r="F54" s="3" t="s">
        <v>19</v>
      </c>
      <c r="G54" s="3" t="s">
        <v>15</v>
      </c>
      <c r="H54" s="3" t="s">
        <v>16</v>
      </c>
      <c r="I54" s="20" t="s">
        <v>138</v>
      </c>
    </row>
    <row r="55" spans="1:9" ht="15.75" x14ac:dyDescent="0.25">
      <c r="A55" s="18">
        <v>62</v>
      </c>
      <c r="B55" s="19">
        <v>32534</v>
      </c>
      <c r="C55" s="3" t="s">
        <v>46</v>
      </c>
      <c r="D55" s="3" t="s">
        <v>139</v>
      </c>
      <c r="E55" s="3" t="s">
        <v>140</v>
      </c>
      <c r="F55" s="3" t="s">
        <v>23</v>
      </c>
      <c r="G55" s="3" t="s">
        <v>15</v>
      </c>
      <c r="H55" s="3" t="s">
        <v>16</v>
      </c>
      <c r="I55" s="20" t="s">
        <v>141</v>
      </c>
    </row>
    <row r="56" spans="1:9" ht="15.75" x14ac:dyDescent="0.25">
      <c r="A56" s="18">
        <v>63</v>
      </c>
      <c r="B56" s="19">
        <v>32760</v>
      </c>
      <c r="C56" s="3" t="s">
        <v>58</v>
      </c>
      <c r="D56" s="3" t="s">
        <v>59</v>
      </c>
      <c r="E56" s="3" t="s">
        <v>71</v>
      </c>
      <c r="F56" s="3" t="s">
        <v>14</v>
      </c>
      <c r="G56" s="4">
        <v>25</v>
      </c>
      <c r="H56" s="3" t="s">
        <v>16</v>
      </c>
      <c r="I56" s="20" t="s">
        <v>142</v>
      </c>
    </row>
    <row r="57" spans="1:9" ht="15.75" x14ac:dyDescent="0.25">
      <c r="A57" s="18">
        <v>64</v>
      </c>
      <c r="B57" s="19">
        <v>32885</v>
      </c>
      <c r="C57" s="3" t="s">
        <v>66</v>
      </c>
      <c r="D57" s="3" t="s">
        <v>143</v>
      </c>
      <c r="E57" s="3" t="s">
        <v>76</v>
      </c>
      <c r="F57" s="3" t="s">
        <v>44</v>
      </c>
      <c r="G57" s="3" t="s">
        <v>15</v>
      </c>
      <c r="H57" s="3" t="s">
        <v>16</v>
      </c>
      <c r="I57" s="20" t="s">
        <v>144</v>
      </c>
    </row>
    <row r="58" spans="1:9" ht="15.75" x14ac:dyDescent="0.25">
      <c r="A58" s="18">
        <v>65</v>
      </c>
      <c r="B58" s="19">
        <v>33113</v>
      </c>
      <c r="C58" s="3" t="s">
        <v>97</v>
      </c>
      <c r="D58" s="3" t="s">
        <v>145</v>
      </c>
      <c r="E58" s="3" t="s">
        <v>76</v>
      </c>
      <c r="F58" s="3" t="s">
        <v>19</v>
      </c>
      <c r="G58" s="3" t="s">
        <v>15</v>
      </c>
      <c r="H58" s="3" t="s">
        <v>16</v>
      </c>
      <c r="I58" s="20" t="s">
        <v>146</v>
      </c>
    </row>
    <row r="59" spans="1:9" ht="15.75" x14ac:dyDescent="0.25">
      <c r="A59" s="18">
        <v>66</v>
      </c>
      <c r="B59" s="19">
        <v>33121</v>
      </c>
      <c r="C59" s="3" t="s">
        <v>97</v>
      </c>
      <c r="D59" s="3" t="s">
        <v>147</v>
      </c>
      <c r="E59" s="3" t="s">
        <v>140</v>
      </c>
      <c r="F59" s="3" t="s">
        <v>44</v>
      </c>
      <c r="G59" s="3" t="s">
        <v>15</v>
      </c>
      <c r="H59" s="3" t="s">
        <v>16</v>
      </c>
      <c r="I59" s="20" t="s">
        <v>148</v>
      </c>
    </row>
    <row r="60" spans="1:9" ht="15.75" x14ac:dyDescent="0.25">
      <c r="A60" s="18">
        <v>67</v>
      </c>
      <c r="B60" s="19">
        <v>33124</v>
      </c>
      <c r="C60" s="3" t="s">
        <v>42</v>
      </c>
      <c r="D60" s="3" t="s">
        <v>149</v>
      </c>
      <c r="E60" s="3" t="s">
        <v>26</v>
      </c>
      <c r="F60" s="3" t="s">
        <v>14</v>
      </c>
      <c r="G60" s="3" t="s">
        <v>15</v>
      </c>
      <c r="H60" s="3" t="s">
        <v>16</v>
      </c>
      <c r="I60" s="20" t="s">
        <v>150</v>
      </c>
    </row>
    <row r="61" spans="1:9" ht="15.75" x14ac:dyDescent="0.25">
      <c r="A61" s="18">
        <v>68</v>
      </c>
      <c r="B61" s="19">
        <v>33180</v>
      </c>
      <c r="C61" s="3" t="s">
        <v>22</v>
      </c>
      <c r="D61" s="3" t="s">
        <v>116</v>
      </c>
      <c r="E61" s="3" t="s">
        <v>60</v>
      </c>
      <c r="F61" s="3" t="s">
        <v>14</v>
      </c>
      <c r="G61" s="3" t="s">
        <v>15</v>
      </c>
      <c r="H61" s="3" t="s">
        <v>16</v>
      </c>
      <c r="I61" s="20" t="s">
        <v>151</v>
      </c>
    </row>
    <row r="62" spans="1:9" ht="15.75" x14ac:dyDescent="0.25">
      <c r="A62" s="18">
        <v>69</v>
      </c>
      <c r="B62" s="19">
        <v>33420</v>
      </c>
      <c r="C62" s="3" t="s">
        <v>52</v>
      </c>
      <c r="D62" s="3" t="s">
        <v>152</v>
      </c>
      <c r="E62" s="3" t="s">
        <v>76</v>
      </c>
      <c r="F62" s="3" t="s">
        <v>14</v>
      </c>
      <c r="G62" s="3" t="s">
        <v>15</v>
      </c>
      <c r="H62" s="3" t="s">
        <v>16</v>
      </c>
      <c r="I62" s="20" t="s">
        <v>153</v>
      </c>
    </row>
    <row r="63" spans="1:9" ht="15.75" x14ac:dyDescent="0.25">
      <c r="A63" s="18">
        <v>70</v>
      </c>
      <c r="B63" s="19">
        <v>33516</v>
      </c>
      <c r="C63" s="3" t="s">
        <v>52</v>
      </c>
      <c r="D63" s="3" t="s">
        <v>154</v>
      </c>
      <c r="E63" s="3" t="s">
        <v>76</v>
      </c>
      <c r="F63" s="3" t="s">
        <v>14</v>
      </c>
      <c r="G63" s="3" t="s">
        <v>15</v>
      </c>
      <c r="H63" s="3" t="s">
        <v>16</v>
      </c>
      <c r="I63" s="20" t="s">
        <v>155</v>
      </c>
    </row>
    <row r="64" spans="1:9" ht="15.75" x14ac:dyDescent="0.25">
      <c r="A64" s="18">
        <v>71</v>
      </c>
      <c r="B64" s="19">
        <v>33520</v>
      </c>
      <c r="C64" s="3" t="s">
        <v>50</v>
      </c>
      <c r="D64" s="3" t="s">
        <v>156</v>
      </c>
      <c r="E64" s="3" t="s">
        <v>71</v>
      </c>
      <c r="F64" s="3" t="s">
        <v>44</v>
      </c>
      <c r="G64" s="3">
        <v>25</v>
      </c>
      <c r="H64" s="3" t="s">
        <v>16</v>
      </c>
      <c r="I64" s="20" t="s">
        <v>157</v>
      </c>
    </row>
    <row r="65" spans="1:9" ht="15.75" x14ac:dyDescent="0.25">
      <c r="A65" s="18">
        <v>72</v>
      </c>
      <c r="B65" s="19">
        <v>33576</v>
      </c>
      <c r="C65" s="3" t="s">
        <v>97</v>
      </c>
      <c r="D65" s="3" t="s">
        <v>159</v>
      </c>
      <c r="E65" s="3" t="s">
        <v>71</v>
      </c>
      <c r="F65" s="3" t="s">
        <v>44</v>
      </c>
      <c r="G65" s="3" t="s">
        <v>15</v>
      </c>
      <c r="H65" s="3" t="s">
        <v>16</v>
      </c>
      <c r="I65" s="20" t="s">
        <v>160</v>
      </c>
    </row>
    <row r="66" spans="1:9" ht="15.75" x14ac:dyDescent="0.25">
      <c r="A66" s="18">
        <v>73</v>
      </c>
      <c r="B66" s="19">
        <v>33834</v>
      </c>
      <c r="C66" s="3" t="s">
        <v>136</v>
      </c>
      <c r="D66" s="3" t="s">
        <v>137</v>
      </c>
      <c r="E66" s="3" t="s">
        <v>76</v>
      </c>
      <c r="F66" s="3" t="s">
        <v>44</v>
      </c>
      <c r="G66" s="3" t="s">
        <v>15</v>
      </c>
      <c r="H66" s="3" t="s">
        <v>16</v>
      </c>
      <c r="I66" s="6" t="s">
        <v>161</v>
      </c>
    </row>
    <row r="67" spans="1:9" ht="15.75" x14ac:dyDescent="0.25">
      <c r="A67" s="18">
        <v>74</v>
      </c>
      <c r="B67" s="19">
        <v>33906</v>
      </c>
      <c r="C67" s="3" t="s">
        <v>94</v>
      </c>
      <c r="D67" s="3" t="s">
        <v>408</v>
      </c>
      <c r="E67" s="3" t="s">
        <v>71</v>
      </c>
      <c r="F67" s="3" t="s">
        <v>19</v>
      </c>
      <c r="G67" s="4">
        <v>47</v>
      </c>
      <c r="H67" s="3" t="s">
        <v>16</v>
      </c>
      <c r="I67" s="20" t="s">
        <v>162</v>
      </c>
    </row>
    <row r="68" spans="1:9" ht="15.75" x14ac:dyDescent="0.25">
      <c r="A68" s="18">
        <v>76</v>
      </c>
      <c r="B68" s="19">
        <v>33922</v>
      </c>
      <c r="C68" s="3" t="s">
        <v>66</v>
      </c>
      <c r="D68" s="3" t="s">
        <v>166</v>
      </c>
      <c r="E68" s="3" t="s">
        <v>140</v>
      </c>
      <c r="F68" s="3" t="s">
        <v>44</v>
      </c>
      <c r="G68" s="3" t="s">
        <v>15</v>
      </c>
      <c r="H68" s="3" t="s">
        <v>16</v>
      </c>
      <c r="I68" s="20" t="s">
        <v>167</v>
      </c>
    </row>
    <row r="69" spans="1:9" ht="15.75" x14ac:dyDescent="0.25">
      <c r="A69" s="18">
        <v>78</v>
      </c>
      <c r="B69" s="19">
        <v>34040</v>
      </c>
      <c r="C69" s="3" t="s">
        <v>66</v>
      </c>
      <c r="D69" s="3" t="s">
        <v>434</v>
      </c>
      <c r="E69" s="3" t="s">
        <v>26</v>
      </c>
      <c r="F69" s="3" t="s">
        <v>44</v>
      </c>
      <c r="G69" s="4">
        <v>15</v>
      </c>
      <c r="H69" s="3" t="s">
        <v>16</v>
      </c>
      <c r="I69" s="20" t="s">
        <v>171</v>
      </c>
    </row>
    <row r="70" spans="1:9" ht="15.75" x14ac:dyDescent="0.25">
      <c r="A70" s="18">
        <v>79</v>
      </c>
      <c r="B70" s="19">
        <v>34193</v>
      </c>
      <c r="C70" s="3" t="s">
        <v>78</v>
      </c>
      <c r="D70" s="3" t="s">
        <v>438</v>
      </c>
      <c r="E70" s="3" t="s">
        <v>26</v>
      </c>
      <c r="F70" s="3" t="s">
        <v>14</v>
      </c>
      <c r="G70" s="3">
        <v>5</v>
      </c>
      <c r="H70" s="3" t="s">
        <v>16</v>
      </c>
      <c r="I70" s="20" t="s">
        <v>172</v>
      </c>
    </row>
    <row r="71" spans="1:9" ht="15.75" x14ac:dyDescent="0.25">
      <c r="A71" s="18">
        <v>80</v>
      </c>
      <c r="B71" s="19">
        <v>34252</v>
      </c>
      <c r="C71" s="3" t="s">
        <v>42</v>
      </c>
      <c r="D71" s="3" t="s">
        <v>173</v>
      </c>
      <c r="E71" s="3" t="s">
        <v>140</v>
      </c>
      <c r="F71" s="3" t="s">
        <v>44</v>
      </c>
      <c r="G71" s="3" t="s">
        <v>15</v>
      </c>
      <c r="H71" s="3" t="s">
        <v>16</v>
      </c>
      <c r="I71" s="20" t="s">
        <v>174</v>
      </c>
    </row>
    <row r="72" spans="1:9" ht="15.75" x14ac:dyDescent="0.25">
      <c r="A72" s="18">
        <v>81</v>
      </c>
      <c r="B72" s="19">
        <v>34272</v>
      </c>
      <c r="C72" s="3" t="s">
        <v>97</v>
      </c>
      <c r="D72" s="3" t="s">
        <v>175</v>
      </c>
      <c r="E72" s="3" t="s">
        <v>76</v>
      </c>
      <c r="F72" s="3" t="s">
        <v>14</v>
      </c>
      <c r="G72" s="3" t="s">
        <v>15</v>
      </c>
      <c r="H72" s="3" t="s">
        <v>16</v>
      </c>
      <c r="I72" s="6" t="s">
        <v>176</v>
      </c>
    </row>
    <row r="73" spans="1:9" ht="15.75" x14ac:dyDescent="0.25">
      <c r="A73" s="18">
        <v>82</v>
      </c>
      <c r="B73" s="19">
        <v>34677</v>
      </c>
      <c r="C73" s="3" t="s">
        <v>94</v>
      </c>
      <c r="D73" s="3" t="s">
        <v>435</v>
      </c>
      <c r="E73" s="3" t="s">
        <v>71</v>
      </c>
      <c r="F73" s="3" t="s">
        <v>23</v>
      </c>
      <c r="G73" s="3" t="s">
        <v>177</v>
      </c>
      <c r="H73" s="3" t="s">
        <v>16</v>
      </c>
      <c r="I73" s="20" t="s">
        <v>178</v>
      </c>
    </row>
    <row r="74" spans="1:9" ht="15.75" x14ac:dyDescent="0.25">
      <c r="A74" s="18">
        <v>83</v>
      </c>
      <c r="B74" s="19">
        <v>34874</v>
      </c>
      <c r="C74" s="3" t="s">
        <v>11</v>
      </c>
      <c r="D74" s="3" t="s">
        <v>38</v>
      </c>
      <c r="E74" s="3" t="s">
        <v>140</v>
      </c>
      <c r="F74" s="3" t="s">
        <v>19</v>
      </c>
      <c r="G74" s="3" t="s">
        <v>15</v>
      </c>
      <c r="H74" s="3" t="s">
        <v>16</v>
      </c>
      <c r="I74" s="20" t="s">
        <v>179</v>
      </c>
    </row>
    <row r="75" spans="1:9" ht="15.75" x14ac:dyDescent="0.25">
      <c r="A75" s="18">
        <v>84</v>
      </c>
      <c r="B75" s="19">
        <v>34880</v>
      </c>
      <c r="C75" s="3" t="s">
        <v>22</v>
      </c>
      <c r="D75" s="3" t="s">
        <v>439</v>
      </c>
      <c r="E75" s="3" t="s">
        <v>60</v>
      </c>
      <c r="F75" s="3" t="s">
        <v>14</v>
      </c>
      <c r="G75" s="4">
        <v>40</v>
      </c>
      <c r="H75" s="3" t="s">
        <v>16</v>
      </c>
      <c r="I75" s="20" t="s">
        <v>180</v>
      </c>
    </row>
    <row r="76" spans="1:9" ht="15.75" x14ac:dyDescent="0.25">
      <c r="A76" s="18">
        <v>85</v>
      </c>
      <c r="B76" s="19">
        <v>34945</v>
      </c>
      <c r="C76" s="3" t="s">
        <v>97</v>
      </c>
      <c r="D76" s="3" t="s">
        <v>159</v>
      </c>
      <c r="E76" s="3" t="s">
        <v>26</v>
      </c>
      <c r="F76" s="3" t="s">
        <v>14</v>
      </c>
      <c r="G76" s="3" t="s">
        <v>15</v>
      </c>
      <c r="H76" s="3" t="s">
        <v>16</v>
      </c>
      <c r="I76" s="20" t="s">
        <v>181</v>
      </c>
    </row>
    <row r="77" spans="1:9" ht="15.75" x14ac:dyDescent="0.25">
      <c r="A77" s="18">
        <v>86</v>
      </c>
      <c r="B77" s="19">
        <v>34970</v>
      </c>
      <c r="C77" s="3" t="s">
        <v>52</v>
      </c>
      <c r="D77" s="3" t="s">
        <v>182</v>
      </c>
      <c r="E77" s="3" t="s">
        <v>76</v>
      </c>
      <c r="F77" s="3" t="s">
        <v>19</v>
      </c>
      <c r="G77" s="3" t="s">
        <v>15</v>
      </c>
      <c r="H77" s="3" t="s">
        <v>16</v>
      </c>
      <c r="I77" s="20" t="s">
        <v>183</v>
      </c>
    </row>
    <row r="78" spans="1:9" ht="15.75" x14ac:dyDescent="0.25">
      <c r="A78" s="18">
        <v>87</v>
      </c>
      <c r="B78" s="19">
        <v>35290</v>
      </c>
      <c r="C78" s="3" t="s">
        <v>50</v>
      </c>
      <c r="D78" s="3" t="s">
        <v>436</v>
      </c>
      <c r="E78" s="3" t="s">
        <v>26</v>
      </c>
      <c r="F78" s="3" t="s">
        <v>14</v>
      </c>
      <c r="G78" s="3">
        <v>18</v>
      </c>
      <c r="H78" s="3" t="s">
        <v>16</v>
      </c>
      <c r="I78" s="20" t="s">
        <v>184</v>
      </c>
    </row>
    <row r="79" spans="1:9" ht="15.75" x14ac:dyDescent="0.25">
      <c r="A79" s="18">
        <v>88</v>
      </c>
      <c r="B79" s="19">
        <v>35341</v>
      </c>
      <c r="C79" s="3" t="s">
        <v>42</v>
      </c>
      <c r="D79" s="3" t="s">
        <v>56</v>
      </c>
      <c r="E79" s="3" t="s">
        <v>76</v>
      </c>
      <c r="F79" s="3" t="s">
        <v>44</v>
      </c>
      <c r="G79" s="3" t="s">
        <v>15</v>
      </c>
      <c r="H79" s="3" t="s">
        <v>16</v>
      </c>
      <c r="I79" s="6" t="s">
        <v>185</v>
      </c>
    </row>
    <row r="80" spans="1:9" ht="15.75" x14ac:dyDescent="0.25">
      <c r="A80" s="18">
        <v>89</v>
      </c>
      <c r="B80" s="19">
        <v>35343</v>
      </c>
      <c r="C80" s="3" t="s">
        <v>50</v>
      </c>
      <c r="D80" s="3" t="s">
        <v>186</v>
      </c>
      <c r="E80" s="3" t="s">
        <v>76</v>
      </c>
      <c r="F80" s="3" t="s">
        <v>14</v>
      </c>
      <c r="G80" s="3" t="s">
        <v>15</v>
      </c>
      <c r="H80" s="3" t="s">
        <v>16</v>
      </c>
      <c r="I80" s="20" t="s">
        <v>187</v>
      </c>
    </row>
    <row r="81" spans="1:9" ht="15.75" x14ac:dyDescent="0.25">
      <c r="A81" s="18">
        <v>90</v>
      </c>
      <c r="B81" s="19">
        <v>35398</v>
      </c>
      <c r="C81" s="3" t="s">
        <v>42</v>
      </c>
      <c r="D81" s="3" t="s">
        <v>56</v>
      </c>
      <c r="E81" s="3" t="s">
        <v>76</v>
      </c>
      <c r="F81" s="3" t="s">
        <v>19</v>
      </c>
      <c r="G81" s="3" t="s">
        <v>15</v>
      </c>
      <c r="H81" s="3" t="s">
        <v>16</v>
      </c>
      <c r="I81" s="20" t="s">
        <v>189</v>
      </c>
    </row>
    <row r="82" spans="1:9" ht="15.75" x14ac:dyDescent="0.25">
      <c r="A82" s="18">
        <v>91</v>
      </c>
      <c r="B82" s="19">
        <v>35666</v>
      </c>
      <c r="C82" s="3" t="s">
        <v>97</v>
      </c>
      <c r="D82" s="3" t="s">
        <v>98</v>
      </c>
      <c r="E82" s="3" t="s">
        <v>76</v>
      </c>
      <c r="F82" s="3" t="s">
        <v>14</v>
      </c>
      <c r="G82" s="3" t="s">
        <v>15</v>
      </c>
      <c r="H82" s="3" t="s">
        <v>16</v>
      </c>
      <c r="I82" s="20" t="s">
        <v>190</v>
      </c>
    </row>
    <row r="83" spans="1:9" ht="15.75" x14ac:dyDescent="0.25">
      <c r="A83" s="18">
        <v>92</v>
      </c>
      <c r="B83" s="19">
        <v>36033</v>
      </c>
      <c r="C83" s="3" t="s">
        <v>50</v>
      </c>
      <c r="D83" s="3" t="s">
        <v>191</v>
      </c>
      <c r="E83" s="3" t="s">
        <v>76</v>
      </c>
      <c r="F83" s="3" t="s">
        <v>14</v>
      </c>
      <c r="G83" s="3" t="s">
        <v>15</v>
      </c>
      <c r="H83" s="3" t="s">
        <v>16</v>
      </c>
      <c r="I83" s="20" t="s">
        <v>192</v>
      </c>
    </row>
    <row r="84" spans="1:9" ht="15.75" x14ac:dyDescent="0.25">
      <c r="A84" s="18">
        <v>93</v>
      </c>
      <c r="B84" s="19">
        <v>36479</v>
      </c>
      <c r="C84" s="3" t="s">
        <v>52</v>
      </c>
      <c r="D84" s="3" t="s">
        <v>193</v>
      </c>
      <c r="E84" s="3" t="s">
        <v>76</v>
      </c>
      <c r="F84" s="3" t="s">
        <v>44</v>
      </c>
      <c r="G84" s="3" t="s">
        <v>15</v>
      </c>
      <c r="H84" s="3" t="s">
        <v>16</v>
      </c>
      <c r="I84" s="6" t="s">
        <v>194</v>
      </c>
    </row>
    <row r="85" spans="1:9" ht="15.75" x14ac:dyDescent="0.25">
      <c r="A85" s="18">
        <v>94</v>
      </c>
      <c r="B85" s="19">
        <v>36798</v>
      </c>
      <c r="C85" s="3" t="s">
        <v>66</v>
      </c>
      <c r="D85" s="3" t="s">
        <v>437</v>
      </c>
      <c r="E85" s="3" t="s">
        <v>76</v>
      </c>
      <c r="F85" s="3" t="s">
        <v>44</v>
      </c>
      <c r="G85" s="3" t="s">
        <v>15</v>
      </c>
      <c r="H85" s="3" t="s">
        <v>16</v>
      </c>
      <c r="I85" s="20" t="s">
        <v>196</v>
      </c>
    </row>
    <row r="86" spans="1:9" ht="15.75" x14ac:dyDescent="0.25">
      <c r="A86" s="18">
        <v>95</v>
      </c>
      <c r="B86" s="19">
        <v>36834</v>
      </c>
      <c r="C86" s="3" t="s">
        <v>97</v>
      </c>
      <c r="D86" s="3" t="s">
        <v>175</v>
      </c>
      <c r="E86" s="3" t="s">
        <v>76</v>
      </c>
      <c r="F86" s="3" t="s">
        <v>14</v>
      </c>
      <c r="G86" s="3" t="s">
        <v>15</v>
      </c>
      <c r="H86" s="3" t="s">
        <v>16</v>
      </c>
      <c r="I86" s="6" t="s">
        <v>197</v>
      </c>
    </row>
    <row r="87" spans="1:9" ht="15.75" x14ac:dyDescent="0.25">
      <c r="A87" s="18">
        <v>97</v>
      </c>
      <c r="B87" s="19">
        <v>37407</v>
      </c>
      <c r="C87" s="5" t="s">
        <v>50</v>
      </c>
      <c r="D87" s="8" t="s">
        <v>199</v>
      </c>
      <c r="E87" s="5" t="s">
        <v>76</v>
      </c>
      <c r="F87" s="5" t="s">
        <v>14</v>
      </c>
      <c r="G87" s="5" t="s">
        <v>15</v>
      </c>
      <c r="H87" s="3" t="s">
        <v>16</v>
      </c>
      <c r="I87" s="20" t="s">
        <v>197</v>
      </c>
    </row>
    <row r="88" spans="1:9" ht="15.75" x14ac:dyDescent="0.25">
      <c r="A88" s="18">
        <v>98</v>
      </c>
      <c r="B88" s="19">
        <v>37520</v>
      </c>
      <c r="C88" s="5" t="s">
        <v>97</v>
      </c>
      <c r="D88" s="8" t="s">
        <v>98</v>
      </c>
      <c r="E88" s="5" t="s">
        <v>76</v>
      </c>
      <c r="F88" s="5" t="s">
        <v>44</v>
      </c>
      <c r="G88" s="5" t="s">
        <v>15</v>
      </c>
      <c r="H88" s="3" t="s">
        <v>16</v>
      </c>
      <c r="I88" s="9" t="s">
        <v>200</v>
      </c>
    </row>
    <row r="89" spans="1:9" ht="15.75" x14ac:dyDescent="0.25">
      <c r="A89" s="18">
        <v>99</v>
      </c>
      <c r="B89" s="19">
        <v>37588</v>
      </c>
      <c r="C89" s="3" t="s">
        <v>42</v>
      </c>
      <c r="D89" s="3" t="s">
        <v>56</v>
      </c>
      <c r="E89" s="3" t="s">
        <v>76</v>
      </c>
      <c r="F89" s="3" t="s">
        <v>14</v>
      </c>
      <c r="G89" s="3" t="s">
        <v>15</v>
      </c>
      <c r="H89" s="3" t="s">
        <v>16</v>
      </c>
      <c r="I89" s="20" t="s">
        <v>202</v>
      </c>
    </row>
    <row r="90" spans="1:9" ht="15.75" x14ac:dyDescent="0.25">
      <c r="A90" s="18">
        <v>100</v>
      </c>
      <c r="B90" s="19">
        <v>37852</v>
      </c>
      <c r="C90" s="3" t="s">
        <v>28</v>
      </c>
      <c r="D90" s="3" t="s">
        <v>203</v>
      </c>
      <c r="E90" s="3" t="s">
        <v>13</v>
      </c>
      <c r="F90" s="3" t="s">
        <v>23</v>
      </c>
      <c r="G90" s="3" t="s">
        <v>15</v>
      </c>
      <c r="H90" s="3" t="s">
        <v>16</v>
      </c>
      <c r="I90" s="20" t="s">
        <v>204</v>
      </c>
    </row>
    <row r="91" spans="1:9" ht="15.75" x14ac:dyDescent="0.25">
      <c r="A91" s="18">
        <v>101</v>
      </c>
      <c r="B91" s="19">
        <v>38135</v>
      </c>
      <c r="C91" s="3" t="s">
        <v>42</v>
      </c>
      <c r="D91" s="3" t="s">
        <v>56</v>
      </c>
      <c r="E91" s="3" t="s">
        <v>76</v>
      </c>
      <c r="F91" s="3" t="s">
        <v>44</v>
      </c>
      <c r="G91" s="3" t="s">
        <v>15</v>
      </c>
      <c r="H91" s="3" t="s">
        <v>16</v>
      </c>
      <c r="I91" s="6" t="s">
        <v>206</v>
      </c>
    </row>
    <row r="92" spans="1:9" ht="15.75" x14ac:dyDescent="0.25">
      <c r="A92" s="18">
        <v>102</v>
      </c>
      <c r="B92" s="19">
        <v>38164</v>
      </c>
      <c r="C92" s="3" t="s">
        <v>11</v>
      </c>
      <c r="D92" s="3" t="s">
        <v>168</v>
      </c>
      <c r="E92" s="3" t="s">
        <v>76</v>
      </c>
      <c r="F92" s="3" t="s">
        <v>44</v>
      </c>
      <c r="G92" s="3" t="s">
        <v>15</v>
      </c>
      <c r="H92" s="3" t="s">
        <v>16</v>
      </c>
      <c r="I92" s="22" t="s">
        <v>208</v>
      </c>
    </row>
    <row r="93" spans="1:9" ht="15.75" x14ac:dyDescent="0.25">
      <c r="A93" s="18">
        <v>103</v>
      </c>
      <c r="B93" s="19">
        <v>38214</v>
      </c>
      <c r="C93" s="3" t="s">
        <v>78</v>
      </c>
      <c r="D93" s="3" t="s">
        <v>210</v>
      </c>
      <c r="E93" s="3" t="s">
        <v>26</v>
      </c>
      <c r="F93" s="3" t="s">
        <v>23</v>
      </c>
      <c r="G93" s="3" t="s">
        <v>15</v>
      </c>
      <c r="H93" s="3" t="s">
        <v>16</v>
      </c>
      <c r="I93" s="20" t="s">
        <v>211</v>
      </c>
    </row>
    <row r="94" spans="1:9" ht="15.75" x14ac:dyDescent="0.25">
      <c r="A94" s="18">
        <v>104</v>
      </c>
      <c r="B94" s="19">
        <v>38219</v>
      </c>
      <c r="C94" s="3" t="s">
        <v>123</v>
      </c>
      <c r="D94" s="3" t="s">
        <v>212</v>
      </c>
      <c r="E94" s="3" t="s">
        <v>76</v>
      </c>
      <c r="F94" s="3" t="s">
        <v>19</v>
      </c>
      <c r="G94" s="3" t="s">
        <v>15</v>
      </c>
      <c r="H94" s="3" t="s">
        <v>16</v>
      </c>
      <c r="I94" s="6" t="s">
        <v>213</v>
      </c>
    </row>
    <row r="95" spans="1:9" ht="15.75" x14ac:dyDescent="0.25">
      <c r="A95" s="18">
        <v>105</v>
      </c>
      <c r="B95" s="19">
        <v>38261</v>
      </c>
      <c r="C95" s="3" t="s">
        <v>123</v>
      </c>
      <c r="D95" s="3" t="s">
        <v>405</v>
      </c>
      <c r="E95" s="3" t="s">
        <v>76</v>
      </c>
      <c r="F95" s="3" t="s">
        <v>44</v>
      </c>
      <c r="G95" s="3" t="s">
        <v>15</v>
      </c>
      <c r="H95" s="3" t="s">
        <v>16</v>
      </c>
      <c r="I95" s="22" t="s">
        <v>214</v>
      </c>
    </row>
    <row r="96" spans="1:9" ht="15.75" x14ac:dyDescent="0.25">
      <c r="A96" s="18">
        <v>106</v>
      </c>
      <c r="B96" s="19">
        <v>38262</v>
      </c>
      <c r="C96" s="3" t="s">
        <v>28</v>
      </c>
      <c r="D96" s="3" t="s">
        <v>29</v>
      </c>
      <c r="E96" s="3" t="s">
        <v>76</v>
      </c>
      <c r="F96" s="3" t="s">
        <v>44</v>
      </c>
      <c r="G96" s="3" t="s">
        <v>15</v>
      </c>
      <c r="H96" s="3" t="s">
        <v>16</v>
      </c>
      <c r="I96" s="22" t="s">
        <v>215</v>
      </c>
    </row>
    <row r="97" spans="1:9" ht="15.75" x14ac:dyDescent="0.25">
      <c r="A97" s="18">
        <v>107</v>
      </c>
      <c r="B97" s="19">
        <v>38270</v>
      </c>
      <c r="C97" s="3" t="s">
        <v>50</v>
      </c>
      <c r="D97" s="3" t="s">
        <v>217</v>
      </c>
      <c r="E97" s="3" t="s">
        <v>76</v>
      </c>
      <c r="F97" s="3" t="s">
        <v>19</v>
      </c>
      <c r="G97" s="3" t="s">
        <v>15</v>
      </c>
      <c r="H97" s="3" t="s">
        <v>16</v>
      </c>
      <c r="I97" s="6" t="s">
        <v>218</v>
      </c>
    </row>
    <row r="98" spans="1:9" ht="15.75" x14ac:dyDescent="0.25">
      <c r="A98" s="18">
        <v>108</v>
      </c>
      <c r="B98" s="19">
        <v>38302</v>
      </c>
      <c r="C98" s="3" t="s">
        <v>97</v>
      </c>
      <c r="D98" s="3" t="s">
        <v>175</v>
      </c>
      <c r="E98" s="3" t="s">
        <v>76</v>
      </c>
      <c r="F98" s="3" t="s">
        <v>14</v>
      </c>
      <c r="G98" s="3" t="s">
        <v>15</v>
      </c>
      <c r="H98" s="3" t="s">
        <v>16</v>
      </c>
      <c r="I98" s="22" t="s">
        <v>220</v>
      </c>
    </row>
    <row r="99" spans="1:9" ht="15.75" x14ac:dyDescent="0.25">
      <c r="A99" s="18">
        <v>109</v>
      </c>
      <c r="B99" s="19">
        <v>38588</v>
      </c>
      <c r="C99" s="3" t="s">
        <v>11</v>
      </c>
      <c r="D99" s="3" t="s">
        <v>38</v>
      </c>
      <c r="E99" s="3" t="s">
        <v>76</v>
      </c>
      <c r="F99" s="3" t="s">
        <v>19</v>
      </c>
      <c r="G99" s="3" t="s">
        <v>15</v>
      </c>
      <c r="H99" s="3" t="s">
        <v>16</v>
      </c>
      <c r="I99" s="22" t="s">
        <v>222</v>
      </c>
    </row>
    <row r="100" spans="1:9" ht="15.75" x14ac:dyDescent="0.25">
      <c r="A100" s="18">
        <v>110</v>
      </c>
      <c r="B100" s="19">
        <v>38644</v>
      </c>
      <c r="C100" s="3" t="s">
        <v>42</v>
      </c>
      <c r="D100" s="3" t="s">
        <v>56</v>
      </c>
      <c r="E100" s="3" t="s">
        <v>76</v>
      </c>
      <c r="F100" s="3" t="s">
        <v>14</v>
      </c>
      <c r="G100" s="3" t="s">
        <v>15</v>
      </c>
      <c r="H100" s="3" t="s">
        <v>16</v>
      </c>
      <c r="I100" s="22" t="s">
        <v>223</v>
      </c>
    </row>
    <row r="101" spans="1:9" ht="15.75" x14ac:dyDescent="0.25">
      <c r="A101" s="18">
        <v>111</v>
      </c>
      <c r="B101" s="19">
        <v>38646</v>
      </c>
      <c r="C101" s="3" t="s">
        <v>136</v>
      </c>
      <c r="D101" s="3" t="s">
        <v>225</v>
      </c>
      <c r="E101" s="3" t="s">
        <v>76</v>
      </c>
      <c r="F101" s="3" t="s">
        <v>19</v>
      </c>
      <c r="G101" s="3" t="s">
        <v>15</v>
      </c>
      <c r="H101" s="3" t="s">
        <v>16</v>
      </c>
      <c r="I101" s="22" t="s">
        <v>226</v>
      </c>
    </row>
    <row r="102" spans="1:9" ht="15.75" x14ac:dyDescent="0.25">
      <c r="A102" s="18">
        <v>112</v>
      </c>
      <c r="B102" s="19">
        <v>38658</v>
      </c>
      <c r="C102" s="3" t="s">
        <v>66</v>
      </c>
      <c r="D102" s="3" t="s">
        <v>228</v>
      </c>
      <c r="E102" s="3" t="s">
        <v>76</v>
      </c>
      <c r="F102" s="3" t="s">
        <v>44</v>
      </c>
      <c r="G102" s="3" t="s">
        <v>15</v>
      </c>
      <c r="H102" s="3" t="s">
        <v>16</v>
      </c>
      <c r="I102" s="22" t="s">
        <v>229</v>
      </c>
    </row>
    <row r="103" spans="1:9" ht="15.75" x14ac:dyDescent="0.25">
      <c r="A103" s="18">
        <v>113</v>
      </c>
      <c r="B103" s="19">
        <v>38658</v>
      </c>
      <c r="C103" s="3" t="s">
        <v>35</v>
      </c>
      <c r="D103" s="3" t="s">
        <v>231</v>
      </c>
      <c r="E103" s="3" t="s">
        <v>76</v>
      </c>
      <c r="F103" s="3" t="s">
        <v>44</v>
      </c>
      <c r="G103" s="3" t="s">
        <v>15</v>
      </c>
      <c r="H103" s="3" t="s">
        <v>16</v>
      </c>
      <c r="I103" s="22" t="s">
        <v>232</v>
      </c>
    </row>
    <row r="104" spans="1:9" ht="15.75" x14ac:dyDescent="0.25">
      <c r="A104" s="18">
        <v>114</v>
      </c>
      <c r="B104" s="19">
        <v>38735</v>
      </c>
      <c r="C104" s="3" t="s">
        <v>52</v>
      </c>
      <c r="D104" s="3" t="s">
        <v>52</v>
      </c>
      <c r="E104" s="3" t="s">
        <v>76</v>
      </c>
      <c r="F104" s="3" t="s">
        <v>44</v>
      </c>
      <c r="G104" s="3" t="s">
        <v>15</v>
      </c>
      <c r="H104" s="3" t="s">
        <v>16</v>
      </c>
      <c r="I104" s="22" t="s">
        <v>234</v>
      </c>
    </row>
    <row r="105" spans="1:9" ht="15.75" x14ac:dyDescent="0.25">
      <c r="A105" s="18">
        <v>115</v>
      </c>
      <c r="B105" s="19">
        <v>38885</v>
      </c>
      <c r="C105" s="3" t="s">
        <v>22</v>
      </c>
      <c r="D105" s="3" t="s">
        <v>22</v>
      </c>
      <c r="E105" s="3" t="s">
        <v>60</v>
      </c>
      <c r="F105" s="3" t="s">
        <v>44</v>
      </c>
      <c r="G105" s="3" t="s">
        <v>235</v>
      </c>
      <c r="H105" s="3" t="s">
        <v>16</v>
      </c>
      <c r="I105" s="22" t="s">
        <v>236</v>
      </c>
    </row>
    <row r="106" spans="1:9" ht="15.75" x14ac:dyDescent="0.25">
      <c r="A106" s="18">
        <v>116</v>
      </c>
      <c r="B106" s="19">
        <v>39061</v>
      </c>
      <c r="C106" s="3" t="s">
        <v>50</v>
      </c>
      <c r="D106" s="3" t="s">
        <v>186</v>
      </c>
      <c r="E106" s="3" t="s">
        <v>76</v>
      </c>
      <c r="F106" s="3" t="s">
        <v>19</v>
      </c>
      <c r="G106" s="3" t="s">
        <v>15</v>
      </c>
      <c r="H106" s="3" t="s">
        <v>16</v>
      </c>
      <c r="I106" s="22" t="s">
        <v>237</v>
      </c>
    </row>
    <row r="107" spans="1:9" ht="15.75" x14ac:dyDescent="0.25">
      <c r="A107" s="18">
        <v>119</v>
      </c>
      <c r="B107" s="19">
        <v>39284</v>
      </c>
      <c r="C107" s="3" t="s">
        <v>66</v>
      </c>
      <c r="D107" s="3" t="s">
        <v>245</v>
      </c>
      <c r="E107" s="3" t="s">
        <v>140</v>
      </c>
      <c r="F107" s="3" t="s">
        <v>44</v>
      </c>
      <c r="G107" s="3" t="s">
        <v>15</v>
      </c>
      <c r="H107" s="3" t="s">
        <v>16</v>
      </c>
      <c r="I107" s="22" t="s">
        <v>246</v>
      </c>
    </row>
    <row r="108" spans="1:9" ht="15.75" x14ac:dyDescent="0.25">
      <c r="A108" s="18">
        <v>120</v>
      </c>
      <c r="B108" s="25">
        <v>39285</v>
      </c>
      <c r="C108" s="26" t="s">
        <v>46</v>
      </c>
      <c r="D108" s="26" t="s">
        <v>139</v>
      </c>
      <c r="E108" s="26" t="s">
        <v>112</v>
      </c>
      <c r="F108" s="26" t="s">
        <v>44</v>
      </c>
      <c r="G108" s="26" t="s">
        <v>15</v>
      </c>
      <c r="H108" s="26" t="s">
        <v>16</v>
      </c>
      <c r="I108" s="27" t="s">
        <v>248</v>
      </c>
    </row>
    <row r="109" spans="1:9" ht="15.75" x14ac:dyDescent="0.25">
      <c r="A109" s="18">
        <v>122</v>
      </c>
      <c r="B109" s="19">
        <v>39322</v>
      </c>
      <c r="C109" s="3" t="s">
        <v>22</v>
      </c>
      <c r="D109" s="3" t="s">
        <v>252</v>
      </c>
      <c r="E109" s="3" t="s">
        <v>76</v>
      </c>
      <c r="F109" s="3" t="s">
        <v>14</v>
      </c>
      <c r="G109" s="3" t="s">
        <v>15</v>
      </c>
      <c r="H109" s="3" t="s">
        <v>16</v>
      </c>
      <c r="I109" s="20" t="s">
        <v>253</v>
      </c>
    </row>
    <row r="110" spans="1:9" ht="15.75" x14ac:dyDescent="0.25">
      <c r="A110" s="18">
        <v>123</v>
      </c>
      <c r="B110" s="19">
        <v>39352</v>
      </c>
      <c r="C110" s="3" t="s">
        <v>97</v>
      </c>
      <c r="D110" s="3" t="s">
        <v>98</v>
      </c>
      <c r="E110" s="3" t="s">
        <v>76</v>
      </c>
      <c r="F110" s="3" t="s">
        <v>44</v>
      </c>
      <c r="G110" s="3" t="s">
        <v>15</v>
      </c>
      <c r="H110" s="3" t="s">
        <v>16</v>
      </c>
      <c r="I110" s="22" t="s">
        <v>255</v>
      </c>
    </row>
    <row r="111" spans="1:9" ht="15.75" x14ac:dyDescent="0.25">
      <c r="A111" s="18">
        <v>126</v>
      </c>
      <c r="B111" s="19">
        <v>39514</v>
      </c>
      <c r="C111" s="3" t="s">
        <v>123</v>
      </c>
      <c r="D111" s="3" t="s">
        <v>263</v>
      </c>
      <c r="E111" s="3" t="s">
        <v>76</v>
      </c>
      <c r="F111" s="3" t="s">
        <v>44</v>
      </c>
      <c r="G111" s="3" t="s">
        <v>15</v>
      </c>
      <c r="H111" s="3" t="s">
        <v>16</v>
      </c>
      <c r="I111" s="22" t="s">
        <v>264</v>
      </c>
    </row>
    <row r="112" spans="1:9" ht="15.75" x14ac:dyDescent="0.25">
      <c r="A112" s="18">
        <v>127</v>
      </c>
      <c r="B112" s="19">
        <v>39563</v>
      </c>
      <c r="C112" s="5" t="s">
        <v>11</v>
      </c>
      <c r="D112" s="5" t="s">
        <v>266</v>
      </c>
      <c r="E112" s="5" t="s">
        <v>13</v>
      </c>
      <c r="F112" s="5" t="s">
        <v>23</v>
      </c>
      <c r="G112" s="5" t="s">
        <v>15</v>
      </c>
      <c r="H112" s="3" t="s">
        <v>16</v>
      </c>
      <c r="I112" s="20" t="s">
        <v>267</v>
      </c>
    </row>
    <row r="113" spans="1:9" ht="15.75" x14ac:dyDescent="0.25">
      <c r="A113" s="18">
        <v>128</v>
      </c>
      <c r="B113" s="19">
        <v>39620</v>
      </c>
      <c r="C113" s="5" t="s">
        <v>269</v>
      </c>
      <c r="D113" s="5" t="s">
        <v>270</v>
      </c>
      <c r="E113" s="5" t="s">
        <v>140</v>
      </c>
      <c r="F113" s="5" t="s">
        <v>44</v>
      </c>
      <c r="G113" s="5" t="s">
        <v>15</v>
      </c>
      <c r="H113" s="3" t="s">
        <v>16</v>
      </c>
      <c r="I113" s="22" t="s">
        <v>271</v>
      </c>
    </row>
    <row r="114" spans="1:9" ht="15.75" x14ac:dyDescent="0.25">
      <c r="A114" s="18">
        <v>129</v>
      </c>
      <c r="B114" s="19">
        <v>39699</v>
      </c>
      <c r="C114" s="5" t="s">
        <v>69</v>
      </c>
      <c r="D114" s="5" t="s">
        <v>272</v>
      </c>
      <c r="E114" s="5" t="s">
        <v>76</v>
      </c>
      <c r="F114" s="5" t="s">
        <v>44</v>
      </c>
      <c r="G114" s="5" t="s">
        <v>15</v>
      </c>
      <c r="H114" s="3" t="s">
        <v>16</v>
      </c>
      <c r="I114" s="22" t="s">
        <v>273</v>
      </c>
    </row>
    <row r="115" spans="1:9" ht="15.75" x14ac:dyDescent="0.25">
      <c r="A115" s="18">
        <v>130</v>
      </c>
      <c r="B115" s="19">
        <v>39909</v>
      </c>
      <c r="C115" s="5" t="s">
        <v>11</v>
      </c>
      <c r="D115" s="5" t="s">
        <v>11</v>
      </c>
      <c r="E115" s="5" t="s">
        <v>26</v>
      </c>
      <c r="F115" s="5" t="s">
        <v>44</v>
      </c>
      <c r="G115" s="5" t="s">
        <v>15</v>
      </c>
      <c r="H115" s="3" t="s">
        <v>16</v>
      </c>
      <c r="I115" s="22" t="s">
        <v>275</v>
      </c>
    </row>
    <row r="116" spans="1:9" ht="15.75" x14ac:dyDescent="0.25">
      <c r="A116" s="18">
        <v>131</v>
      </c>
      <c r="B116" s="19">
        <v>40050</v>
      </c>
      <c r="C116" s="5" t="s">
        <v>11</v>
      </c>
      <c r="D116" s="5" t="s">
        <v>409</v>
      </c>
      <c r="E116" s="5" t="s">
        <v>13</v>
      </c>
      <c r="F116" s="5" t="s">
        <v>19</v>
      </c>
      <c r="G116" s="5" t="s">
        <v>15</v>
      </c>
      <c r="H116" s="3" t="s">
        <v>16</v>
      </c>
      <c r="I116" s="22" t="s">
        <v>277</v>
      </c>
    </row>
    <row r="117" spans="1:9" ht="15.75" x14ac:dyDescent="0.25">
      <c r="A117" s="18">
        <v>132</v>
      </c>
      <c r="B117" s="19">
        <v>40055</v>
      </c>
      <c r="C117" s="5" t="s">
        <v>123</v>
      </c>
      <c r="D117" s="5" t="s">
        <v>263</v>
      </c>
      <c r="E117" s="5" t="s">
        <v>76</v>
      </c>
      <c r="F117" s="5" t="s">
        <v>44</v>
      </c>
      <c r="G117" s="5" t="s">
        <v>15</v>
      </c>
      <c r="H117" s="3" t="s">
        <v>16</v>
      </c>
      <c r="I117" s="22" t="s">
        <v>279</v>
      </c>
    </row>
    <row r="118" spans="1:9" ht="15.75" x14ac:dyDescent="0.25">
      <c r="A118" s="18">
        <v>134</v>
      </c>
      <c r="B118" s="19">
        <v>40122</v>
      </c>
      <c r="C118" s="5" t="s">
        <v>52</v>
      </c>
      <c r="D118" s="5" t="s">
        <v>152</v>
      </c>
      <c r="E118" s="5" t="s">
        <v>76</v>
      </c>
      <c r="F118" s="5" t="s">
        <v>44</v>
      </c>
      <c r="G118" s="5" t="s">
        <v>15</v>
      </c>
      <c r="H118" s="3" t="s">
        <v>16</v>
      </c>
      <c r="I118" s="22" t="s">
        <v>281</v>
      </c>
    </row>
    <row r="119" spans="1:9" ht="15.75" x14ac:dyDescent="0.25">
      <c r="A119" s="18">
        <v>135</v>
      </c>
      <c r="B119" s="19">
        <v>40361</v>
      </c>
      <c r="C119" s="5" t="s">
        <v>11</v>
      </c>
      <c r="D119" s="5" t="s">
        <v>168</v>
      </c>
      <c r="E119" s="5" t="s">
        <v>112</v>
      </c>
      <c r="F119" s="5" t="s">
        <v>44</v>
      </c>
      <c r="G119" s="5" t="s">
        <v>15</v>
      </c>
      <c r="H119" s="3" t="s">
        <v>16</v>
      </c>
      <c r="I119" s="22" t="s">
        <v>283</v>
      </c>
    </row>
    <row r="120" spans="1:9" ht="15.75" x14ac:dyDescent="0.25">
      <c r="A120" s="18">
        <v>137</v>
      </c>
      <c r="B120" s="19">
        <v>40392</v>
      </c>
      <c r="C120" s="5" t="s">
        <v>69</v>
      </c>
      <c r="D120" s="5" t="s">
        <v>286</v>
      </c>
      <c r="E120" s="5" t="s">
        <v>140</v>
      </c>
      <c r="F120" s="5" t="s">
        <v>44</v>
      </c>
      <c r="G120" s="5" t="s">
        <v>15</v>
      </c>
      <c r="H120" s="3" t="s">
        <v>16</v>
      </c>
      <c r="I120" s="22" t="s">
        <v>287</v>
      </c>
    </row>
    <row r="121" spans="1:9" ht="15.75" x14ac:dyDescent="0.25">
      <c r="A121" s="18">
        <v>138</v>
      </c>
      <c r="B121" s="19">
        <v>40404</v>
      </c>
      <c r="C121" s="5" t="s">
        <v>66</v>
      </c>
      <c r="D121" s="5" t="s">
        <v>431</v>
      </c>
      <c r="E121" s="5" t="s">
        <v>140</v>
      </c>
      <c r="F121" s="5" t="s">
        <v>44</v>
      </c>
      <c r="G121" s="5" t="s">
        <v>15</v>
      </c>
      <c r="H121" s="3" t="s">
        <v>16</v>
      </c>
      <c r="I121" s="22" t="s">
        <v>287</v>
      </c>
    </row>
    <row r="122" spans="1:9" ht="15.75" x14ac:dyDescent="0.25">
      <c r="A122" s="18">
        <v>139</v>
      </c>
      <c r="B122" s="19">
        <v>40473</v>
      </c>
      <c r="C122" s="3" t="s">
        <v>69</v>
      </c>
      <c r="D122" s="3" t="s">
        <v>272</v>
      </c>
      <c r="E122" s="3" t="s">
        <v>76</v>
      </c>
      <c r="F122" s="3" t="s">
        <v>23</v>
      </c>
      <c r="G122" s="3" t="s">
        <v>15</v>
      </c>
      <c r="H122" s="3" t="s">
        <v>16</v>
      </c>
      <c r="I122" s="20" t="s">
        <v>192</v>
      </c>
    </row>
    <row r="123" spans="1:9" ht="15.75" x14ac:dyDescent="0.25">
      <c r="A123" s="18">
        <v>141</v>
      </c>
      <c r="B123" s="19">
        <v>40718</v>
      </c>
      <c r="C123" s="3" t="s">
        <v>11</v>
      </c>
      <c r="D123" s="3" t="s">
        <v>168</v>
      </c>
      <c r="E123" s="3" t="s">
        <v>76</v>
      </c>
      <c r="F123" s="3" t="s">
        <v>44</v>
      </c>
      <c r="G123" s="3" t="s">
        <v>15</v>
      </c>
      <c r="H123" s="3" t="s">
        <v>16</v>
      </c>
      <c r="I123" s="22" t="s">
        <v>295</v>
      </c>
    </row>
    <row r="124" spans="1:9" ht="15.75" x14ac:dyDescent="0.25">
      <c r="A124" s="18">
        <v>142</v>
      </c>
      <c r="B124" s="19">
        <v>40797</v>
      </c>
      <c r="C124" s="3" t="s">
        <v>97</v>
      </c>
      <c r="D124" s="3" t="s">
        <v>296</v>
      </c>
      <c r="E124" s="3" t="s">
        <v>76</v>
      </c>
      <c r="F124" s="3" t="s">
        <v>44</v>
      </c>
      <c r="G124" s="3" t="s">
        <v>15</v>
      </c>
      <c r="H124" s="3" t="s">
        <v>16</v>
      </c>
      <c r="I124" s="22" t="s">
        <v>297</v>
      </c>
    </row>
    <row r="125" spans="1:9" ht="15.75" x14ac:dyDescent="0.25">
      <c r="A125" s="18">
        <v>143</v>
      </c>
      <c r="B125" s="19">
        <v>40845</v>
      </c>
      <c r="C125" s="3" t="s">
        <v>22</v>
      </c>
      <c r="D125" s="3" t="s">
        <v>252</v>
      </c>
      <c r="E125" s="3" t="s">
        <v>76</v>
      </c>
      <c r="F125" s="3" t="s">
        <v>14</v>
      </c>
      <c r="G125" s="3" t="s">
        <v>15</v>
      </c>
      <c r="H125" s="3" t="s">
        <v>16</v>
      </c>
      <c r="I125" s="22" t="s">
        <v>299</v>
      </c>
    </row>
    <row r="126" spans="1:9" ht="15.75" x14ac:dyDescent="0.25">
      <c r="A126" s="18">
        <v>144</v>
      </c>
      <c r="B126" s="19">
        <v>40869</v>
      </c>
      <c r="C126" s="3" t="s">
        <v>66</v>
      </c>
      <c r="D126" s="3" t="s">
        <v>67</v>
      </c>
      <c r="E126" s="3" t="s">
        <v>140</v>
      </c>
      <c r="F126" s="3" t="s">
        <v>44</v>
      </c>
      <c r="G126" s="3" t="s">
        <v>15</v>
      </c>
      <c r="H126" s="3" t="s">
        <v>16</v>
      </c>
      <c r="I126" s="22" t="s">
        <v>287</v>
      </c>
    </row>
    <row r="127" spans="1:9" ht="15.75" x14ac:dyDescent="0.25">
      <c r="A127" s="18">
        <v>145</v>
      </c>
      <c r="B127" s="19">
        <v>41035</v>
      </c>
      <c r="C127" s="3" t="s">
        <v>269</v>
      </c>
      <c r="D127" s="3" t="s">
        <v>300</v>
      </c>
      <c r="E127" s="3" t="s">
        <v>112</v>
      </c>
      <c r="F127" s="3" t="s">
        <v>44</v>
      </c>
      <c r="G127" s="3" t="s">
        <v>15</v>
      </c>
      <c r="H127" s="3" t="s">
        <v>16</v>
      </c>
      <c r="I127" s="22" t="s">
        <v>301</v>
      </c>
    </row>
    <row r="128" spans="1:9" ht="15.75" x14ac:dyDescent="0.25">
      <c r="A128" s="18">
        <v>146</v>
      </c>
      <c r="B128" s="19">
        <v>41041</v>
      </c>
      <c r="C128" s="3" t="s">
        <v>28</v>
      </c>
      <c r="D128" s="3" t="s">
        <v>410</v>
      </c>
      <c r="E128" s="3" t="s">
        <v>140</v>
      </c>
      <c r="F128" s="3" t="s">
        <v>44</v>
      </c>
      <c r="G128" s="3" t="s">
        <v>15</v>
      </c>
      <c r="H128" s="3" t="s">
        <v>16</v>
      </c>
      <c r="I128" s="20" t="s">
        <v>174</v>
      </c>
    </row>
    <row r="129" spans="1:9" ht="15.75" x14ac:dyDescent="0.25">
      <c r="A129" s="18">
        <v>147</v>
      </c>
      <c r="B129" s="19">
        <v>41097</v>
      </c>
      <c r="C129" s="3" t="s">
        <v>52</v>
      </c>
      <c r="D129" s="3" t="s">
        <v>304</v>
      </c>
      <c r="E129" s="3" t="s">
        <v>140</v>
      </c>
      <c r="F129" s="3" t="s">
        <v>44</v>
      </c>
      <c r="G129" s="3" t="s">
        <v>15</v>
      </c>
      <c r="H129" s="3" t="s">
        <v>16</v>
      </c>
      <c r="I129" s="20" t="s">
        <v>305</v>
      </c>
    </row>
    <row r="130" spans="1:9" ht="15.75" x14ac:dyDescent="0.25">
      <c r="A130" s="18">
        <v>149</v>
      </c>
      <c r="B130" s="19">
        <v>41189</v>
      </c>
      <c r="C130" s="3" t="s">
        <v>52</v>
      </c>
      <c r="D130" s="3" t="s">
        <v>182</v>
      </c>
      <c r="E130" s="3" t="s">
        <v>76</v>
      </c>
      <c r="F130" s="3" t="s">
        <v>44</v>
      </c>
      <c r="G130" s="3" t="s">
        <v>15</v>
      </c>
      <c r="H130" s="3" t="s">
        <v>16</v>
      </c>
      <c r="I130" s="22" t="s">
        <v>309</v>
      </c>
    </row>
    <row r="131" spans="1:9" ht="15.75" x14ac:dyDescent="0.25">
      <c r="A131" s="18">
        <v>150</v>
      </c>
      <c r="B131" s="19">
        <v>41205</v>
      </c>
      <c r="C131" s="3" t="s">
        <v>69</v>
      </c>
      <c r="D131" s="3" t="s">
        <v>272</v>
      </c>
      <c r="E131" s="3" t="s">
        <v>76</v>
      </c>
      <c r="F131" s="3" t="s">
        <v>23</v>
      </c>
      <c r="G131" s="3" t="s">
        <v>15</v>
      </c>
      <c r="H131" s="3" t="s">
        <v>16</v>
      </c>
      <c r="I131" s="20" t="s">
        <v>310</v>
      </c>
    </row>
    <row r="132" spans="1:9" ht="15.75" x14ac:dyDescent="0.25">
      <c r="A132" s="18">
        <v>151</v>
      </c>
      <c r="B132" s="19">
        <v>41212</v>
      </c>
      <c r="C132" s="3" t="s">
        <v>97</v>
      </c>
      <c r="D132" s="3" t="s">
        <v>312</v>
      </c>
      <c r="E132" s="3" t="s">
        <v>76</v>
      </c>
      <c r="F132" s="3" t="s">
        <v>14</v>
      </c>
      <c r="G132" s="3" t="s">
        <v>15</v>
      </c>
      <c r="H132" s="3" t="s">
        <v>16</v>
      </c>
      <c r="I132" s="20" t="s">
        <v>313</v>
      </c>
    </row>
    <row r="133" spans="1:9" ht="15.75" x14ac:dyDescent="0.25">
      <c r="A133" s="18">
        <v>152</v>
      </c>
      <c r="B133" s="29">
        <v>41450</v>
      </c>
      <c r="C133" s="18" t="s">
        <v>66</v>
      </c>
      <c r="D133" s="30" t="s">
        <v>314</v>
      </c>
      <c r="E133" s="30" t="s">
        <v>140</v>
      </c>
      <c r="F133" s="18" t="s">
        <v>44</v>
      </c>
      <c r="G133" s="3" t="s">
        <v>15</v>
      </c>
      <c r="H133" s="3" t="s">
        <v>16</v>
      </c>
      <c r="I133" s="20" t="s">
        <v>315</v>
      </c>
    </row>
    <row r="134" spans="1:9" ht="15.75" x14ac:dyDescent="0.25">
      <c r="A134" s="18">
        <v>153</v>
      </c>
      <c r="B134" s="29">
        <v>41503</v>
      </c>
      <c r="C134" s="18" t="s">
        <v>66</v>
      </c>
      <c r="D134" s="30" t="s">
        <v>195</v>
      </c>
      <c r="E134" s="30" t="s">
        <v>76</v>
      </c>
      <c r="F134" s="18" t="s">
        <v>44</v>
      </c>
      <c r="G134" s="3" t="s">
        <v>15</v>
      </c>
      <c r="H134" s="3" t="s">
        <v>16</v>
      </c>
      <c r="I134" s="20" t="s">
        <v>316</v>
      </c>
    </row>
    <row r="135" spans="1:9" ht="15.75" x14ac:dyDescent="0.25">
      <c r="A135" s="18">
        <v>155</v>
      </c>
      <c r="B135" s="29">
        <v>41553</v>
      </c>
      <c r="C135" s="18" t="s">
        <v>97</v>
      </c>
      <c r="D135" s="30" t="s">
        <v>411</v>
      </c>
      <c r="E135" s="30" t="s">
        <v>76</v>
      </c>
      <c r="F135" s="18" t="s">
        <v>14</v>
      </c>
      <c r="G135" s="3" t="s">
        <v>15</v>
      </c>
      <c r="H135" s="3" t="s">
        <v>16</v>
      </c>
      <c r="I135" s="20" t="s">
        <v>321</v>
      </c>
    </row>
    <row r="136" spans="1:9" ht="15.75" x14ac:dyDescent="0.25">
      <c r="A136" s="18">
        <v>156</v>
      </c>
      <c r="B136" s="29">
        <v>41825</v>
      </c>
      <c r="C136" s="18" t="s">
        <v>28</v>
      </c>
      <c r="D136" s="30" t="s">
        <v>412</v>
      </c>
      <c r="E136" s="30" t="s">
        <v>76</v>
      </c>
      <c r="F136" s="18" t="s">
        <v>44</v>
      </c>
      <c r="G136" s="3" t="s">
        <v>15</v>
      </c>
      <c r="H136" s="3" t="s">
        <v>16</v>
      </c>
      <c r="I136" s="20" t="s">
        <v>323</v>
      </c>
    </row>
    <row r="137" spans="1:9" ht="15.75" x14ac:dyDescent="0.25">
      <c r="A137" s="18">
        <v>157</v>
      </c>
      <c r="B137" s="29">
        <v>41895</v>
      </c>
      <c r="C137" s="18" t="s">
        <v>52</v>
      </c>
      <c r="D137" s="30" t="s">
        <v>519</v>
      </c>
      <c r="E137" s="30" t="s">
        <v>76</v>
      </c>
      <c r="F137" s="18" t="s">
        <v>44</v>
      </c>
      <c r="G137" s="3" t="s">
        <v>15</v>
      </c>
      <c r="H137" s="3" t="s">
        <v>16</v>
      </c>
      <c r="I137" s="20" t="s">
        <v>325</v>
      </c>
    </row>
    <row r="138" spans="1:9" ht="15.75" x14ac:dyDescent="0.25">
      <c r="A138" s="18">
        <v>158</v>
      </c>
      <c r="B138" s="29">
        <v>41914</v>
      </c>
      <c r="C138" s="18" t="s">
        <v>69</v>
      </c>
      <c r="D138" s="30" t="s">
        <v>426</v>
      </c>
      <c r="E138" s="30" t="s">
        <v>76</v>
      </c>
      <c r="F138" s="18" t="s">
        <v>19</v>
      </c>
      <c r="G138" s="3" t="s">
        <v>15</v>
      </c>
      <c r="H138" s="3" t="s">
        <v>16</v>
      </c>
      <c r="I138" s="20" t="s">
        <v>327</v>
      </c>
    </row>
    <row r="139" spans="1:9" ht="15.75" x14ac:dyDescent="0.25">
      <c r="A139" s="18">
        <v>159</v>
      </c>
      <c r="B139" s="29">
        <v>41915</v>
      </c>
      <c r="C139" s="18" t="s">
        <v>69</v>
      </c>
      <c r="D139" s="30" t="s">
        <v>426</v>
      </c>
      <c r="E139" s="30" t="s">
        <v>140</v>
      </c>
      <c r="F139" s="18" t="s">
        <v>44</v>
      </c>
      <c r="G139" s="3" t="s">
        <v>15</v>
      </c>
      <c r="H139" s="3" t="s">
        <v>16</v>
      </c>
      <c r="I139" s="20" t="s">
        <v>329</v>
      </c>
    </row>
    <row r="140" spans="1:9" ht="15.75" x14ac:dyDescent="0.25">
      <c r="A140" s="18">
        <v>160</v>
      </c>
      <c r="B140" s="29">
        <v>41915</v>
      </c>
      <c r="C140" s="18" t="s">
        <v>69</v>
      </c>
      <c r="D140" s="30" t="s">
        <v>426</v>
      </c>
      <c r="E140" s="30" t="s">
        <v>140</v>
      </c>
      <c r="F140" s="18" t="s">
        <v>44</v>
      </c>
      <c r="G140" s="3" t="s">
        <v>15</v>
      </c>
      <c r="H140" s="3" t="s">
        <v>16</v>
      </c>
      <c r="I140" s="20" t="s">
        <v>331</v>
      </c>
    </row>
    <row r="141" spans="1:9" ht="15.75" x14ac:dyDescent="0.25">
      <c r="A141" s="18">
        <v>161</v>
      </c>
      <c r="B141" s="29">
        <v>41931</v>
      </c>
      <c r="C141" s="18" t="s">
        <v>69</v>
      </c>
      <c r="D141" s="30" t="s">
        <v>427</v>
      </c>
      <c r="E141" s="30" t="s">
        <v>140</v>
      </c>
      <c r="F141" s="18" t="s">
        <v>44</v>
      </c>
      <c r="G141" s="3" t="s">
        <v>15</v>
      </c>
      <c r="H141" s="3" t="s">
        <v>16</v>
      </c>
      <c r="I141" s="20" t="s">
        <v>332</v>
      </c>
    </row>
    <row r="142" spans="1:9" ht="15.75" x14ac:dyDescent="0.25">
      <c r="A142" s="18">
        <v>162</v>
      </c>
      <c r="B142" s="29">
        <v>42001</v>
      </c>
      <c r="C142" s="18" t="s">
        <v>28</v>
      </c>
      <c r="D142" s="30" t="s">
        <v>413</v>
      </c>
      <c r="E142" s="30" t="s">
        <v>76</v>
      </c>
      <c r="F142" s="18" t="s">
        <v>14</v>
      </c>
      <c r="G142" s="3" t="s">
        <v>15</v>
      </c>
      <c r="H142" s="3" t="s">
        <v>16</v>
      </c>
      <c r="I142" s="20" t="s">
        <v>333</v>
      </c>
    </row>
    <row r="143" spans="1:9" ht="15.75" x14ac:dyDescent="0.25">
      <c r="A143" s="18">
        <v>163</v>
      </c>
      <c r="B143" s="29">
        <v>42195</v>
      </c>
      <c r="C143" s="18" t="s">
        <v>123</v>
      </c>
      <c r="D143" s="30" t="s">
        <v>414</v>
      </c>
      <c r="E143" s="30" t="s">
        <v>76</v>
      </c>
      <c r="F143" s="18" t="s">
        <v>44</v>
      </c>
      <c r="G143" s="3" t="s">
        <v>15</v>
      </c>
      <c r="H143" s="3" t="s">
        <v>16</v>
      </c>
      <c r="I143" s="20" t="s">
        <v>334</v>
      </c>
    </row>
    <row r="144" spans="1:9" ht="15.75" x14ac:dyDescent="0.25">
      <c r="A144" s="18">
        <v>164</v>
      </c>
      <c r="B144" s="29">
        <v>42234</v>
      </c>
      <c r="C144" s="18" t="s">
        <v>69</v>
      </c>
      <c r="D144" s="30" t="s">
        <v>415</v>
      </c>
      <c r="E144" s="30" t="s">
        <v>140</v>
      </c>
      <c r="F144" s="18" t="s">
        <v>44</v>
      </c>
      <c r="G144" s="3" t="s">
        <v>15</v>
      </c>
      <c r="H144" s="3" t="s">
        <v>16</v>
      </c>
      <c r="I144" s="20" t="s">
        <v>336</v>
      </c>
    </row>
    <row r="145" spans="1:9" ht="15.75" x14ac:dyDescent="0.25">
      <c r="A145" s="18">
        <v>165</v>
      </c>
      <c r="B145" s="29">
        <v>42245</v>
      </c>
      <c r="C145" s="18" t="s">
        <v>28</v>
      </c>
      <c r="D145" s="30" t="s">
        <v>416</v>
      </c>
      <c r="E145" s="30" t="s">
        <v>76</v>
      </c>
      <c r="F145" s="18" t="s">
        <v>44</v>
      </c>
      <c r="G145" s="3" t="s">
        <v>15</v>
      </c>
      <c r="H145" s="3" t="s">
        <v>16</v>
      </c>
      <c r="I145" s="20" t="s">
        <v>323</v>
      </c>
    </row>
    <row r="146" spans="1:9" ht="15.75" x14ac:dyDescent="0.25">
      <c r="A146" s="18">
        <v>167</v>
      </c>
      <c r="B146" s="29">
        <v>42253</v>
      </c>
      <c r="C146" s="18" t="s">
        <v>46</v>
      </c>
      <c r="D146" s="30" t="s">
        <v>417</v>
      </c>
      <c r="E146" s="30" t="s">
        <v>112</v>
      </c>
      <c r="F146" s="18" t="s">
        <v>44</v>
      </c>
      <c r="G146" s="3" t="s">
        <v>15</v>
      </c>
      <c r="H146" s="3" t="s">
        <v>16</v>
      </c>
      <c r="I146" s="20" t="s">
        <v>340</v>
      </c>
    </row>
    <row r="147" spans="1:9" ht="15.75" x14ac:dyDescent="0.25">
      <c r="A147" s="18">
        <v>169</v>
      </c>
      <c r="B147" s="29">
        <v>42271</v>
      </c>
      <c r="C147" s="18" t="s">
        <v>69</v>
      </c>
      <c r="D147" s="30" t="s">
        <v>418</v>
      </c>
      <c r="E147" s="30" t="s">
        <v>140</v>
      </c>
      <c r="F147" s="18" t="s">
        <v>19</v>
      </c>
      <c r="G147" s="3" t="s">
        <v>15</v>
      </c>
      <c r="H147" s="3" t="s">
        <v>16</v>
      </c>
      <c r="I147" s="20" t="s">
        <v>341</v>
      </c>
    </row>
    <row r="148" spans="1:9" ht="15.75" x14ac:dyDescent="0.25">
      <c r="A148" s="18">
        <v>170</v>
      </c>
      <c r="B148" s="29">
        <v>42519</v>
      </c>
      <c r="C148" s="18" t="s">
        <v>123</v>
      </c>
      <c r="D148" s="30" t="s">
        <v>419</v>
      </c>
      <c r="E148" s="30" t="s">
        <v>13</v>
      </c>
      <c r="F148" s="18" t="s">
        <v>14</v>
      </c>
      <c r="G148" s="3" t="s">
        <v>15</v>
      </c>
      <c r="H148" s="3" t="s">
        <v>16</v>
      </c>
      <c r="I148" s="20" t="s">
        <v>342</v>
      </c>
    </row>
    <row r="149" spans="1:9" ht="15.75" x14ac:dyDescent="0.25">
      <c r="A149" s="18">
        <v>171</v>
      </c>
      <c r="B149" s="29">
        <v>42614</v>
      </c>
      <c r="C149" s="18" t="s">
        <v>69</v>
      </c>
      <c r="D149" s="30" t="s">
        <v>420</v>
      </c>
      <c r="E149" s="30" t="s">
        <v>26</v>
      </c>
      <c r="F149" s="18" t="s">
        <v>19</v>
      </c>
      <c r="G149" s="3" t="s">
        <v>15</v>
      </c>
      <c r="H149" s="3" t="s">
        <v>16</v>
      </c>
      <c r="I149" s="20" t="s">
        <v>344</v>
      </c>
    </row>
    <row r="150" spans="1:9" ht="15.75" x14ac:dyDescent="0.25">
      <c r="A150" s="18">
        <v>172</v>
      </c>
      <c r="B150" s="29">
        <v>42630</v>
      </c>
      <c r="C150" s="18" t="s">
        <v>97</v>
      </c>
      <c r="D150" s="30" t="s">
        <v>421</v>
      </c>
      <c r="E150" s="30" t="s">
        <v>76</v>
      </c>
      <c r="F150" s="18" t="s">
        <v>44</v>
      </c>
      <c r="G150" s="3" t="s">
        <v>15</v>
      </c>
      <c r="H150" s="3" t="s">
        <v>16</v>
      </c>
      <c r="I150" s="20" t="s">
        <v>346</v>
      </c>
    </row>
    <row r="151" spans="1:9" ht="15.75" x14ac:dyDescent="0.25">
      <c r="A151" s="18">
        <v>173</v>
      </c>
      <c r="B151" s="29">
        <v>42812</v>
      </c>
      <c r="C151" s="18" t="s">
        <v>22</v>
      </c>
      <c r="D151" s="30" t="s">
        <v>422</v>
      </c>
      <c r="E151" s="30" t="s">
        <v>140</v>
      </c>
      <c r="F151" s="18" t="s">
        <v>347</v>
      </c>
      <c r="G151" s="3" t="s">
        <v>15</v>
      </c>
      <c r="H151" s="3" t="s">
        <v>16</v>
      </c>
      <c r="I151" s="20" t="s">
        <v>348</v>
      </c>
    </row>
    <row r="152" spans="1:9" ht="15.75" x14ac:dyDescent="0.25">
      <c r="A152" s="18">
        <v>174</v>
      </c>
      <c r="B152" s="29">
        <v>42854</v>
      </c>
      <c r="C152" s="18" t="s">
        <v>11</v>
      </c>
      <c r="D152" s="31" t="s">
        <v>423</v>
      </c>
      <c r="E152" s="30" t="s">
        <v>13</v>
      </c>
      <c r="F152" s="18" t="s">
        <v>14</v>
      </c>
      <c r="G152" s="3" t="s">
        <v>15</v>
      </c>
      <c r="H152" s="3" t="s">
        <v>16</v>
      </c>
      <c r="I152" s="20" t="s">
        <v>349</v>
      </c>
    </row>
    <row r="153" spans="1:9" ht="15.75" x14ac:dyDescent="0.25">
      <c r="A153" s="18">
        <v>175</v>
      </c>
      <c r="B153" s="29">
        <v>42927</v>
      </c>
      <c r="C153" s="18" t="s">
        <v>52</v>
      </c>
      <c r="D153" s="30" t="s">
        <v>350</v>
      </c>
      <c r="E153" s="30" t="s">
        <v>140</v>
      </c>
      <c r="F153" s="18" t="s">
        <v>44</v>
      </c>
      <c r="G153" s="3" t="s">
        <v>15</v>
      </c>
      <c r="H153" s="3" t="s">
        <v>16</v>
      </c>
      <c r="I153" s="32" t="s">
        <v>351</v>
      </c>
    </row>
    <row r="154" spans="1:9" ht="15.75" x14ac:dyDescent="0.25">
      <c r="A154" s="18">
        <v>176</v>
      </c>
      <c r="B154" s="29">
        <v>42936</v>
      </c>
      <c r="C154" s="18" t="s">
        <v>69</v>
      </c>
      <c r="D154" s="31" t="s">
        <v>424</v>
      </c>
      <c r="E154" s="30" t="s">
        <v>112</v>
      </c>
      <c r="F154" s="18" t="s">
        <v>44</v>
      </c>
      <c r="G154" s="3" t="s">
        <v>15</v>
      </c>
      <c r="H154" s="3" t="s">
        <v>16</v>
      </c>
      <c r="I154" s="18" t="s">
        <v>353</v>
      </c>
    </row>
    <row r="155" spans="1:9" ht="15.75" x14ac:dyDescent="0.25">
      <c r="A155" s="18">
        <v>177</v>
      </c>
      <c r="B155" s="29">
        <v>42936</v>
      </c>
      <c r="C155" s="18" t="s">
        <v>69</v>
      </c>
      <c r="D155" s="30" t="s">
        <v>425</v>
      </c>
      <c r="E155" s="30" t="s">
        <v>140</v>
      </c>
      <c r="F155" s="18" t="s">
        <v>44</v>
      </c>
      <c r="G155" s="3" t="s">
        <v>15</v>
      </c>
      <c r="H155" s="3" t="s">
        <v>16</v>
      </c>
      <c r="I155" s="18" t="s">
        <v>355</v>
      </c>
    </row>
    <row r="156" spans="1:9" ht="15.75" x14ac:dyDescent="0.25">
      <c r="A156" s="18">
        <v>178</v>
      </c>
      <c r="B156" s="29">
        <v>42948</v>
      </c>
      <c r="C156" s="18" t="s">
        <v>66</v>
      </c>
      <c r="D156" s="30" t="s">
        <v>245</v>
      </c>
      <c r="E156" s="30" t="s">
        <v>140</v>
      </c>
      <c r="F156" s="18" t="s">
        <v>44</v>
      </c>
      <c r="G156" s="3" t="s">
        <v>15</v>
      </c>
      <c r="H156" s="3" t="s">
        <v>16</v>
      </c>
      <c r="I156" s="18" t="s">
        <v>445</v>
      </c>
    </row>
    <row r="157" spans="1:9" ht="15.75" x14ac:dyDescent="0.25">
      <c r="A157" s="18">
        <v>179</v>
      </c>
      <c r="B157" s="29">
        <v>43063</v>
      </c>
      <c r="C157" s="24" t="s">
        <v>22</v>
      </c>
      <c r="D157" s="33" t="s">
        <v>453</v>
      </c>
      <c r="E157" s="33" t="s">
        <v>26</v>
      </c>
      <c r="F157" s="24" t="s">
        <v>14</v>
      </c>
      <c r="G157" s="13" t="s">
        <v>15</v>
      </c>
      <c r="H157" s="13" t="s">
        <v>16</v>
      </c>
      <c r="I157" s="24" t="s">
        <v>454</v>
      </c>
    </row>
    <row r="158" spans="1:9" ht="15.75" x14ac:dyDescent="0.25">
      <c r="A158" s="18">
        <v>180</v>
      </c>
      <c r="B158" s="29">
        <v>43099</v>
      </c>
      <c r="C158" s="18" t="s">
        <v>50</v>
      </c>
      <c r="D158" s="30" t="s">
        <v>456</v>
      </c>
      <c r="E158" s="30" t="s">
        <v>76</v>
      </c>
      <c r="F158" s="18" t="s">
        <v>19</v>
      </c>
      <c r="G158" s="3" t="s">
        <v>15</v>
      </c>
      <c r="H158" s="3" t="s">
        <v>16</v>
      </c>
      <c r="I158" s="18" t="s">
        <v>459</v>
      </c>
    </row>
    <row r="159" spans="1:9" s="46" customFormat="1" x14ac:dyDescent="0.2">
      <c r="A159" s="99">
        <v>181</v>
      </c>
      <c r="B159" s="100">
        <v>43336</v>
      </c>
      <c r="C159" s="99" t="s">
        <v>11</v>
      </c>
      <c r="D159" s="99" t="s">
        <v>263</v>
      </c>
      <c r="E159" s="99" t="s">
        <v>13</v>
      </c>
      <c r="F159" s="99" t="s">
        <v>44</v>
      </c>
      <c r="G159" s="99" t="s">
        <v>15</v>
      </c>
      <c r="H159" s="99" t="s">
        <v>16</v>
      </c>
      <c r="I159" s="99" t="s">
        <v>470</v>
      </c>
    </row>
    <row r="160" spans="1:9" s="46" customFormat="1" x14ac:dyDescent="0.2">
      <c r="A160" s="99">
        <v>183</v>
      </c>
      <c r="B160" s="100">
        <v>43372</v>
      </c>
      <c r="C160" s="99" t="s">
        <v>11</v>
      </c>
      <c r="D160" s="99" t="s">
        <v>474</v>
      </c>
      <c r="E160" s="99" t="s">
        <v>26</v>
      </c>
      <c r="F160" s="99" t="s">
        <v>14</v>
      </c>
      <c r="G160" s="99" t="s">
        <v>15</v>
      </c>
      <c r="H160" s="99" t="s">
        <v>16</v>
      </c>
      <c r="I160" s="99" t="s">
        <v>476</v>
      </c>
    </row>
    <row r="161" spans="1:16" s="46" customFormat="1" x14ac:dyDescent="0.2">
      <c r="A161" s="99">
        <v>184</v>
      </c>
      <c r="B161" s="100">
        <v>43396</v>
      </c>
      <c r="C161" s="99" t="s">
        <v>58</v>
      </c>
      <c r="D161" s="99" t="s">
        <v>59</v>
      </c>
      <c r="E161" s="99" t="s">
        <v>60</v>
      </c>
      <c r="F161" s="99" t="s">
        <v>14</v>
      </c>
      <c r="G161" s="99" t="s">
        <v>477</v>
      </c>
      <c r="H161" s="99" t="s">
        <v>16</v>
      </c>
      <c r="I161" s="99" t="s">
        <v>478</v>
      </c>
    </row>
    <row r="162" spans="1:16" s="46" customFormat="1" x14ac:dyDescent="0.2">
      <c r="A162" s="99">
        <v>185</v>
      </c>
      <c r="B162" s="100">
        <v>43473</v>
      </c>
      <c r="C162" s="99" t="s">
        <v>28</v>
      </c>
      <c r="D162" s="99" t="s">
        <v>413</v>
      </c>
      <c r="E162" s="99" t="s">
        <v>76</v>
      </c>
      <c r="F162" s="99" t="s">
        <v>14</v>
      </c>
      <c r="G162" s="99" t="s">
        <v>15</v>
      </c>
      <c r="H162" s="99" t="s">
        <v>16</v>
      </c>
      <c r="I162" s="99" t="s">
        <v>481</v>
      </c>
    </row>
    <row r="163" spans="1:16" s="11" customFormat="1" x14ac:dyDescent="0.2">
      <c r="A163" s="98">
        <v>186</v>
      </c>
      <c r="B163" s="95">
        <v>43592</v>
      </c>
      <c r="C163" s="98" t="s">
        <v>42</v>
      </c>
      <c r="D163" s="98" t="s">
        <v>56</v>
      </c>
      <c r="E163" s="98" t="s">
        <v>76</v>
      </c>
      <c r="F163" s="98" t="s">
        <v>44</v>
      </c>
      <c r="G163" s="98" t="s">
        <v>15</v>
      </c>
      <c r="H163" s="98" t="s">
        <v>16</v>
      </c>
      <c r="I163" s="98" t="s">
        <v>485</v>
      </c>
    </row>
    <row r="164" spans="1:16" s="11" customFormat="1" x14ac:dyDescent="0.2">
      <c r="A164" s="98">
        <v>188</v>
      </c>
      <c r="B164" s="95">
        <v>43743</v>
      </c>
      <c r="C164" s="98" t="s">
        <v>269</v>
      </c>
      <c r="D164" s="98" t="s">
        <v>491</v>
      </c>
      <c r="E164" s="98" t="s">
        <v>140</v>
      </c>
      <c r="F164" s="98" t="s">
        <v>44</v>
      </c>
      <c r="G164" s="98" t="s">
        <v>15</v>
      </c>
      <c r="H164" s="98" t="s">
        <v>16</v>
      </c>
      <c r="I164" s="98" t="s">
        <v>492</v>
      </c>
    </row>
    <row r="165" spans="1:16" s="11" customFormat="1" x14ac:dyDescent="0.2">
      <c r="A165" s="98">
        <v>189</v>
      </c>
      <c r="B165" s="95">
        <v>43820</v>
      </c>
      <c r="C165" s="98" t="s">
        <v>494</v>
      </c>
      <c r="D165" s="98" t="s">
        <v>495</v>
      </c>
      <c r="E165" s="98" t="s">
        <v>76</v>
      </c>
      <c r="F165" s="98" t="s">
        <v>14</v>
      </c>
      <c r="G165" s="98" t="s">
        <v>15</v>
      </c>
      <c r="H165" s="98" t="s">
        <v>16</v>
      </c>
      <c r="I165" s="98" t="s">
        <v>496</v>
      </c>
    </row>
    <row r="166" spans="1:16" s="11" customFormat="1" x14ac:dyDescent="0.2">
      <c r="A166" s="98">
        <v>190</v>
      </c>
      <c r="B166" s="95">
        <v>43917</v>
      </c>
      <c r="C166" s="98" t="s">
        <v>52</v>
      </c>
      <c r="D166" s="98" t="s">
        <v>304</v>
      </c>
      <c r="E166" s="98" t="s">
        <v>112</v>
      </c>
      <c r="F166" s="98" t="s">
        <v>44</v>
      </c>
      <c r="G166" s="98" t="s">
        <v>15</v>
      </c>
      <c r="H166" s="98" t="s">
        <v>16</v>
      </c>
      <c r="I166" s="98" t="s">
        <v>508</v>
      </c>
    </row>
    <row r="167" spans="1:16" s="103" customFormat="1" x14ac:dyDescent="0.2">
      <c r="A167" s="98">
        <v>191</v>
      </c>
      <c r="B167" s="95">
        <v>43952</v>
      </c>
      <c r="C167" s="98" t="s">
        <v>69</v>
      </c>
      <c r="D167" s="98" t="s">
        <v>513</v>
      </c>
      <c r="E167" s="98" t="s">
        <v>13</v>
      </c>
      <c r="F167" s="98" t="s">
        <v>19</v>
      </c>
      <c r="G167" s="98" t="s">
        <v>15</v>
      </c>
      <c r="H167" s="98" t="s">
        <v>16</v>
      </c>
      <c r="I167" s="98" t="s">
        <v>514</v>
      </c>
    </row>
    <row r="168" spans="1:16" s="103" customFormat="1" x14ac:dyDescent="0.2">
      <c r="A168" s="98">
        <v>192</v>
      </c>
      <c r="B168" s="95">
        <v>43960</v>
      </c>
      <c r="C168" s="98" t="s">
        <v>52</v>
      </c>
      <c r="D168" s="98" t="s">
        <v>516</v>
      </c>
      <c r="E168" s="98" t="s">
        <v>76</v>
      </c>
      <c r="F168" s="98" t="s">
        <v>23</v>
      </c>
      <c r="G168" s="98" t="s">
        <v>15</v>
      </c>
      <c r="H168" s="98" t="s">
        <v>16</v>
      </c>
      <c r="I168" s="98" t="s">
        <v>518</v>
      </c>
    </row>
    <row r="169" spans="1:16" s="11" customFormat="1" x14ac:dyDescent="0.2">
      <c r="A169" s="98">
        <v>193</v>
      </c>
      <c r="B169" s="95">
        <v>43976</v>
      </c>
      <c r="C169" s="98" t="s">
        <v>97</v>
      </c>
      <c r="D169" s="98" t="s">
        <v>159</v>
      </c>
      <c r="E169" s="98" t="s">
        <v>140</v>
      </c>
      <c r="F169" s="98" t="s">
        <v>44</v>
      </c>
      <c r="G169" s="98" t="s">
        <v>15</v>
      </c>
      <c r="H169" s="98" t="s">
        <v>575</v>
      </c>
      <c r="I169" s="98" t="s">
        <v>576</v>
      </c>
    </row>
    <row r="170" spans="1:16" s="11" customFormat="1" x14ac:dyDescent="0.2">
      <c r="A170" s="98">
        <v>194</v>
      </c>
      <c r="B170" s="95">
        <v>44001</v>
      </c>
      <c r="C170" s="98" t="s">
        <v>578</v>
      </c>
      <c r="D170" s="98" t="s">
        <v>579</v>
      </c>
      <c r="E170" s="98" t="s">
        <v>60</v>
      </c>
      <c r="F170" s="98" t="s">
        <v>44</v>
      </c>
      <c r="G170" s="98" t="s">
        <v>580</v>
      </c>
      <c r="H170" s="98" t="s">
        <v>16</v>
      </c>
      <c r="I170" s="104" t="s">
        <v>581</v>
      </c>
      <c r="J170" s="101"/>
      <c r="K170" s="101"/>
      <c r="L170" s="101"/>
      <c r="M170" s="101"/>
      <c r="N170" s="101"/>
      <c r="O170" s="101"/>
      <c r="P170" s="101"/>
    </row>
    <row r="171" spans="1:16" s="11" customFormat="1" x14ac:dyDescent="0.2">
      <c r="A171" s="98">
        <v>195</v>
      </c>
      <c r="B171" s="95">
        <v>44055</v>
      </c>
      <c r="C171" s="98" t="s">
        <v>46</v>
      </c>
      <c r="D171" s="98" t="s">
        <v>587</v>
      </c>
      <c r="E171" s="98" t="s">
        <v>26</v>
      </c>
      <c r="F171" s="98" t="s">
        <v>19</v>
      </c>
      <c r="G171" s="98" t="s">
        <v>15</v>
      </c>
      <c r="H171" s="98" t="s">
        <v>16</v>
      </c>
      <c r="I171" s="98" t="s">
        <v>588</v>
      </c>
      <c r="J171" s="24"/>
      <c r="K171" s="24"/>
      <c r="L171" s="101"/>
      <c r="M171" s="101"/>
      <c r="N171" s="101"/>
      <c r="O171" s="101"/>
      <c r="P171" s="101"/>
    </row>
    <row r="172" spans="1:16" s="11" customFormat="1" x14ac:dyDescent="0.2">
      <c r="A172" s="98">
        <v>196</v>
      </c>
      <c r="B172" s="95">
        <v>44071</v>
      </c>
      <c r="C172" s="98" t="s">
        <v>97</v>
      </c>
      <c r="D172" s="98" t="s">
        <v>159</v>
      </c>
      <c r="E172" s="98" t="s">
        <v>140</v>
      </c>
      <c r="F172" s="98" t="s">
        <v>44</v>
      </c>
      <c r="G172" s="98" t="s">
        <v>15</v>
      </c>
      <c r="H172" s="98" t="s">
        <v>16</v>
      </c>
      <c r="I172" s="98" t="s">
        <v>591</v>
      </c>
      <c r="J172" s="24"/>
      <c r="K172" s="24"/>
      <c r="L172" s="101"/>
      <c r="M172" s="101"/>
      <c r="N172" s="101"/>
      <c r="O172" s="101"/>
      <c r="P172" s="101"/>
    </row>
    <row r="173" spans="1:16" s="11" customFormat="1" x14ac:dyDescent="0.2">
      <c r="A173" s="98">
        <v>197</v>
      </c>
      <c r="B173" s="95">
        <v>44195</v>
      </c>
      <c r="C173" s="98" t="s">
        <v>11</v>
      </c>
      <c r="D173" s="98" t="s">
        <v>596</v>
      </c>
      <c r="E173" s="98" t="s">
        <v>13</v>
      </c>
      <c r="F173" s="98" t="s">
        <v>44</v>
      </c>
      <c r="G173" s="98" t="s">
        <v>15</v>
      </c>
      <c r="H173" s="98" t="s">
        <v>16</v>
      </c>
      <c r="I173" s="98" t="s">
        <v>594</v>
      </c>
      <c r="J173" s="24"/>
      <c r="K173" s="24"/>
      <c r="L173" s="101"/>
      <c r="M173" s="101"/>
      <c r="N173" s="101"/>
      <c r="O173" s="101"/>
    </row>
    <row r="174" spans="1:16" s="11" customFormat="1" x14ac:dyDescent="0.2">
      <c r="A174" s="98">
        <v>198</v>
      </c>
      <c r="B174" s="95">
        <v>44373</v>
      </c>
      <c r="C174" s="98" t="s">
        <v>66</v>
      </c>
      <c r="D174" s="98" t="s">
        <v>606</v>
      </c>
      <c r="E174" s="98" t="s">
        <v>26</v>
      </c>
      <c r="F174" s="98" t="s">
        <v>14</v>
      </c>
      <c r="G174" s="98" t="s">
        <v>15</v>
      </c>
      <c r="H174" s="98" t="s">
        <v>16</v>
      </c>
      <c r="I174" s="98" t="s">
        <v>609</v>
      </c>
      <c r="J174" s="21"/>
      <c r="K174" s="21"/>
      <c r="L174" s="99"/>
      <c r="M174" s="98"/>
    </row>
    <row r="175" spans="1:16" s="11" customFormat="1" x14ac:dyDescent="0.2">
      <c r="A175" s="98">
        <v>199</v>
      </c>
      <c r="B175" s="95">
        <v>44377</v>
      </c>
      <c r="C175" s="98" t="s">
        <v>269</v>
      </c>
      <c r="D175" s="98" t="s">
        <v>611</v>
      </c>
      <c r="E175" s="98" t="s">
        <v>140</v>
      </c>
      <c r="F175" s="98" t="s">
        <v>19</v>
      </c>
      <c r="G175" s="98" t="s">
        <v>15</v>
      </c>
      <c r="H175" s="98" t="s">
        <v>16</v>
      </c>
      <c r="I175" s="98" t="s">
        <v>612</v>
      </c>
      <c r="J175" s="21">
        <v>-118.55</v>
      </c>
      <c r="K175" s="21">
        <v>33.47</v>
      </c>
      <c r="L175" s="99" t="s">
        <v>610</v>
      </c>
      <c r="M175" s="98"/>
    </row>
    <row r="176" spans="1:16" s="103" customFormat="1" x14ac:dyDescent="0.2">
      <c r="A176" s="98">
        <v>200</v>
      </c>
      <c r="B176" s="95">
        <v>44382</v>
      </c>
      <c r="C176" s="98" t="s">
        <v>28</v>
      </c>
      <c r="D176" s="98" t="s">
        <v>613</v>
      </c>
      <c r="E176" s="98" t="s">
        <v>140</v>
      </c>
      <c r="F176" s="98" t="s">
        <v>44</v>
      </c>
      <c r="G176" s="98" t="s">
        <v>15</v>
      </c>
      <c r="H176" s="98" t="s">
        <v>16</v>
      </c>
      <c r="I176" s="98" t="s">
        <v>614</v>
      </c>
      <c r="J176" s="21">
        <v>-121.22199999999999</v>
      </c>
      <c r="K176" s="21">
        <v>35.582999999999998</v>
      </c>
      <c r="L176" s="99" t="s">
        <v>615</v>
      </c>
      <c r="M176" s="98"/>
    </row>
    <row r="177" spans="1:14" s="11" customFormat="1" x14ac:dyDescent="0.2">
      <c r="A177" s="98">
        <v>202</v>
      </c>
      <c r="B177" s="95">
        <v>44472</v>
      </c>
      <c r="C177" s="123">
        <v>0.375</v>
      </c>
      <c r="D177" s="98" t="s">
        <v>42</v>
      </c>
      <c r="E177" s="98" t="s">
        <v>56</v>
      </c>
      <c r="F177" s="98" t="s">
        <v>76</v>
      </c>
      <c r="G177" s="98" t="s">
        <v>14</v>
      </c>
      <c r="H177" s="98" t="s">
        <v>15</v>
      </c>
      <c r="I177" s="98" t="s">
        <v>16</v>
      </c>
      <c r="J177" s="98" t="s">
        <v>623</v>
      </c>
      <c r="K177" s="21">
        <v>-123.77666670000001</v>
      </c>
      <c r="L177" s="21">
        <v>38.358333330000001</v>
      </c>
      <c r="M177" s="99" t="s">
        <v>624</v>
      </c>
      <c r="N177" s="98"/>
    </row>
    <row r="178" spans="1:14" s="11" customFormat="1" x14ac:dyDescent="0.2">
      <c r="A178" s="98">
        <v>203</v>
      </c>
      <c r="B178" s="95">
        <v>44552</v>
      </c>
      <c r="C178" s="123">
        <v>0.66666666666666663</v>
      </c>
      <c r="D178" s="98" t="s">
        <v>42</v>
      </c>
      <c r="E178" s="98" t="s">
        <v>56</v>
      </c>
      <c r="F178" s="98" t="s">
        <v>76</v>
      </c>
      <c r="G178" s="98" t="s">
        <v>44</v>
      </c>
      <c r="H178" s="98" t="s">
        <v>15</v>
      </c>
      <c r="I178" s="98" t="s">
        <v>16</v>
      </c>
      <c r="J178" s="98" t="s">
        <v>630</v>
      </c>
      <c r="K178" s="21">
        <v>-123.8766667</v>
      </c>
      <c r="L178" s="21">
        <v>38.358333332999997</v>
      </c>
      <c r="M178" s="99" t="s">
        <v>631</v>
      </c>
      <c r="N178" s="98"/>
    </row>
    <row r="179" spans="1:14" s="11" customFormat="1" x14ac:dyDescent="0.2">
      <c r="A179" s="98">
        <v>204</v>
      </c>
      <c r="B179" s="95">
        <v>44554</v>
      </c>
      <c r="C179" s="123">
        <v>0.44444444444444442</v>
      </c>
      <c r="D179" s="98" t="s">
        <v>28</v>
      </c>
      <c r="E179" s="98" t="s">
        <v>632</v>
      </c>
      <c r="F179" s="98" t="s">
        <v>76</v>
      </c>
      <c r="G179" s="98" t="s">
        <v>23</v>
      </c>
      <c r="H179" s="98" t="s">
        <v>15</v>
      </c>
      <c r="I179" s="98" t="s">
        <v>16</v>
      </c>
      <c r="J179" s="98" t="s">
        <v>633</v>
      </c>
      <c r="K179" s="21">
        <v>-121.175</v>
      </c>
      <c r="L179" s="21">
        <v>35.403333330000002</v>
      </c>
      <c r="M179" s="99" t="s">
        <v>624</v>
      </c>
      <c r="N179" s="98"/>
    </row>
    <row r="180" spans="1:14" s="11" customFormat="1" x14ac:dyDescent="0.2">
      <c r="A180" s="99">
        <v>205</v>
      </c>
      <c r="B180" s="100">
        <v>44618</v>
      </c>
      <c r="C180" s="125">
        <v>0.47916666666666669</v>
      </c>
      <c r="D180" s="99" t="s">
        <v>94</v>
      </c>
      <c r="E180" s="99" t="s">
        <v>685</v>
      </c>
      <c r="F180" s="99" t="s">
        <v>60</v>
      </c>
      <c r="G180" s="99" t="s">
        <v>14</v>
      </c>
      <c r="H180" s="99" t="s">
        <v>15</v>
      </c>
      <c r="I180" s="99" t="s">
        <v>16</v>
      </c>
      <c r="J180" s="98" t="s">
        <v>687</v>
      </c>
      <c r="K180" s="21">
        <v>-120.83666669999999</v>
      </c>
      <c r="L180" s="21">
        <v>34.04</v>
      </c>
      <c r="M180" s="99" t="s">
        <v>686</v>
      </c>
      <c r="N180" s="98"/>
    </row>
  </sheetData>
  <autoFilter ref="A1:I164" xr:uid="{00000000-0009-0000-0000-000001000000}"/>
  <sortState xmlns:xlrd2="http://schemas.microsoft.com/office/spreadsheetml/2017/richdata2" ref="A2:F155">
    <sortCondition ref="B2:B155"/>
  </sortState>
  <dataValidations count="4">
    <dataValidation allowBlank="1" showErrorMessage="1" sqref="E1:F1 C1" xr:uid="{00000000-0002-0000-0100-000000000000}"/>
    <dataValidation type="list" allowBlank="1" showErrorMessage="1" sqref="F2:F162" xr:uid="{00000000-0002-0000-0100-000001000000}">
      <formula1>Injury</formula1>
    </dataValidation>
    <dataValidation type="list" allowBlank="1" showErrorMessage="1" sqref="C2:C162" xr:uid="{00000000-0002-0000-0100-000002000000}">
      <formula1>County</formula1>
    </dataValidation>
    <dataValidation type="list" allowBlank="1" showErrorMessage="1" sqref="E2:E131" xr:uid="{00000000-0002-0000-0100-000003000000}">
      <formula1>Mode</formula1>
    </dataValidation>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6"/>
  <sheetViews>
    <sheetView workbookViewId="0">
      <selection activeCell="A17" sqref="A17"/>
    </sheetView>
  </sheetViews>
  <sheetFormatPr defaultRowHeight="15" x14ac:dyDescent="0.25"/>
  <cols>
    <col min="1" max="1" width="15.28515625" bestFit="1" customWidth="1"/>
    <col min="2" max="2" width="15.140625" customWidth="1"/>
    <col min="3" max="3" width="23" customWidth="1"/>
    <col min="4" max="4" width="39.7109375" bestFit="1" customWidth="1"/>
    <col min="5" max="5" width="22.42578125" bestFit="1" customWidth="1"/>
    <col min="6" max="6" width="7.42578125" bestFit="1" customWidth="1"/>
    <col min="7" max="7" width="12.5703125" bestFit="1" customWidth="1"/>
    <col min="8" max="8" width="15" bestFit="1" customWidth="1"/>
    <col min="9" max="9" width="133.28515625" bestFit="1" customWidth="1"/>
  </cols>
  <sheetData>
    <row r="1" spans="1:14" ht="15.75" x14ac:dyDescent="0.25">
      <c r="A1" s="14" t="s">
        <v>440</v>
      </c>
      <c r="B1" s="15" t="s">
        <v>0</v>
      </c>
      <c r="C1" s="16" t="s">
        <v>1</v>
      </c>
      <c r="D1" s="16" t="s">
        <v>2</v>
      </c>
      <c r="E1" s="16" t="s">
        <v>3</v>
      </c>
      <c r="F1" s="16" t="s">
        <v>4</v>
      </c>
      <c r="G1" s="16" t="s">
        <v>5</v>
      </c>
      <c r="H1" s="16" t="s">
        <v>6</v>
      </c>
      <c r="I1" s="17" t="s">
        <v>7</v>
      </c>
    </row>
    <row r="2" spans="1:14" ht="15.75" x14ac:dyDescent="0.25">
      <c r="A2" s="18">
        <v>3</v>
      </c>
      <c r="B2" s="19">
        <v>19335</v>
      </c>
      <c r="C2" s="3" t="s">
        <v>22</v>
      </c>
      <c r="D2" s="3" t="s">
        <v>428</v>
      </c>
      <c r="E2" s="3" t="s">
        <v>13</v>
      </c>
      <c r="F2" s="3" t="s">
        <v>23</v>
      </c>
      <c r="G2" s="3" t="s">
        <v>15</v>
      </c>
      <c r="H2" s="3" t="s">
        <v>16</v>
      </c>
      <c r="I2" s="20" t="s">
        <v>24</v>
      </c>
    </row>
    <row r="3" spans="1:14" ht="15.75" x14ac:dyDescent="0.25">
      <c r="A3" s="18">
        <v>6</v>
      </c>
      <c r="B3" s="19">
        <v>20938</v>
      </c>
      <c r="C3" s="3" t="s">
        <v>28</v>
      </c>
      <c r="D3" s="3" t="s">
        <v>31</v>
      </c>
      <c r="E3" s="3" t="s">
        <v>13</v>
      </c>
      <c r="F3" s="3" t="s">
        <v>23</v>
      </c>
      <c r="G3" s="3" t="s">
        <v>15</v>
      </c>
      <c r="H3" s="3" t="s">
        <v>16</v>
      </c>
      <c r="I3" s="20" t="s">
        <v>32</v>
      </c>
    </row>
    <row r="4" spans="1:14" ht="15.75" x14ac:dyDescent="0.25">
      <c r="A4" s="18">
        <v>8</v>
      </c>
      <c r="B4" s="19">
        <v>21677</v>
      </c>
      <c r="C4" s="3" t="s">
        <v>35</v>
      </c>
      <c r="D4" s="3" t="s">
        <v>36</v>
      </c>
      <c r="E4" s="3" t="s">
        <v>13</v>
      </c>
      <c r="F4" s="3" t="s">
        <v>23</v>
      </c>
      <c r="G4" s="3" t="s">
        <v>15</v>
      </c>
      <c r="H4" s="3" t="s">
        <v>16</v>
      </c>
      <c r="I4" s="20" t="s">
        <v>37</v>
      </c>
    </row>
    <row r="5" spans="1:14" ht="15.75" x14ac:dyDescent="0.25">
      <c r="A5" s="18">
        <v>9</v>
      </c>
      <c r="B5" s="19">
        <v>21715</v>
      </c>
      <c r="C5" s="3" t="s">
        <v>11</v>
      </c>
      <c r="D5" s="3" t="s">
        <v>38</v>
      </c>
      <c r="E5" s="3" t="s">
        <v>26</v>
      </c>
      <c r="F5" s="3" t="s">
        <v>23</v>
      </c>
      <c r="G5" s="3" t="s">
        <v>15</v>
      </c>
      <c r="H5" s="3" t="s">
        <v>16</v>
      </c>
      <c r="I5" s="20" t="s">
        <v>39</v>
      </c>
    </row>
    <row r="6" spans="1:14" ht="15.75" x14ac:dyDescent="0.25">
      <c r="A6" s="18">
        <v>45</v>
      </c>
      <c r="B6" s="19">
        <v>29939</v>
      </c>
      <c r="C6" s="3" t="s">
        <v>22</v>
      </c>
      <c r="D6" s="3" t="s">
        <v>107</v>
      </c>
      <c r="E6" s="3" t="s">
        <v>76</v>
      </c>
      <c r="F6" s="3" t="s">
        <v>23</v>
      </c>
      <c r="G6" s="3" t="s">
        <v>15</v>
      </c>
      <c r="H6" s="3" t="s">
        <v>16</v>
      </c>
      <c r="I6" s="20" t="s">
        <v>108</v>
      </c>
    </row>
    <row r="7" spans="1:14" ht="15.75" x14ac:dyDescent="0.25">
      <c r="A7" s="18">
        <v>50</v>
      </c>
      <c r="B7" s="19">
        <v>30940</v>
      </c>
      <c r="C7" s="3" t="s">
        <v>66</v>
      </c>
      <c r="D7" s="3" t="s">
        <v>431</v>
      </c>
      <c r="E7" s="3" t="s">
        <v>26</v>
      </c>
      <c r="F7" s="3" t="s">
        <v>23</v>
      </c>
      <c r="G7" s="3" t="s">
        <v>15</v>
      </c>
      <c r="H7" s="3" t="s">
        <v>16</v>
      </c>
      <c r="I7" s="20" t="s">
        <v>118</v>
      </c>
    </row>
    <row r="8" spans="1:14" ht="15.75" x14ac:dyDescent="0.25">
      <c r="A8" s="18">
        <v>62</v>
      </c>
      <c r="B8" s="19">
        <v>32534</v>
      </c>
      <c r="C8" s="3" t="s">
        <v>46</v>
      </c>
      <c r="D8" s="3" t="s">
        <v>139</v>
      </c>
      <c r="E8" s="3" t="s">
        <v>140</v>
      </c>
      <c r="F8" s="3" t="s">
        <v>23</v>
      </c>
      <c r="G8" s="3" t="s">
        <v>15</v>
      </c>
      <c r="H8" s="3" t="s">
        <v>16</v>
      </c>
      <c r="I8" s="20" t="s">
        <v>141</v>
      </c>
    </row>
    <row r="9" spans="1:14" ht="15.75" x14ac:dyDescent="0.25">
      <c r="A9" s="18">
        <v>82</v>
      </c>
      <c r="B9" s="19">
        <v>34677</v>
      </c>
      <c r="C9" s="3" t="s">
        <v>94</v>
      </c>
      <c r="D9" s="3" t="s">
        <v>435</v>
      </c>
      <c r="E9" s="3" t="s">
        <v>71</v>
      </c>
      <c r="F9" s="3" t="s">
        <v>23</v>
      </c>
      <c r="G9" s="3" t="s">
        <v>177</v>
      </c>
      <c r="H9" s="3" t="s">
        <v>16</v>
      </c>
      <c r="I9" s="20" t="s">
        <v>178</v>
      </c>
    </row>
    <row r="10" spans="1:14" ht="15.75" x14ac:dyDescent="0.25">
      <c r="A10" s="18">
        <v>100</v>
      </c>
      <c r="B10" s="19">
        <v>37852</v>
      </c>
      <c r="C10" s="3" t="s">
        <v>28</v>
      </c>
      <c r="D10" s="3" t="s">
        <v>203</v>
      </c>
      <c r="E10" s="3" t="s">
        <v>13</v>
      </c>
      <c r="F10" s="3" t="s">
        <v>23</v>
      </c>
      <c r="G10" s="3" t="s">
        <v>15</v>
      </c>
      <c r="H10" s="3" t="s">
        <v>16</v>
      </c>
      <c r="I10" s="20" t="s">
        <v>204</v>
      </c>
    </row>
    <row r="11" spans="1:14" ht="15.75" x14ac:dyDescent="0.25">
      <c r="A11" s="18">
        <v>103</v>
      </c>
      <c r="B11" s="19">
        <v>38214</v>
      </c>
      <c r="C11" s="3" t="s">
        <v>78</v>
      </c>
      <c r="D11" s="3" t="s">
        <v>210</v>
      </c>
      <c r="E11" s="3" t="s">
        <v>26</v>
      </c>
      <c r="F11" s="3" t="s">
        <v>23</v>
      </c>
      <c r="G11" s="3" t="s">
        <v>15</v>
      </c>
      <c r="H11" s="3" t="s">
        <v>16</v>
      </c>
      <c r="I11" s="20" t="s">
        <v>211</v>
      </c>
    </row>
    <row r="12" spans="1:14" ht="15.75" x14ac:dyDescent="0.25">
      <c r="A12" s="18">
        <v>127</v>
      </c>
      <c r="B12" s="19">
        <v>39563</v>
      </c>
      <c r="C12" s="5" t="s">
        <v>11</v>
      </c>
      <c r="D12" s="5" t="s">
        <v>266</v>
      </c>
      <c r="E12" s="5" t="s">
        <v>13</v>
      </c>
      <c r="F12" s="5" t="s">
        <v>23</v>
      </c>
      <c r="G12" s="5" t="s">
        <v>15</v>
      </c>
      <c r="H12" s="3" t="s">
        <v>16</v>
      </c>
      <c r="I12" s="20" t="s">
        <v>267</v>
      </c>
    </row>
    <row r="13" spans="1:14" ht="15.75" x14ac:dyDescent="0.25">
      <c r="A13" s="18">
        <v>139</v>
      </c>
      <c r="B13" s="19">
        <v>40473</v>
      </c>
      <c r="C13" s="3" t="s">
        <v>69</v>
      </c>
      <c r="D13" s="3" t="s">
        <v>272</v>
      </c>
      <c r="E13" s="3" t="s">
        <v>76</v>
      </c>
      <c r="F13" s="3" t="s">
        <v>23</v>
      </c>
      <c r="G13" s="3" t="s">
        <v>15</v>
      </c>
      <c r="H13" s="3" t="s">
        <v>16</v>
      </c>
      <c r="I13" s="20" t="s">
        <v>192</v>
      </c>
    </row>
    <row r="14" spans="1:14" ht="15.75" x14ac:dyDescent="0.25">
      <c r="A14" s="18">
        <v>150</v>
      </c>
      <c r="B14" s="19">
        <v>41205</v>
      </c>
      <c r="C14" s="3" t="s">
        <v>69</v>
      </c>
      <c r="D14" s="3" t="s">
        <v>272</v>
      </c>
      <c r="E14" s="3" t="s">
        <v>76</v>
      </c>
      <c r="F14" s="3" t="s">
        <v>23</v>
      </c>
      <c r="G14" s="3" t="s">
        <v>15</v>
      </c>
      <c r="H14" s="3" t="s">
        <v>16</v>
      </c>
      <c r="I14" s="20" t="s">
        <v>310</v>
      </c>
    </row>
    <row r="15" spans="1:14" ht="15.75" x14ac:dyDescent="0.25">
      <c r="A15" s="98">
        <v>192</v>
      </c>
      <c r="B15" s="95">
        <v>43960</v>
      </c>
      <c r="C15" s="98" t="s">
        <v>52</v>
      </c>
      <c r="D15" s="98" t="s">
        <v>516</v>
      </c>
      <c r="E15" s="98" t="s">
        <v>76</v>
      </c>
      <c r="F15" s="98" t="s">
        <v>23</v>
      </c>
      <c r="G15" s="98" t="s">
        <v>15</v>
      </c>
      <c r="H15" s="98" t="s">
        <v>16</v>
      </c>
      <c r="I15" s="104" t="s">
        <v>518</v>
      </c>
      <c r="J15" s="24"/>
      <c r="K15" s="24"/>
      <c r="L15" s="101"/>
      <c r="M15" s="77"/>
      <c r="N15" s="77"/>
    </row>
    <row r="16" spans="1:14" s="11" customFormat="1" x14ac:dyDescent="0.2">
      <c r="A16" s="98">
        <v>204</v>
      </c>
      <c r="B16" s="95">
        <v>44554</v>
      </c>
      <c r="C16" s="98" t="s">
        <v>28</v>
      </c>
      <c r="D16" s="98" t="s">
        <v>632</v>
      </c>
      <c r="E16" s="98" t="s">
        <v>76</v>
      </c>
      <c r="F16" s="98" t="s">
        <v>23</v>
      </c>
      <c r="G16" s="98" t="s">
        <v>15</v>
      </c>
      <c r="H16" s="98" t="s">
        <v>16</v>
      </c>
      <c r="I16" s="98" t="s">
        <v>633</v>
      </c>
      <c r="J16" s="21">
        <v>-121.175</v>
      </c>
      <c r="K16" s="21">
        <v>35.403333330000002</v>
      </c>
      <c r="L16" s="99" t="s">
        <v>624</v>
      </c>
      <c r="M16" s="98"/>
    </row>
  </sheetData>
  <sortState xmlns:xlrd2="http://schemas.microsoft.com/office/spreadsheetml/2017/richdata2" ref="A2:I14">
    <sortCondition ref="B2:B14"/>
  </sortState>
  <dataValidations count="4">
    <dataValidation type="list" allowBlank="1" showErrorMessage="1" sqref="E2:E14" xr:uid="{00000000-0002-0000-0200-000000000000}">
      <formula1>Mode</formula1>
    </dataValidation>
    <dataValidation type="list" allowBlank="1" showErrorMessage="1" sqref="F2:F14" xr:uid="{00000000-0002-0000-0200-000001000000}">
      <formula1>Injury</formula1>
    </dataValidation>
    <dataValidation type="list" allowBlank="1" showErrorMessage="1" sqref="C2:C14" xr:uid="{00000000-0002-0000-0200-000002000000}">
      <formula1>County</formula1>
    </dataValidation>
    <dataValidation allowBlank="1" showErrorMessage="1" sqref="E1:F1 C1" xr:uid="{00000000-0002-0000-0200-000003000000}"/>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03"/>
  <sheetViews>
    <sheetView workbookViewId="0">
      <pane ySplit="1" topLeftCell="A8" activePane="bottomLeft" state="frozen"/>
      <selection pane="bottomLeft" activeCell="C205" sqref="C205"/>
    </sheetView>
  </sheetViews>
  <sheetFormatPr defaultRowHeight="15.75" x14ac:dyDescent="0.25"/>
  <cols>
    <col min="1" max="1" width="15.28515625" style="11" bestFit="1" customWidth="1"/>
    <col min="2" max="2" width="12.7109375" style="11" bestFit="1" customWidth="1"/>
    <col min="3" max="3" width="21.140625" style="11" bestFit="1" customWidth="1"/>
    <col min="4" max="4" width="13.5703125" style="11" bestFit="1" customWidth="1"/>
    <col min="5" max="5" width="15.7109375" style="11" bestFit="1" customWidth="1"/>
    <col min="7" max="7" width="21.140625" bestFit="1" customWidth="1"/>
    <col min="11" max="11" width="10.140625" bestFit="1" customWidth="1"/>
    <col min="17" max="17" width="12.7109375" bestFit="1" customWidth="1"/>
    <col min="18" max="19" width="9.140625" style="11"/>
  </cols>
  <sheetData>
    <row r="1" spans="1:19" x14ac:dyDescent="0.25">
      <c r="A1" s="14" t="s">
        <v>440</v>
      </c>
      <c r="B1" s="15" t="s">
        <v>0</v>
      </c>
      <c r="C1" s="16" t="s">
        <v>1</v>
      </c>
      <c r="D1" s="16" t="s">
        <v>671</v>
      </c>
      <c r="E1" s="16" t="s">
        <v>4</v>
      </c>
      <c r="G1" s="37" t="s">
        <v>1</v>
      </c>
      <c r="H1" s="38" t="s">
        <v>361</v>
      </c>
      <c r="I1" s="38" t="s">
        <v>362</v>
      </c>
      <c r="J1" s="39" t="s">
        <v>363</v>
      </c>
      <c r="K1" s="39" t="s">
        <v>364</v>
      </c>
      <c r="L1" s="39" t="s">
        <v>365</v>
      </c>
      <c r="M1" s="39" t="s">
        <v>366</v>
      </c>
      <c r="N1" s="39" t="s">
        <v>367</v>
      </c>
      <c r="O1" s="39" t="s">
        <v>368</v>
      </c>
      <c r="P1" s="39" t="s">
        <v>498</v>
      </c>
      <c r="Q1" s="39" t="s">
        <v>670</v>
      </c>
      <c r="R1" s="39" t="s">
        <v>4</v>
      </c>
      <c r="S1" s="39" t="s">
        <v>442</v>
      </c>
    </row>
    <row r="2" spans="1:19" x14ac:dyDescent="0.25">
      <c r="A2" s="18">
        <v>1</v>
      </c>
      <c r="B2" s="19">
        <v>18544</v>
      </c>
      <c r="C2" s="3" t="s">
        <v>11</v>
      </c>
      <c r="D2" s="3" t="s">
        <v>14</v>
      </c>
      <c r="E2" s="3" t="s">
        <v>443</v>
      </c>
      <c r="F2" s="40"/>
      <c r="G2" s="41" t="s">
        <v>136</v>
      </c>
      <c r="H2" s="42">
        <f>COUNTIFS(C:C,"Del Norte")</f>
        <v>3</v>
      </c>
      <c r="I2" s="42">
        <f>COUNTIFS(C:C,"Del Norte",B:B,"&gt;12/31/1949",B:B,"&lt;1/1/1960")</f>
        <v>0</v>
      </c>
      <c r="J2" s="43">
        <f>COUNTIFS(C:C,"Del Norte",B:B,"&gt;12/31/1959",B:B,"&lt;1/1/1970")</f>
        <v>0</v>
      </c>
      <c r="K2" s="44">
        <f>COUNTIFS(C:C,"Del Norte",B:B,"&gt;12/31/1969",B:B,"&lt;1/1/1980")</f>
        <v>0</v>
      </c>
      <c r="L2" s="43">
        <f>COUNTIFS(C:C,"Del Norte",B:B,"&gt;12/31/1979",B:B,"&lt;1/1/1990")</f>
        <v>1</v>
      </c>
      <c r="M2" s="43">
        <f>COUNTIFS(C:C,"Del Norte",B:B,"&gt;12/31/1989",B:B,"&lt;1/1/2000")</f>
        <v>1</v>
      </c>
      <c r="N2" s="43">
        <f>COUNTIFS(C:C,"Del Norte",B:B,"&gt;12/31/1999",B:B,"&lt;1/1/2010")</f>
        <v>1</v>
      </c>
      <c r="O2" s="43">
        <f>COUNTIFS(C:C,"Del Norte",B:B,"&gt;12/31/2009",B:B,"&lt;1/1/2020")</f>
        <v>0</v>
      </c>
      <c r="P2" s="43">
        <f>COUNTIFS(C:C,"Del Norte",B:B,"&gt;12/31/2019",B:B,"&lt;1/1/2030")</f>
        <v>0</v>
      </c>
      <c r="Q2" s="42">
        <f>COUNTIFS(C:C,"Del Norte",E:E,"No Injury")</f>
        <v>1</v>
      </c>
      <c r="R2" s="11">
        <f>COUNTIFS(C:C,"Del Norte",E:E,"Non-fatal Injury")</f>
        <v>2</v>
      </c>
      <c r="S2" s="11">
        <f>COUNTIFS(C:C,"Del Norte",E:E,"Fatality")</f>
        <v>0</v>
      </c>
    </row>
    <row r="3" spans="1:19" x14ac:dyDescent="0.25">
      <c r="A3" s="18">
        <v>2</v>
      </c>
      <c r="B3" s="19">
        <v>19141</v>
      </c>
      <c r="C3" s="3" t="s">
        <v>11</v>
      </c>
      <c r="D3" s="3" t="s">
        <v>19</v>
      </c>
      <c r="E3" s="3" t="s">
        <v>443</v>
      </c>
      <c r="F3" s="45"/>
      <c r="G3" s="46" t="s">
        <v>97</v>
      </c>
      <c r="H3" s="42">
        <f>COUNTIFS(C:C,"Humboldt")</f>
        <v>18</v>
      </c>
      <c r="I3" s="42">
        <f>COUNTIFS(C:C,"Humboldt",B:B,"&gt;12/31/1949",B:B,"&lt;1/1/1960")</f>
        <v>0</v>
      </c>
      <c r="J3" s="43">
        <f>COUNTIFS(C:C,"Humboldt",B:B,"&gt;12/31/1959",B:B,"&lt;1/1/1970")</f>
        <v>0</v>
      </c>
      <c r="K3" s="44">
        <f>COUNTIFS(C:C,"Humboldt",B:B,"&gt;12/31/1969",B:B,"&lt;1/1/1980")</f>
        <v>1</v>
      </c>
      <c r="L3" s="43">
        <f>COUNTIFS(C:C,"Humboldt",B:B,"&gt;12/31/1979",B:B,"&lt;1/1/1990")</f>
        <v>1</v>
      </c>
      <c r="M3" s="43">
        <f>COUNTIFS(C:C,"Humboldt",B:B,"&gt;12/31/1989",B:B,"&lt;1/1/2000")</f>
        <v>6</v>
      </c>
      <c r="N3" s="43">
        <f>COUNTIFS(C:C,"Humboldt",B:B,"&gt;12/31/1999",B:B,"&lt;1/1/2010")</f>
        <v>4</v>
      </c>
      <c r="O3" s="43">
        <f>COUNTIFS(C:C,"Humboldt",B:B,"&gt;12/31/2009",B:B,"&lt;1/1/2020")</f>
        <v>4</v>
      </c>
      <c r="P3" s="43">
        <f>COUNTIFS(C:C,"Humboldt",B:B,"&gt;12/31/2019",B:B,"&lt;1/1/2030")</f>
        <v>2</v>
      </c>
      <c r="Q3" s="42">
        <f>COUNTIFS(C:C,"Humboldt",E:E,"No Injury")</f>
        <v>9</v>
      </c>
      <c r="R3" s="11">
        <f>COUNTIFS(C:C,"Humboldt",E:E,"Non-fatal Injury")</f>
        <v>9</v>
      </c>
      <c r="S3" s="11">
        <f>COUNTIFS(C:C,"Humboldt",E:E,"Fatality")</f>
        <v>0</v>
      </c>
    </row>
    <row r="4" spans="1:19" x14ac:dyDescent="0.25">
      <c r="A4" s="18">
        <v>3</v>
      </c>
      <c r="B4" s="19">
        <v>19335</v>
      </c>
      <c r="C4" s="3" t="s">
        <v>22</v>
      </c>
      <c r="D4" s="3" t="s">
        <v>23</v>
      </c>
      <c r="E4" s="3" t="s">
        <v>442</v>
      </c>
      <c r="F4" s="40"/>
      <c r="G4" s="48" t="s">
        <v>78</v>
      </c>
      <c r="H4" s="42">
        <f>COUNTIFS(C:C,"Mendocino")</f>
        <v>5</v>
      </c>
      <c r="I4" s="42">
        <f>COUNTIFS(C:C,"Mendocino",B:B,"&gt;12/31/1949",B:B,"&lt;1/1/1960")</f>
        <v>0</v>
      </c>
      <c r="J4" s="43">
        <f>COUNTIFS(C:C,"Mendocino",B:B,"&gt;12/31/1959",B:B,"&lt;1/1/1970")</f>
        <v>0</v>
      </c>
      <c r="K4" s="44">
        <f>COUNTIFS(C:C,"Mendocino",B:B,"&gt;12/31/1969",B:B,"&lt;1/1/1980")</f>
        <v>2</v>
      </c>
      <c r="L4" s="43">
        <f>COUNTIFS(C:C,"Mendocino",B:B,"&gt;12/31/1979",B:B,"&lt;1/1/1990")</f>
        <v>1</v>
      </c>
      <c r="M4" s="43">
        <f>COUNTIFS(C:C,"Mendocino",B:B,"&gt;12/31/1989",B:B,"&lt;1/1/2000")</f>
        <v>1</v>
      </c>
      <c r="N4" s="43">
        <f>COUNTIFS(C:C,"Mendocino",B:B,"&gt;12/31/1999",B:B,"&lt;1/1/2010")</f>
        <v>1</v>
      </c>
      <c r="O4" s="43">
        <f>COUNTIFS(C:C,"Mendocino",B:B,"&gt;12/31/2009",B:B,"&lt;1/1/2020")</f>
        <v>0</v>
      </c>
      <c r="P4" s="43">
        <f>COUNTIFS(C:C,"Mendocino",B:B,"&gt;12/31/2019",B:B,"&lt;1/1/2030")</f>
        <v>0</v>
      </c>
      <c r="Q4" s="42">
        <f>COUNTIFS(C:C,"Mendocino",E:E,"No Injury")</f>
        <v>0</v>
      </c>
      <c r="R4" s="11">
        <f>COUNTIFS(C:C,"Mendocino",E:E,"Non-fatal Injury")</f>
        <v>4</v>
      </c>
      <c r="S4" s="11">
        <f>COUNTIFS(C:C,"Mendocino",E:E,"Fatality")</f>
        <v>1</v>
      </c>
    </row>
    <row r="5" spans="1:19" x14ac:dyDescent="0.25">
      <c r="A5" s="18">
        <v>4</v>
      </c>
      <c r="B5" s="19">
        <v>20126</v>
      </c>
      <c r="C5" s="3" t="s">
        <v>22</v>
      </c>
      <c r="D5" s="3" t="s">
        <v>19</v>
      </c>
      <c r="E5" s="3" t="s">
        <v>443</v>
      </c>
      <c r="F5" s="40"/>
      <c r="G5" s="11" t="s">
        <v>42</v>
      </c>
      <c r="H5" s="42">
        <f>COUNTIFS(C:C,"Sonoma")</f>
        <v>15</v>
      </c>
      <c r="I5" s="42">
        <f>COUNTIFS(C:C,"Sonoma",B:B,"&gt;12/31/1949",B:B,"&lt;1/1/1960")</f>
        <v>1</v>
      </c>
      <c r="J5" s="43">
        <f>COUNTIFS(C:C,"Sonoma",B:B,"&gt;12/31/1959",B:B,"&lt;1/1/1970")</f>
        <v>2</v>
      </c>
      <c r="K5" s="44">
        <f>COUNTIFS(C:C,"Sonoma",B:B,"&gt;12/31/1969",B:B,"&lt;1/1/1980")</f>
        <v>1</v>
      </c>
      <c r="L5" s="43">
        <f>COUNTIFS(C:C,"Sonoma",B:B,"&gt;12/31/1979",B:B,"&lt;1/1/1990")</f>
        <v>1</v>
      </c>
      <c r="M5" s="43">
        <f>COUNTIFS(C:C,"Sonoma",B:B,"&gt;12/31/1989",B:B,"&lt;1/1/2000")</f>
        <v>4</v>
      </c>
      <c r="N5" s="43">
        <f>COUNTIFS(C:C,"Sonoma",B:B,"&gt;12/31/1999",B:B,"&lt;1/1/2010")</f>
        <v>3</v>
      </c>
      <c r="O5" s="43">
        <f>COUNTIFS(C:C,"Sonoma",B:B,"&gt;12/31/2009",B:B,"&lt;1/1/2020")</f>
        <v>1</v>
      </c>
      <c r="P5" s="43">
        <f>COUNTIFS(C:C,"Sonoma",B:B,"&gt;12/31/2019",B:B,"&lt;1/1/2030")</f>
        <v>2</v>
      </c>
      <c r="Q5" s="42">
        <f>COUNTIFS(C:C,"Sonoma",E:E,"No Injury")</f>
        <v>6</v>
      </c>
      <c r="R5" s="11">
        <f>COUNTIFS(C:C,"Sonoma",E:E,"Non-fatal Injury")</f>
        <v>9</v>
      </c>
      <c r="S5" s="11">
        <f>COUNTIFS(C:C,"Sonoma",E:E,"Fatality")</f>
        <v>0</v>
      </c>
    </row>
    <row r="6" spans="1:19" x14ac:dyDescent="0.25">
      <c r="A6" s="18">
        <v>5</v>
      </c>
      <c r="B6" s="19">
        <v>20681</v>
      </c>
      <c r="C6" s="3" t="s">
        <v>28</v>
      </c>
      <c r="D6" s="3" t="s">
        <v>14</v>
      </c>
      <c r="E6" s="3" t="s">
        <v>443</v>
      </c>
      <c r="G6" s="48" t="s">
        <v>50</v>
      </c>
      <c r="H6" s="42">
        <f>COUNTIFS(C:C,"Marin")</f>
        <v>16</v>
      </c>
      <c r="I6" s="42">
        <f>COUNTIFS(C:C,"Marin",B:B,"&gt;12/31/1949",B:B,"&lt;1/1/1960")</f>
        <v>0</v>
      </c>
      <c r="J6" s="43">
        <f>COUNTIFS(C:C,"Marin",B:B,"&gt;12/31/1959",B:B,"&lt;1/1/1970")</f>
        <v>3</v>
      </c>
      <c r="K6" s="44">
        <f>COUNTIFS(C:C,"Marin",B:B,"&gt;12/31/1969",B:B,"&lt;1/1/1980")</f>
        <v>3</v>
      </c>
      <c r="L6" s="43">
        <f>COUNTIFS(C:C,"Marin",B:B,"&gt;12/31/1979",B:B,"&lt;1/1/1990")</f>
        <v>2</v>
      </c>
      <c r="M6" s="43">
        <f>COUNTIFS(C:C,"Marin",B:B,"&gt;12/31/1989",B:B,"&lt;1/1/2000")</f>
        <v>4</v>
      </c>
      <c r="N6" s="43">
        <f>COUNTIFS(C:C,"Marin",B:B,"&gt;12/31/1999",B:B,"&lt;1/1/2010")</f>
        <v>3</v>
      </c>
      <c r="O6" s="43">
        <f>COUNTIFS(C:C,"Marin",B:B,"&gt;12/31/2009",B:B,"&lt;1/1/2020")</f>
        <v>1</v>
      </c>
      <c r="P6" s="43">
        <f>COUNTIFS(C:C,"Marin",B:B,"&gt;12/31/2019",B:B,"&lt;1/1/2030")</f>
        <v>0</v>
      </c>
      <c r="Q6" s="42">
        <f>COUNTIFS(C:C,"Marin",E:E,"No Injury")</f>
        <v>3</v>
      </c>
      <c r="R6" s="11">
        <f>COUNTIFS(C:C,"Marin",E:E,"Non-fatal Injury")</f>
        <v>13</v>
      </c>
      <c r="S6" s="11">
        <f>COUNTIFS(C:C,"Marin",E:E,"Fatality")</f>
        <v>0</v>
      </c>
    </row>
    <row r="7" spans="1:19" x14ac:dyDescent="0.25">
      <c r="A7" s="18">
        <v>6</v>
      </c>
      <c r="B7" s="19">
        <v>20938</v>
      </c>
      <c r="C7" s="3" t="s">
        <v>28</v>
      </c>
      <c r="D7" s="3" t="s">
        <v>23</v>
      </c>
      <c r="E7" s="3" t="s">
        <v>442</v>
      </c>
      <c r="G7" s="11" t="s">
        <v>35</v>
      </c>
      <c r="H7" s="42">
        <f>COUNTIFS(C:C,"San Francisco")</f>
        <v>2</v>
      </c>
      <c r="I7" s="42">
        <f>COUNTIFS(C:C,"San Francisco",B:B,"&gt;12/31/1949",B:B,"&lt;1/1/1960")</f>
        <v>1</v>
      </c>
      <c r="J7" s="43">
        <f>COUNTIFS(C:C,"San Francisco",B:B,"&gt;12/31/1959",B:B,"&lt;1/1/1970")</f>
        <v>0</v>
      </c>
      <c r="K7" s="44">
        <f>COUNTIFS(C:C,"San Francisco",B:B,"&gt;12/31/1969",B:B,"&lt;1/1/1980")</f>
        <v>0</v>
      </c>
      <c r="L7" s="43">
        <f>COUNTIFS(C:C,"San Francisco",B:B,"&gt;12/31/1979",B:B,"&lt;1/1/1990")</f>
        <v>0</v>
      </c>
      <c r="M7" s="43">
        <f>COUNTIFS(C:C,"San Francisco",B:B,"&gt;12/31/1989",B:B,"&lt;1/1/2000")</f>
        <v>0</v>
      </c>
      <c r="N7" s="43">
        <f>COUNTIFS(C:C,"San Francisco",B:B,"&gt;12/31/1999",B:B,"&lt;1/1/2010")</f>
        <v>1</v>
      </c>
      <c r="O7" s="43">
        <f>COUNTIFS(C:C,"San Francisco",B:B,"&gt;12/31/2009",B:B,"&lt;1/1/2020")</f>
        <v>0</v>
      </c>
      <c r="P7" s="43">
        <f>COUNTIFS(C:C,"San Francisco",B:B,"&gt;12/31/2019",B:B,"&lt;1/1/2030")</f>
        <v>0</v>
      </c>
      <c r="Q7" s="42">
        <f>COUNTIFS(C:C,"San Francisco",E:E,"No Injury")</f>
        <v>1</v>
      </c>
      <c r="R7" s="11">
        <f>COUNTIFS(C:C,"San Francisco",E:E,"Non-fatal Injury")</f>
        <v>0</v>
      </c>
      <c r="S7" s="11">
        <f>COUNTIFS(C:C,"San Francisco",E:E,"Fatality")</f>
        <v>1</v>
      </c>
    </row>
    <row r="8" spans="1:19" x14ac:dyDescent="0.25">
      <c r="A8" s="18">
        <v>7</v>
      </c>
      <c r="B8" s="19">
        <v>21470</v>
      </c>
      <c r="C8" s="3" t="s">
        <v>11</v>
      </c>
      <c r="D8" s="3" t="s">
        <v>14</v>
      </c>
      <c r="E8" s="3" t="s">
        <v>443</v>
      </c>
      <c r="G8" s="41" t="s">
        <v>58</v>
      </c>
      <c r="H8" s="42">
        <f>COUNTIFS(C:C,"Island - Farallones")</f>
        <v>7</v>
      </c>
      <c r="I8" s="42">
        <f>COUNTIFS(C:C,"Island - Farallones",B:B,"&gt;12/31/1949",B:B,"&lt;1/1/1960")</f>
        <v>0</v>
      </c>
      <c r="J8" s="43">
        <f>COUNTIFS(C:C,"Island - Farallones",B:B,"&gt;12/31/1959",B:B,"&lt;1/1/1970")</f>
        <v>3</v>
      </c>
      <c r="K8" s="44">
        <f>COUNTIFS(C:C,"Island - Farallones",B:B,"&gt;12/31/1969",B:B,"&lt;1/1/1980")</f>
        <v>2</v>
      </c>
      <c r="L8" s="43">
        <f>COUNTIFS(C:C,"Island - Farallones",B:B,"&gt;12/31/1979",B:B,"&lt;1/1/1990")</f>
        <v>1</v>
      </c>
      <c r="M8" s="43">
        <f>COUNTIFS(C:C,"Island - Farallones",B:B,"&gt;12/31/1989",B:B,"&lt;1/1/2000")</f>
        <v>0</v>
      </c>
      <c r="N8" s="43">
        <f>COUNTIFS(C:C,"Island - Farallones",B:B,"&gt;12/31/1999",B:B,"&lt;1/1/2010")</f>
        <v>0</v>
      </c>
      <c r="O8" s="43">
        <f>COUNTIFS(C:C,"Island - Farallones",B:B,"&gt;12/31/2009",B:B,"&lt;1/1/2020")</f>
        <v>1</v>
      </c>
      <c r="P8" s="43">
        <f>COUNTIFS(C:C,"Island - Farallones",B:B,"&gt;12/31/2019",B:B,"&lt;1/1/2030")</f>
        <v>0</v>
      </c>
      <c r="Q8" s="42">
        <f>COUNTIFS(C:C,"Island - Farallones",E:E,"No Injury")</f>
        <v>0</v>
      </c>
      <c r="R8" s="11">
        <f>COUNTIFS(C:C,"Island - Farallones",E:E,"Non-fatal Injury")</f>
        <v>7</v>
      </c>
      <c r="S8" s="11">
        <f>COUNTIFS(C:C,"Island - Farallones",E:E,"Fatality")</f>
        <v>0</v>
      </c>
    </row>
    <row r="9" spans="1:19" x14ac:dyDescent="0.25">
      <c r="A9" s="18">
        <v>8</v>
      </c>
      <c r="B9" s="19">
        <v>21677</v>
      </c>
      <c r="C9" s="3" t="s">
        <v>35</v>
      </c>
      <c r="D9" s="3" t="s">
        <v>23</v>
      </c>
      <c r="E9" s="3" t="s">
        <v>442</v>
      </c>
      <c r="G9" s="46" t="s">
        <v>66</v>
      </c>
      <c r="H9" s="42">
        <f>COUNTIFS(C:C,"San Mateo")</f>
        <v>18</v>
      </c>
      <c r="I9" s="42">
        <f>COUNTIFS(C:C,"San Mateo",B:B,"&gt;12/31/1949",B:B,"&lt;1/1/1960")</f>
        <v>0</v>
      </c>
      <c r="J9" s="43">
        <f>COUNTIFS(C:C,"San Mateo",B:B,"&gt;12/31/1959",B:B,"&lt;1/1/1970")</f>
        <v>0</v>
      </c>
      <c r="K9" s="44">
        <f>COUNTIFS(C:C,"San Mateo",B:B,"&gt;12/31/1969",B:B,"&lt;1/1/1980")</f>
        <v>4</v>
      </c>
      <c r="L9" s="43">
        <f>COUNTIFS(C:C,"San Mateo",B:B,"&gt;12/31/1979",B:B,"&lt;1/1/1990")</f>
        <v>2</v>
      </c>
      <c r="M9" s="43">
        <f>COUNTIFS(C:C,"San Mateo",B:B,"&gt;12/31/1989",B:B,"&lt;1/1/2000")</f>
        <v>3</v>
      </c>
      <c r="N9" s="43">
        <f>COUNTIFS(C:C,"San Mateo",B:B,"&gt;12/31/1999",B:B,"&lt;1/1/2010")</f>
        <v>3</v>
      </c>
      <c r="O9" s="43">
        <f>COUNTIFS(C:C,"San Mateo",B:B,"&gt;12/31/2009",B:B,"&lt;1/1/2020")</f>
        <v>5</v>
      </c>
      <c r="P9" s="43">
        <f>COUNTIFS(C:C,"San Mateo",B:B,"&gt;12/31/2019",B:B,"&lt;1/1/2030")</f>
        <v>1</v>
      </c>
      <c r="Q9" s="42">
        <f>COUNTIFS(C:C,"San Mateo",E:E,"No Injury")</f>
        <v>12</v>
      </c>
      <c r="R9" s="11">
        <f>COUNTIFS(C:C,"San Mateo",E:E,"Non-fatal Injury")</f>
        <v>5</v>
      </c>
      <c r="S9" s="11">
        <f>COUNTIFS(C:C,"San Mateo",E:E,"Fatality")</f>
        <v>1</v>
      </c>
    </row>
    <row r="10" spans="1:19" x14ac:dyDescent="0.25">
      <c r="A10" s="18">
        <v>9</v>
      </c>
      <c r="B10" s="19">
        <v>21715</v>
      </c>
      <c r="C10" s="3" t="s">
        <v>11</v>
      </c>
      <c r="D10" s="3" t="s">
        <v>23</v>
      </c>
      <c r="E10" s="3" t="s">
        <v>442</v>
      </c>
      <c r="G10" s="11" t="s">
        <v>52</v>
      </c>
      <c r="H10" s="42">
        <f>COUNTIFS(C:C,"Santa Cruz")</f>
        <v>15</v>
      </c>
      <c r="I10" s="42">
        <f>COUNTIFS(C:C,"Santa Cruz",B:B,"&gt;12/31/1949",B:B,"&lt;1/1/1960")</f>
        <v>0</v>
      </c>
      <c r="J10" s="43">
        <f>COUNTIFS(C:C,"Santa Cruz",B:B,"&gt;12/31/1959",B:B,"&lt;1/1/1970")</f>
        <v>1</v>
      </c>
      <c r="K10" s="44">
        <f>COUNTIFS(C:C,"Santa Cruz",B:B,"&gt;12/31/1969",B:B,"&lt;1/1/1980")</f>
        <v>1</v>
      </c>
      <c r="L10" s="43">
        <f>COUNTIFS(C:C,"Santa Cruz",B:B,"&gt;12/31/1979",B:B,"&lt;1/1/1990")</f>
        <v>1</v>
      </c>
      <c r="M10" s="43">
        <f>COUNTIFS(C:C,"Santa Cruz",B:B,"&gt;12/31/1989",B:B,"&lt;1/1/2000")</f>
        <v>4</v>
      </c>
      <c r="N10" s="43">
        <f>COUNTIFS(C:C,"Santa Cruz",B:B,"&gt;12/31/1999",B:B,"&lt;1/1/2010")</f>
        <v>2</v>
      </c>
      <c r="O10" s="43">
        <f>COUNTIFS(C:C,"Santa Cruz",B:B,"&gt;12/31/2009",B:B,"&lt;1/1/2020")</f>
        <v>4</v>
      </c>
      <c r="P10" s="43">
        <f>COUNTIFS(C:C,"Santa Cruz",B:B,"&gt;12/31/2019",B:B,"&lt;1/1/2030")</f>
        <v>2</v>
      </c>
      <c r="Q10" s="42">
        <f>COUNTIFS(C:C,"Santa Cruz",E:E,"No Injury")</f>
        <v>8</v>
      </c>
      <c r="R10" s="11">
        <f>COUNTIFS(C:C,"Santa Cruz",E:E,"Non-fatal Injury")</f>
        <v>6</v>
      </c>
      <c r="S10" s="11">
        <f>COUNTIFS(C:C,"Santa Cruz",E:E,"Fatality")</f>
        <v>1</v>
      </c>
    </row>
    <row r="11" spans="1:19" x14ac:dyDescent="0.25">
      <c r="A11" s="89">
        <v>10</v>
      </c>
      <c r="B11" s="82">
        <v>21759</v>
      </c>
      <c r="C11" s="81" t="s">
        <v>11</v>
      </c>
      <c r="D11" s="81" t="s">
        <v>19</v>
      </c>
      <c r="E11" s="81" t="s">
        <v>443</v>
      </c>
      <c r="G11" s="48" t="s">
        <v>22</v>
      </c>
      <c r="H11" s="42">
        <f>COUNTIFS(C:C,"Monterey")</f>
        <v>15</v>
      </c>
      <c r="I11" s="42">
        <f>COUNTIFS(C:C,"Monterey",B:B,"&gt;12/31/1949",B:B,"&lt;1/1/1960")</f>
        <v>2</v>
      </c>
      <c r="J11" s="43">
        <f>COUNTIFS(C:C,"Monterey",B:B,"&gt;12/31/1959",B:B,"&lt;1/1/1970")</f>
        <v>1</v>
      </c>
      <c r="K11" s="44">
        <f>COUNTIFS(C:C,"Monterey",B:B,"&gt;12/31/1969",B:B,"&lt;1/1/1980")</f>
        <v>1</v>
      </c>
      <c r="L11" s="43">
        <f>COUNTIFS(C:C,"Monterey",B:B,"&gt;12/31/1979",B:B,"&lt;1/1/1990")</f>
        <v>3</v>
      </c>
      <c r="M11" s="43">
        <f>COUNTIFS(C:C,"Monterey",B:B,"&gt;12/31/1989",B:B,"&lt;1/1/2000")</f>
        <v>2</v>
      </c>
      <c r="N11" s="43">
        <f>COUNTIFS(C:C,"Monterey",B:B,"&gt;12/31/1999",B:B,"&lt;1/1/2010")</f>
        <v>2</v>
      </c>
      <c r="O11" s="43">
        <f>COUNTIFS(C:C,"Monterey",B:B,"&gt;12/31/2009",B:B,"&lt;1/1/2020")</f>
        <v>3</v>
      </c>
      <c r="P11" s="43">
        <f>COUNTIFS(C:C,"Monterey",B:B,"&gt;12/31/2019",B:B,"&lt;1/1/2030")</f>
        <v>1</v>
      </c>
      <c r="Q11" s="42">
        <f>COUNTIFS(C:C,"Monterey",E:E,"No Injury")</f>
        <v>3</v>
      </c>
      <c r="R11" s="11">
        <f>COUNTIFS(C:C,"Monterey",E:E,"Non-fatal Injury")</f>
        <v>10</v>
      </c>
      <c r="S11" s="11">
        <f>COUNTIFS(C:C,"Monterey",E:E,"Fatality")</f>
        <v>2</v>
      </c>
    </row>
    <row r="12" spans="1:19" x14ac:dyDescent="0.25">
      <c r="A12" s="18">
        <v>11</v>
      </c>
      <c r="B12" s="19">
        <v>21827</v>
      </c>
      <c r="C12" s="3" t="s">
        <v>42</v>
      </c>
      <c r="D12" s="3" t="s">
        <v>44</v>
      </c>
      <c r="E12" s="3" t="s">
        <v>374</v>
      </c>
      <c r="G12" s="11" t="s">
        <v>28</v>
      </c>
      <c r="H12" s="42">
        <f>COUNTIFS(C:C,"San Luis Obispo")</f>
        <v>14</v>
      </c>
      <c r="I12" s="42">
        <f>COUNTIFS(C:C,"San Luis Obispo",B:B,"&gt;12/31/1949",B:B,"&lt;1/1/1960")</f>
        <v>2</v>
      </c>
      <c r="J12" s="43">
        <f>COUNTIFS(C:C,"San Luis Obispo",B:B,"&gt;12/31/1959",B:B,"&lt;1/1/1970")</f>
        <v>0</v>
      </c>
      <c r="K12" s="44">
        <f>COUNTIFS(C:C,"San Luis Obispo",B:B,"&gt;12/31/1969",B:B,"&lt;1/1/1980")</f>
        <v>0</v>
      </c>
      <c r="L12" s="43">
        <f>COUNTIFS(C:C,"San Luis Obispo",B:B,"&gt;12/31/1979",B:B,"&lt;1/1/1990")</f>
        <v>2</v>
      </c>
      <c r="M12" s="43">
        <f>COUNTIFS(C:C,"San Luis Obispo",B:B,"&gt;12/31/1989",B:B,"&lt;1/1/2000")</f>
        <v>0</v>
      </c>
      <c r="N12" s="43">
        <f>COUNTIFS(C:C,"San Luis Obispo",B:B,"&gt;12/31/1999",B:B,"&lt;1/1/2010")</f>
        <v>2</v>
      </c>
      <c r="O12" s="43">
        <f>COUNTIFS(C:C,"San Luis Obispo",B:B,"&gt;12/31/2009",B:B,"&lt;1/1/2020")</f>
        <v>6</v>
      </c>
      <c r="P12" s="43">
        <f>COUNTIFS(C:C,"San Luis Obispo",B:B,"&gt;12/31/2019",B:B,"&lt;1/1/2030")</f>
        <v>2</v>
      </c>
      <c r="Q12" s="42">
        <f>COUNTIFS(C:C,"San Luis Obispo",E:E,"No Injury")</f>
        <v>7</v>
      </c>
      <c r="R12" s="11">
        <f>COUNTIFS(C:C,"San Luis Obispo",E:E,"Non-fatal Injury")</f>
        <v>4</v>
      </c>
      <c r="S12" s="11">
        <f>COUNTIFS(C:C,"San Luis Obispo",E:E,"Fatality")</f>
        <v>3</v>
      </c>
    </row>
    <row r="13" spans="1:19" x14ac:dyDescent="0.25">
      <c r="A13" s="89">
        <v>12</v>
      </c>
      <c r="B13" s="80">
        <v>21864</v>
      </c>
      <c r="C13" s="81" t="s">
        <v>46</v>
      </c>
      <c r="D13" s="81" t="s">
        <v>19</v>
      </c>
      <c r="E13" s="81" t="s">
        <v>443</v>
      </c>
      <c r="G13" s="11" t="s">
        <v>69</v>
      </c>
      <c r="H13" s="42">
        <f>COUNTIFS(C:C,"Santa Barbara")</f>
        <v>19</v>
      </c>
      <c r="I13" s="42">
        <f>COUNTIFS(C:C,"Santa Barbara",B:B,"&gt;12/31/1949",B:B,"&lt;1/1/1960")</f>
        <v>0</v>
      </c>
      <c r="J13" s="43">
        <f>COUNTIFS(C:C,"Santa Barbara",B:B,"&gt;12/31/1959",B:B,"&lt;1/1/1970")</f>
        <v>0</v>
      </c>
      <c r="K13" s="44">
        <f>COUNTIFS(C:C,"Santa Barbara",B:B,"&gt;12/31/1969",B:B,"&lt;1/1/1980")</f>
        <v>3</v>
      </c>
      <c r="L13" s="43">
        <f>COUNTIFS(C:C,"Santa Barbara",B:B,"&gt;12/31/1979",B:B,"&lt;1/1/1990")</f>
        <v>1</v>
      </c>
      <c r="M13" s="43">
        <f>COUNTIFS(C:C,"Santa Barbara",B:B,"&gt;12/31/1989",B:B,"&lt;1/1/2000")</f>
        <v>0</v>
      </c>
      <c r="N13" s="43">
        <f>COUNTIFS(C:C,"Santa Barbara",B:B,"&gt;12/31/1999",B:B,"&lt;1/1/2010")</f>
        <v>1</v>
      </c>
      <c r="O13" s="43">
        <f>COUNTIFS(C:C,"Santa Barbara",B:B,"&gt;12/31/2009",B:B,"&lt;1/1/2020")</f>
        <v>13</v>
      </c>
      <c r="P13" s="43">
        <f>COUNTIFS(C:C,"Santa Barbara",B:B,"&gt;12/31/2019",B:B,"&lt;1/1/2030")</f>
        <v>1</v>
      </c>
      <c r="Q13" s="42">
        <f>COUNTIFS(C:C,"Santa Barbara",E:E,"No Injury")</f>
        <v>9</v>
      </c>
      <c r="R13" s="11">
        <f>COUNTIFS(C:C,"Santa Barbara",E:E,"Non-fatal Injury")</f>
        <v>8</v>
      </c>
      <c r="S13" s="11">
        <f>COUNTIFS(C:C,"Santa Barbara",E:E,"Fatality")</f>
        <v>2</v>
      </c>
    </row>
    <row r="14" spans="1:19" x14ac:dyDescent="0.25">
      <c r="A14" s="18">
        <v>13</v>
      </c>
      <c r="B14" s="19">
        <v>22030</v>
      </c>
      <c r="C14" s="3" t="s">
        <v>50</v>
      </c>
      <c r="D14" s="3" t="s">
        <v>19</v>
      </c>
      <c r="E14" s="3" t="s">
        <v>443</v>
      </c>
      <c r="G14" s="48" t="s">
        <v>94</v>
      </c>
      <c r="H14" s="42">
        <f>COUNTIFS(C:C,"Island - San Miguel")</f>
        <v>5</v>
      </c>
      <c r="I14" s="42">
        <f>COUNTIFS(C:C,"Island - San Miguel",B:B,"&gt;12/31/1949",B:B,"&lt;1/1/1960")</f>
        <v>0</v>
      </c>
      <c r="J14" s="43">
        <f>COUNTIFS(C:C,"Island - San Miguel",B:B,"&gt;12/31/1959",B:B,"&lt;1/1/1970")</f>
        <v>0</v>
      </c>
      <c r="K14" s="44">
        <f>COUNTIFS(C:C,"Island - San Miguel",B:B,"&gt;12/31/1969",B:B,"&lt;1/1/1980")</f>
        <v>1</v>
      </c>
      <c r="L14" s="43">
        <f>COUNTIFS(C:C,"Island - San Miguel",B:B,"&gt;12/31/1979",B:B,"&lt;1/1/1990")</f>
        <v>1</v>
      </c>
      <c r="M14" s="43">
        <f>COUNTIFS(C:C,"Island - San Miguel",B:B,"&gt;12/31/1989",B:B,"&lt;1/1/2000")</f>
        <v>2</v>
      </c>
      <c r="N14" s="43">
        <f>COUNTIFS(C:C,"Island - San Miguel",B:B,"&gt;12/31/1999",B:B,"&lt;1/1/2010")</f>
        <v>0</v>
      </c>
      <c r="O14" s="43">
        <f>COUNTIFS(C:C,"Island - San Miguel",B:B,"&gt;12/31/2009",B:B,"&lt;1/1/2020")</f>
        <v>0</v>
      </c>
      <c r="P14" s="43">
        <f>COUNTIFS(C:C,"Island - San Miguel",B:B,"&gt;12/31/2019",B:B,"&lt;1/1/2030")</f>
        <v>1</v>
      </c>
      <c r="Q14" s="42">
        <f>COUNTIFS(C:C,"Island - San Miguel",E:E,"No Injury")</f>
        <v>0</v>
      </c>
      <c r="R14" s="11">
        <f>COUNTIFS(C:C,"Island - San Miguel",E:E,"Non-fatal Injury")</f>
        <v>4</v>
      </c>
      <c r="S14" s="11">
        <f>COUNTIFS(C:C,"Island - San Miguel",E:E,"Fatality")</f>
        <v>1</v>
      </c>
    </row>
    <row r="15" spans="1:19" x14ac:dyDescent="0.25">
      <c r="A15" s="18">
        <v>14</v>
      </c>
      <c r="B15" s="19">
        <v>22055</v>
      </c>
      <c r="C15" s="3" t="s">
        <v>52</v>
      </c>
      <c r="D15" s="3" t="s">
        <v>14</v>
      </c>
      <c r="E15" s="3" t="s">
        <v>443</v>
      </c>
      <c r="G15" s="11" t="s">
        <v>241</v>
      </c>
      <c r="H15" s="42">
        <f>COUNTIFS(C:C,"Ventura")</f>
        <v>2</v>
      </c>
      <c r="I15" s="42">
        <f>COUNTIFS(C:C,"Ventura",B:B,"&gt;12/31/1949",B:B,"&lt;1/1/1960")</f>
        <v>0</v>
      </c>
      <c r="J15" s="43">
        <f>COUNTIFS(C:C,"Ventura",B:B,"&gt;12/31/1959",B:B,"&lt;1/1/1970")</f>
        <v>0</v>
      </c>
      <c r="K15" s="44">
        <f>COUNTIFS(C:C,"Ventura",B:B,"&gt;12/31/1969",B:B,"&lt;1/1/1980")</f>
        <v>0</v>
      </c>
      <c r="L15" s="43">
        <f>COUNTIFS(C:C,"Ventura",B:B,"&gt;12/31/1979",B:B,"&lt;1/1/1990")</f>
        <v>0</v>
      </c>
      <c r="M15" s="43">
        <f>COUNTIFS(C:C,"Ventura",B:B,"&gt;12/31/1989",B:B,"&lt;1/1/2000")</f>
        <v>0</v>
      </c>
      <c r="N15" s="43">
        <f>COUNTIFS(C:C,"Ventura",B:B,"&gt;12/31/1999",B:B,"&lt;1/1/2010")</f>
        <v>1</v>
      </c>
      <c r="O15" s="43">
        <f>COUNTIFS(C:C,"Ventura",B:B,"&gt;12/31/2009",B:B,"&lt;1/1/2020")</f>
        <v>1</v>
      </c>
      <c r="P15" s="43">
        <f>COUNTIFS(C:C,"Ventura",B:B,"&gt;12/31/2019",B:B,"&lt;1/1/2030")</f>
        <v>0</v>
      </c>
      <c r="Q15" s="42">
        <f>COUNTIFS(C:C,"Ventura",E:E,"No Injury")</f>
        <v>0</v>
      </c>
      <c r="R15" s="11">
        <f>COUNTIFS(C:C,"Ventura",E:E,"Non-fatal Injury")</f>
        <v>2</v>
      </c>
      <c r="S15" s="11">
        <f>COUNTIFS(C:C,"Ventura",E:E,"Fatality")</f>
        <v>0</v>
      </c>
    </row>
    <row r="16" spans="1:19" x14ac:dyDescent="0.25">
      <c r="A16" s="18">
        <v>15</v>
      </c>
      <c r="B16" s="19">
        <v>22422</v>
      </c>
      <c r="C16" s="3" t="s">
        <v>50</v>
      </c>
      <c r="D16" s="3" t="s">
        <v>44</v>
      </c>
      <c r="E16" s="3" t="s">
        <v>374</v>
      </c>
      <c r="F16" s="45"/>
      <c r="G16" s="48" t="s">
        <v>163</v>
      </c>
      <c r="H16" s="42">
        <f>COUNTIFS(C:C,"Island - San Nicolas")</f>
        <v>1</v>
      </c>
      <c r="I16" s="42">
        <f>COUNTIFS(C:C,"Island - San Nicolas",B:B,"&gt;12/31/1949",B:B,"&lt;1/1/1960")</f>
        <v>0</v>
      </c>
      <c r="J16" s="43">
        <f>COUNTIFS(C:C,"Island - San Nicolas",B:B,"&gt;12/31/1959",B:B,"&lt;1/1/1970")</f>
        <v>0</v>
      </c>
      <c r="K16" s="44">
        <f>COUNTIFS(C:C,"Island - San Nicolas",B:B,"&gt;12/31/1969",B:B,"&lt;1/1/1980")</f>
        <v>0</v>
      </c>
      <c r="L16" s="43">
        <f>COUNTIFS(C:C,"Island - San Nicolas",B:B,"&gt;12/31/1979",B:B,"&lt;1/1/1990")</f>
        <v>0</v>
      </c>
      <c r="M16" s="43">
        <f>COUNTIFS(C:C,"Island - San Nicolas",B:B,"&gt;12/31/1989",B:B,"&lt;1/1/2000")</f>
        <v>1</v>
      </c>
      <c r="N16" s="43">
        <f>COUNTIFS(C:C,"Island - San Nicolas",B:B,"&gt;12/31/1999",B:B,"&lt;1/1/2010")</f>
        <v>0</v>
      </c>
      <c r="O16" s="43">
        <f>COUNTIFS(C:C,"Island - San Nicolas",B:B,"&gt;12/31/2009",B:B,"&lt;1/1/2020")</f>
        <v>0</v>
      </c>
      <c r="P16" s="43">
        <f>COUNTIFS(C:C,"Island - San Nicolas",B:B,"&gt;12/31/2019",B:B,"&lt;1/1/2030")</f>
        <v>0</v>
      </c>
      <c r="Q16" s="42">
        <f>COUNTIFS(C:C,"Island - San Nicolas",E:E,"No Injury")</f>
        <v>0</v>
      </c>
      <c r="R16" s="11">
        <f>COUNTIFS(C:C,"Island - San Nicolas",E:E,"Non-fatal Injury")</f>
        <v>1</v>
      </c>
      <c r="S16" s="11">
        <f>COUNTIFS(C:C,"Island - San Nicolas",E:E,"Fatality")</f>
        <v>0</v>
      </c>
    </row>
    <row r="17" spans="1:19" x14ac:dyDescent="0.25">
      <c r="A17" s="18">
        <v>16</v>
      </c>
      <c r="B17" s="19">
        <v>22513</v>
      </c>
      <c r="C17" s="3" t="s">
        <v>42</v>
      </c>
      <c r="D17" s="3" t="s">
        <v>14</v>
      </c>
      <c r="E17" s="3" t="s">
        <v>443</v>
      </c>
      <c r="G17" s="48" t="s">
        <v>494</v>
      </c>
      <c r="H17" s="42">
        <f>COUNTIFS(C:C,"Island - Santa Rosa")</f>
        <v>1</v>
      </c>
      <c r="I17" s="42">
        <f>COUNTIFS(C:C,"Island - Santa Rosa",B:B,"&gt;12/31/1949",B:B,"&lt;1/1/1960")</f>
        <v>0</v>
      </c>
      <c r="J17" s="43">
        <f>COUNTIFS(C:C,"Island - Santa Rosa",B:B,"&gt;12/31/1959",B:B,"&lt;1/1/1970")</f>
        <v>0</v>
      </c>
      <c r="K17" s="44">
        <f>COUNTIFS(C:C,"Island - Santa Rosa",B:B,"&gt;12/31/1969",B:B,"&lt;1/1/1980")</f>
        <v>0</v>
      </c>
      <c r="L17" s="43">
        <f>COUNTIFS(C:C,"Island - Santa Rosa",B:B,"&gt;12/31/1979",B:B,"&lt;1/1/1990")</f>
        <v>0</v>
      </c>
      <c r="M17" s="43">
        <f>COUNTIFS(C:C,"Island - Santa Rosa",B:B,"&gt;12/31/1989",B:B,"&lt;1/1/2000")</f>
        <v>0</v>
      </c>
      <c r="N17" s="43">
        <f>COUNTIFS(C:C,"Island - Santa Rosa",B:B,"&gt;12/31/1999",B:B,"&lt;1/1/2010")</f>
        <v>0</v>
      </c>
      <c r="O17" s="43">
        <f>COUNTIFS(C:C,"Island - Santa Rosa",B:B,"&gt;12/31/2009",B:B,"&lt;1/1/2020")</f>
        <v>1</v>
      </c>
      <c r="P17" s="43">
        <f>COUNTIFS(C:C,"Island - Santa Rosa",B:B,"&gt;12/31/2019",B:B,"&lt;1/1/2030")</f>
        <v>0</v>
      </c>
      <c r="Q17" s="42">
        <f>COUNTIFS(C:C,"Island - Santa Rosa",E:E,"No Injury")</f>
        <v>0</v>
      </c>
      <c r="R17" s="11">
        <f>COUNTIFS(C:C,"Island - Santa Rosa",E:E,"Non-fatal Injury")</f>
        <v>1</v>
      </c>
      <c r="S17" s="11">
        <f>COUNTIFS(C:C,"Island - Santa Rosa",E:E,"Fatality")</f>
        <v>0</v>
      </c>
    </row>
    <row r="18" spans="1:19" x14ac:dyDescent="0.25">
      <c r="A18" s="18">
        <v>17</v>
      </c>
      <c r="B18" s="19">
        <v>22660</v>
      </c>
      <c r="C18" s="3" t="s">
        <v>58</v>
      </c>
      <c r="D18" s="3" t="s">
        <v>14</v>
      </c>
      <c r="E18" s="3" t="s">
        <v>443</v>
      </c>
      <c r="G18" s="48" t="s">
        <v>578</v>
      </c>
      <c r="H18" s="42">
        <f>COUNTIFS(C:C,"Island - Santa Cruz")</f>
        <v>2</v>
      </c>
      <c r="I18" s="42">
        <f>COUNTIFS(C:C,"Island - Santa Cruz",B:B,"&gt;12/31/1949",B:B,"&lt;1/1/1960")</f>
        <v>0</v>
      </c>
      <c r="J18" s="43">
        <f>COUNTIFS(C:C,"Island - Santa Cruz",B:B,"&gt;12/31/1959",B:B,"&lt;1/1/1970")</f>
        <v>0</v>
      </c>
      <c r="K18" s="44">
        <f>COUNTIFS(C:C,"Island - Santa Cruz",B:B,"&gt;12/31/1969",B:B,"&lt;1/1/1980")</f>
        <v>0</v>
      </c>
      <c r="L18" s="43">
        <f>COUNTIFS(C:C,"Island - Santa Cruz",B:B,"&gt;12/31/1979",B:B,"&lt;1/1/1990")</f>
        <v>0</v>
      </c>
      <c r="M18" s="43">
        <f>COUNTIFS(C:C,"Island - Santa Cruz",B:B,"&gt;12/31/1989",B:B,"&lt;1/1/2000")</f>
        <v>0</v>
      </c>
      <c r="N18" s="43">
        <f>COUNTIFS(C:C,"Island - Santa Cruz",B:B,"&gt;12/31/1999",B:B,"&lt;1/1/2010")</f>
        <v>0</v>
      </c>
      <c r="O18" s="43">
        <f>COUNTIFS(C:C,"Island - Santa Cruz",B:B,"&gt;12/31/2009",B:B,"&lt;1/1/2020")</f>
        <v>1</v>
      </c>
      <c r="P18" s="43">
        <f>COUNTIFS(C:C,"Island - Santa Cruz",B:B,"&gt;12/31/2019",B:B,"&lt;1/1/2030")</f>
        <v>1</v>
      </c>
      <c r="Q18" s="42">
        <f>COUNTIFS(C:C,"Island - Santa Cruz",E:E,"No Injury")</f>
        <v>1</v>
      </c>
      <c r="R18" s="11">
        <f>COUNTIFS(C:C,"Island - Santa Cruz",E:E,"Non-fatal Injury")</f>
        <v>1</v>
      </c>
      <c r="S18" s="11">
        <f>COUNTIFS(C:C,"Island - Santa Cruz",E:E,"Fatality")</f>
        <v>0</v>
      </c>
    </row>
    <row r="19" spans="1:19" x14ac:dyDescent="0.25">
      <c r="A19" s="18">
        <v>18</v>
      </c>
      <c r="B19" s="19">
        <v>22961</v>
      </c>
      <c r="C19" s="3" t="s">
        <v>58</v>
      </c>
      <c r="D19" s="3" t="s">
        <v>14</v>
      </c>
      <c r="E19" s="3" t="s">
        <v>443</v>
      </c>
      <c r="G19" s="48" t="s">
        <v>46</v>
      </c>
      <c r="H19" s="42">
        <f>COUNTIFS(C:C,"Los Angeles")</f>
        <v>9</v>
      </c>
      <c r="I19" s="42">
        <f>COUNTIFS(C:C,"Los Angeles",B:B,"&gt;12/31/1949",B:B,"&lt;1/1/1960")</f>
        <v>1</v>
      </c>
      <c r="J19" s="43">
        <f>COUNTIFS(C:C,"Los Angeles",B:B,"&gt;12/31/1959",B:B,"&lt;1/1/1970")</f>
        <v>0</v>
      </c>
      <c r="K19" s="44">
        <f>COUNTIFS(C:C,"Los Angeles",B:B,"&gt;12/31/1969",B:B,"&lt;1/1/1980")</f>
        <v>0</v>
      </c>
      <c r="L19" s="43">
        <f>COUNTIFS(C:C,"Los Angeles",B:B,"&gt;12/31/1979",B:B,"&lt;1/1/1990")</f>
        <v>1</v>
      </c>
      <c r="M19" s="43">
        <f>COUNTIFS(C:C,"Los Angeles",B:B,"&gt;12/31/1989",B:B,"&lt;1/1/2000")</f>
        <v>0</v>
      </c>
      <c r="N19" s="43">
        <f>COUNTIFS(C:C,"Los Angeles",B:B,"&gt;12/31/1999",B:B,"&lt;1/1/2010")</f>
        <v>4</v>
      </c>
      <c r="O19" s="43">
        <f>COUNTIFS(C:C,"Los Angeles",B:B,"&gt;12/31/2009",B:B,"&lt;1/1/2020")</f>
        <v>2</v>
      </c>
      <c r="P19" s="43">
        <f>COUNTIFS(C:C,"Los Angeles",B:B,"&gt;12/31/2019",B:B,"&lt;1/1/2030")</f>
        <v>1</v>
      </c>
      <c r="Q19" s="42">
        <f>COUNTIFS(C:C,"Los Angeles",E:E,"No Injury")</f>
        <v>2</v>
      </c>
      <c r="R19" s="11">
        <f>COUNTIFS(C:C,"Los Angeles",E:E,"Non-fatal Injury")</f>
        <v>6</v>
      </c>
      <c r="S19" s="11">
        <f>COUNTIFS(C:C,"Los Angeles",E:E,"Fatality")</f>
        <v>1</v>
      </c>
    </row>
    <row r="20" spans="1:19" x14ac:dyDescent="0.25">
      <c r="A20" s="18">
        <v>19</v>
      </c>
      <c r="B20" s="19">
        <v>23387</v>
      </c>
      <c r="C20" s="3" t="s">
        <v>58</v>
      </c>
      <c r="D20" s="3" t="s">
        <v>14</v>
      </c>
      <c r="E20" s="3" t="s">
        <v>443</v>
      </c>
      <c r="G20" s="41" t="s">
        <v>269</v>
      </c>
      <c r="H20" s="42">
        <f>COUNTIFS(C:C,"Island - Catalina")</f>
        <v>4</v>
      </c>
      <c r="I20" s="42">
        <f>COUNTIFS(C:C,"Island - Catalina",B:B,"&gt;12/31/1949",B:B,"&lt;1/1/1960")</f>
        <v>0</v>
      </c>
      <c r="J20" s="43">
        <f>COUNTIFS(C:C,"Island - Catalina",B:B,"&gt;12/31/1959",B:B,"&lt;1/1/1970")</f>
        <v>0</v>
      </c>
      <c r="K20" s="44">
        <f>COUNTIFS(C:C,"Island - Catalina",B:B,"&gt;12/31/1969",B:B,"&lt;1/1/1980")</f>
        <v>0</v>
      </c>
      <c r="L20" s="43">
        <f>COUNTIFS(C:C,"Island - Catalina",B:B,"&gt;12/31/1979",B:B,"&lt;1/1/1990")</f>
        <v>0</v>
      </c>
      <c r="M20" s="43">
        <f>COUNTIFS(C:C,"Island - Catalina",B:B,"&gt;12/31/1989",B:B,"&lt;1/1/2000")</f>
        <v>0</v>
      </c>
      <c r="N20" s="43">
        <f>COUNTIFS(C:C,"Island - Catalina",B:B,"&gt;12/31/1999",B:B,"&lt;1/1/2010")</f>
        <v>1</v>
      </c>
      <c r="O20" s="43">
        <f>COUNTIFS(C:C,"Island - Catalina",B:B,"&gt;12/31/2009",B:B,"&lt;1/1/2020")</f>
        <v>2</v>
      </c>
      <c r="P20" s="43">
        <f>COUNTIFS(C:C,"Island - Catalina",B:B,"&gt;12/31/2019",B:B,"&lt;1/1/2030")</f>
        <v>1</v>
      </c>
      <c r="Q20" s="42">
        <f>COUNTIFS(C:C,"Island - Catalina",E:E,"No Injury")</f>
        <v>3</v>
      </c>
      <c r="R20" s="11">
        <f>COUNTIFS(C:C,"Island - Catalina",E:E,"Non-fatal Injury")</f>
        <v>1</v>
      </c>
      <c r="S20" s="11">
        <f>COUNTIFS(C:C,"Island - Catalina",E:E,"Fatality")</f>
        <v>0</v>
      </c>
    </row>
    <row r="21" spans="1:19" x14ac:dyDescent="0.25">
      <c r="A21" s="18">
        <v>20</v>
      </c>
      <c r="B21" s="19">
        <v>24129</v>
      </c>
      <c r="C21" s="3" t="s">
        <v>22</v>
      </c>
      <c r="D21" s="3" t="s">
        <v>14</v>
      </c>
      <c r="E21" s="3" t="s">
        <v>443</v>
      </c>
      <c r="G21" s="48" t="s">
        <v>123</v>
      </c>
      <c r="H21" s="42">
        <f>COUNTIFS(C:C,"Orange")</f>
        <v>8</v>
      </c>
      <c r="I21" s="42">
        <f>COUNTIFS(C:C,"Orange",B:B,"&gt;12/31/1949",B:B,"&lt;1/1/1960")</f>
        <v>0</v>
      </c>
      <c r="J21" s="43">
        <f>COUNTIFS(C:C,"Orange",B:B,"&gt;12/31/1959",B:B,"&lt;1/1/1970")</f>
        <v>0</v>
      </c>
      <c r="K21" s="44">
        <f>COUNTIFS(C:C,"Orange",B:B,"&gt;12/31/1969",B:B,"&lt;1/1/1980")</f>
        <v>0</v>
      </c>
      <c r="L21" s="43">
        <f>COUNTIFS(C:C,"Orange",B:B,"&gt;12/31/1979",B:B,"&lt;1/1/1990")</f>
        <v>1</v>
      </c>
      <c r="M21" s="43">
        <f>COUNTIFS(C:C,"Orange",B:B,"&gt;12/31/1989",B:B,"&lt;1/1/2000")</f>
        <v>0</v>
      </c>
      <c r="N21" s="43">
        <f>COUNTIFS(C:C,"Orange",B:B,"&gt;12/31/1999",B:B,"&lt;1/1/2010")</f>
        <v>4</v>
      </c>
      <c r="O21" s="43">
        <f>COUNTIFS(C:C,"Orange",B:B,"&gt;12/31/2009",B:B,"&lt;1/1/2020")</f>
        <v>3</v>
      </c>
      <c r="P21" s="43">
        <f>COUNTIFS(C:C,"Orange",B:B,"&gt;12/31/2019",B:B,"&lt;1/1/2030")</f>
        <v>0</v>
      </c>
      <c r="Q21" s="42">
        <f>COUNTIFS(C:C,"Orange",E:E,"No Injury")</f>
        <v>5</v>
      </c>
      <c r="R21" s="11">
        <f>COUNTIFS(C:C,"Orange",E:E,"Non-fatal Injury")</f>
        <v>3</v>
      </c>
      <c r="S21" s="11">
        <f>COUNTIFS(C:C,"Orange",E:E,"Fatality")</f>
        <v>0</v>
      </c>
    </row>
    <row r="22" spans="1:19" x14ac:dyDescent="0.25">
      <c r="A22" s="18">
        <v>21</v>
      </c>
      <c r="B22" s="19">
        <v>25046</v>
      </c>
      <c r="C22" s="3" t="s">
        <v>42</v>
      </c>
      <c r="D22" s="3" t="s">
        <v>14</v>
      </c>
      <c r="E22" s="3" t="s">
        <v>443</v>
      </c>
      <c r="G22" s="11" t="s">
        <v>11</v>
      </c>
      <c r="H22" s="42">
        <f>COUNTIFS(C:C,"San Diego")</f>
        <v>23</v>
      </c>
      <c r="I22" s="42">
        <f>COUNTIFS(C:C,"San Diego",B:B,"&gt;12/31/1949",B:B,"&lt;1/1/1960")</f>
        <v>5</v>
      </c>
      <c r="J22" s="43">
        <f>COUNTIFS(C:C,"San Diego",B:B,"&gt;12/31/1959",B:B,"&lt;1/1/1970")</f>
        <v>0</v>
      </c>
      <c r="K22" s="44">
        <f>COUNTIFS(C:C,"San Diego",B:B,"&gt;12/31/1969",B:B,"&lt;1/1/1980")</f>
        <v>0</v>
      </c>
      <c r="L22" s="43">
        <f>COUNTIFS(C:C,"San Diego",B:B,"&gt;12/31/1979",B:B,"&lt;1/1/1990")</f>
        <v>1</v>
      </c>
      <c r="M22" s="43">
        <f>COUNTIFS(C:C,"San Diego",B:B,"&gt;12/31/1989",B:B,"&lt;1/1/2000")</f>
        <v>2</v>
      </c>
      <c r="N22" s="43">
        <f>COUNTIFS(C:C,"San Diego",B:B,"&gt;12/31/1999",B:B,"&lt;1/1/2010")</f>
        <v>7</v>
      </c>
      <c r="O22" s="43">
        <f>COUNTIFS(C:C,"San Diego",B:B,"&gt;12/31/2009",B:B,"&lt;1/1/2020")</f>
        <v>7</v>
      </c>
      <c r="P22" s="43">
        <f>COUNTIFS(C:C,"San Diego",B:B,"&gt;12/31/2019",B:B,"&lt;1/1/2030")</f>
        <v>1</v>
      </c>
      <c r="Q22" s="42">
        <f>COUNTIFS(C:C,"San Diego",E:E,"No Injury")</f>
        <v>9</v>
      </c>
      <c r="R22" s="11">
        <f>COUNTIFS(C:C,"San Diego",E:E,"Non-fatal Injury")</f>
        <v>12</v>
      </c>
      <c r="S22" s="11">
        <f>COUNTIFS(C:C,"San Diego",E:E,"Fatality")</f>
        <v>2</v>
      </c>
    </row>
    <row r="23" spans="1:19" s="11" customFormat="1" x14ac:dyDescent="0.25">
      <c r="A23" s="18">
        <v>23</v>
      </c>
      <c r="B23" s="19">
        <v>25452</v>
      </c>
      <c r="C23" s="3" t="s">
        <v>50</v>
      </c>
      <c r="D23" s="3" t="s">
        <v>14</v>
      </c>
      <c r="E23" s="3" t="s">
        <v>443</v>
      </c>
      <c r="F23"/>
      <c r="H23" s="38">
        <f>SUM(H2:H22)</f>
        <v>202</v>
      </c>
      <c r="I23" s="38">
        <f t="shared" ref="I23:S23" si="0">SUM(I2:I22)</f>
        <v>12</v>
      </c>
      <c r="J23" s="38">
        <f t="shared" si="0"/>
        <v>10</v>
      </c>
      <c r="K23" s="38">
        <f t="shared" si="0"/>
        <v>19</v>
      </c>
      <c r="L23" s="38">
        <f t="shared" si="0"/>
        <v>20</v>
      </c>
      <c r="M23" s="38">
        <f t="shared" si="0"/>
        <v>30</v>
      </c>
      <c r="N23" s="38">
        <f t="shared" si="0"/>
        <v>40</v>
      </c>
      <c r="O23" s="38">
        <f t="shared" si="0"/>
        <v>55</v>
      </c>
      <c r="P23" s="38">
        <f t="shared" si="0"/>
        <v>16</v>
      </c>
      <c r="Q23" s="38">
        <f t="shared" si="0"/>
        <v>79</v>
      </c>
      <c r="R23" s="38">
        <f t="shared" si="0"/>
        <v>108</v>
      </c>
      <c r="S23" s="38">
        <f t="shared" si="0"/>
        <v>15</v>
      </c>
    </row>
    <row r="24" spans="1:19" x14ac:dyDescent="0.25">
      <c r="A24" s="18">
        <v>24</v>
      </c>
      <c r="B24" s="19">
        <v>26133</v>
      </c>
      <c r="C24" s="3" t="s">
        <v>69</v>
      </c>
      <c r="D24" s="3" t="s">
        <v>14</v>
      </c>
      <c r="E24" s="3" t="s">
        <v>443</v>
      </c>
      <c r="F24" s="11"/>
      <c r="G24" s="11"/>
      <c r="H24" s="43"/>
      <c r="I24" s="42"/>
      <c r="J24" s="43"/>
      <c r="K24" s="43"/>
      <c r="L24" s="49"/>
      <c r="M24" s="49"/>
      <c r="N24" s="49"/>
      <c r="O24" s="49"/>
      <c r="P24" s="11"/>
    </row>
    <row r="25" spans="1:19" x14ac:dyDescent="0.25">
      <c r="A25" s="18">
        <v>25</v>
      </c>
      <c r="B25" s="19">
        <v>26208</v>
      </c>
      <c r="C25" s="3" t="s">
        <v>42</v>
      </c>
      <c r="D25" s="3" t="s">
        <v>14</v>
      </c>
      <c r="E25" s="3" t="s">
        <v>443</v>
      </c>
      <c r="G25" s="11"/>
      <c r="H25" s="11"/>
      <c r="I25" s="11"/>
      <c r="J25" s="11"/>
      <c r="K25" s="11"/>
      <c r="L25" s="11"/>
      <c r="M25" s="11"/>
      <c r="N25" s="11"/>
      <c r="O25" s="11"/>
    </row>
    <row r="26" spans="1:19" s="11" customFormat="1" ht="15" x14ac:dyDescent="0.2">
      <c r="A26" s="18">
        <v>26</v>
      </c>
      <c r="B26" s="19">
        <v>26447</v>
      </c>
      <c r="C26" s="3" t="s">
        <v>50</v>
      </c>
      <c r="D26" s="3" t="s">
        <v>14</v>
      </c>
      <c r="E26" s="3" t="s">
        <v>443</v>
      </c>
    </row>
    <row r="27" spans="1:19" x14ac:dyDescent="0.25">
      <c r="A27" s="18">
        <v>28</v>
      </c>
      <c r="B27" s="19">
        <v>27175</v>
      </c>
      <c r="C27" s="3" t="s">
        <v>50</v>
      </c>
      <c r="D27" s="3" t="s">
        <v>14</v>
      </c>
      <c r="E27" s="3" t="s">
        <v>443</v>
      </c>
      <c r="G27" s="11"/>
      <c r="H27" s="43"/>
      <c r="I27" s="42"/>
      <c r="J27" s="43"/>
      <c r="K27" s="43"/>
      <c r="L27" s="49"/>
      <c r="M27" s="49"/>
      <c r="N27" s="49"/>
      <c r="O27" s="49"/>
    </row>
    <row r="28" spans="1:19" x14ac:dyDescent="0.25">
      <c r="A28" s="18">
        <v>29</v>
      </c>
      <c r="B28" s="19">
        <v>27236</v>
      </c>
      <c r="C28" s="3" t="s">
        <v>78</v>
      </c>
      <c r="D28" s="3" t="s">
        <v>19</v>
      </c>
      <c r="E28" s="3" t="s">
        <v>443</v>
      </c>
      <c r="G28" s="11"/>
      <c r="H28" s="43"/>
      <c r="I28" s="42"/>
      <c r="J28" s="43"/>
      <c r="K28" s="43"/>
      <c r="L28" s="49"/>
      <c r="M28" s="49"/>
      <c r="N28" s="49"/>
      <c r="O28" s="49"/>
    </row>
    <row r="29" spans="1:19" x14ac:dyDescent="0.25">
      <c r="A29" s="18">
        <v>30</v>
      </c>
      <c r="B29" s="19">
        <v>27246</v>
      </c>
      <c r="C29" s="3" t="s">
        <v>66</v>
      </c>
      <c r="D29" s="3" t="s">
        <v>19</v>
      </c>
      <c r="E29" s="3" t="s">
        <v>443</v>
      </c>
      <c r="G29" s="11"/>
      <c r="H29" s="43"/>
      <c r="I29" s="42"/>
      <c r="J29" s="43"/>
      <c r="K29" s="43"/>
      <c r="L29" s="49"/>
      <c r="M29" s="49"/>
      <c r="N29" s="51"/>
      <c r="O29" s="49"/>
    </row>
    <row r="30" spans="1:19" x14ac:dyDescent="0.25">
      <c r="A30" s="18">
        <v>31</v>
      </c>
      <c r="B30" s="19">
        <v>27274</v>
      </c>
      <c r="C30" s="3" t="s">
        <v>66</v>
      </c>
      <c r="D30" s="3" t="s">
        <v>19</v>
      </c>
      <c r="E30" s="3" t="s">
        <v>443</v>
      </c>
      <c r="G30" s="11"/>
      <c r="H30" s="43"/>
      <c r="I30" s="42"/>
      <c r="J30" s="43"/>
      <c r="K30" s="43"/>
      <c r="L30" s="49"/>
      <c r="M30" s="49"/>
      <c r="N30" s="49"/>
      <c r="O30" s="49"/>
    </row>
    <row r="31" spans="1:19" x14ac:dyDescent="0.25">
      <c r="A31" s="18">
        <v>32</v>
      </c>
      <c r="B31" s="19">
        <v>27274</v>
      </c>
      <c r="C31" s="5" t="s">
        <v>66</v>
      </c>
      <c r="D31" s="5" t="s">
        <v>19</v>
      </c>
      <c r="E31" s="5" t="s">
        <v>443</v>
      </c>
      <c r="G31" s="11"/>
      <c r="H31" s="43"/>
      <c r="I31" s="42"/>
      <c r="J31" s="43"/>
      <c r="K31" s="43"/>
      <c r="L31" s="49"/>
      <c r="M31" s="49"/>
      <c r="N31" s="49"/>
      <c r="O31" s="49"/>
    </row>
    <row r="32" spans="1:19" x14ac:dyDescent="0.25">
      <c r="A32" s="18">
        <v>33</v>
      </c>
      <c r="B32" s="19">
        <v>27286</v>
      </c>
      <c r="C32" s="3" t="s">
        <v>58</v>
      </c>
      <c r="D32" s="3" t="s">
        <v>14</v>
      </c>
      <c r="E32" s="3" t="s">
        <v>443</v>
      </c>
      <c r="G32" s="11"/>
      <c r="H32" s="43"/>
      <c r="I32" s="42"/>
      <c r="J32" s="43"/>
      <c r="K32" s="43"/>
      <c r="L32" s="49"/>
      <c r="M32" s="49"/>
      <c r="N32" s="49"/>
      <c r="O32" s="49"/>
    </row>
    <row r="33" spans="1:19" x14ac:dyDescent="0.25">
      <c r="A33" s="18">
        <v>34</v>
      </c>
      <c r="B33" s="19">
        <v>27300</v>
      </c>
      <c r="C33" s="3" t="s">
        <v>22</v>
      </c>
      <c r="D33" s="3" t="s">
        <v>14</v>
      </c>
      <c r="E33" s="3" t="s">
        <v>443</v>
      </c>
      <c r="G33" s="11"/>
      <c r="H33" s="43"/>
      <c r="I33" s="42"/>
      <c r="J33" s="43"/>
      <c r="K33" s="43"/>
      <c r="L33" s="49"/>
      <c r="M33" s="49"/>
      <c r="N33" s="49"/>
      <c r="O33" s="49"/>
    </row>
    <row r="34" spans="1:19" x14ac:dyDescent="0.25">
      <c r="A34" s="18">
        <v>35</v>
      </c>
      <c r="B34" s="19">
        <v>27594</v>
      </c>
      <c r="C34" s="3" t="s">
        <v>69</v>
      </c>
      <c r="D34" s="3" t="s">
        <v>44</v>
      </c>
      <c r="E34" s="3" t="s">
        <v>374</v>
      </c>
      <c r="G34" s="11"/>
      <c r="H34" s="43"/>
      <c r="I34" s="42"/>
      <c r="J34" s="43"/>
      <c r="K34" s="43"/>
      <c r="L34" s="49"/>
      <c r="M34" s="49"/>
      <c r="N34" s="49"/>
      <c r="O34" s="49"/>
    </row>
    <row r="35" spans="1:19" x14ac:dyDescent="0.25">
      <c r="A35" s="18">
        <v>36</v>
      </c>
      <c r="B35" s="19">
        <v>27598</v>
      </c>
      <c r="C35" s="3" t="s">
        <v>69</v>
      </c>
      <c r="D35" s="3" t="s">
        <v>14</v>
      </c>
      <c r="E35" s="3" t="s">
        <v>443</v>
      </c>
      <c r="G35" s="11"/>
      <c r="H35" s="43"/>
      <c r="I35" s="42"/>
      <c r="J35" s="43"/>
      <c r="K35" s="43"/>
      <c r="L35" s="49"/>
      <c r="M35" s="49"/>
      <c r="N35" s="49"/>
      <c r="O35" s="49"/>
    </row>
    <row r="36" spans="1:19" x14ac:dyDescent="0.25">
      <c r="A36" s="18">
        <v>37</v>
      </c>
      <c r="B36" s="19">
        <v>27615</v>
      </c>
      <c r="C36" s="3" t="s">
        <v>78</v>
      </c>
      <c r="D36" s="3" t="s">
        <v>14</v>
      </c>
      <c r="E36" s="3" t="s">
        <v>443</v>
      </c>
      <c r="G36" s="11"/>
      <c r="H36" s="43"/>
      <c r="I36" s="42"/>
      <c r="J36" s="43"/>
      <c r="K36" s="52"/>
      <c r="L36" s="49"/>
      <c r="M36" s="49"/>
      <c r="N36" s="49"/>
      <c r="O36" s="49"/>
    </row>
    <row r="37" spans="1:19" x14ac:dyDescent="0.25">
      <c r="A37" s="18">
        <v>38</v>
      </c>
      <c r="B37" s="19">
        <v>27734</v>
      </c>
      <c r="C37" s="3" t="s">
        <v>58</v>
      </c>
      <c r="D37" s="3" t="s">
        <v>14</v>
      </c>
      <c r="E37" s="3" t="s">
        <v>443</v>
      </c>
      <c r="G37" s="11"/>
      <c r="H37" s="43"/>
      <c r="I37" s="42"/>
      <c r="J37" s="43"/>
      <c r="K37" s="52"/>
      <c r="L37" s="49"/>
      <c r="M37" s="49"/>
      <c r="N37" s="49"/>
      <c r="O37" s="49"/>
    </row>
    <row r="38" spans="1:19" x14ac:dyDescent="0.25">
      <c r="A38" s="18">
        <v>39</v>
      </c>
      <c r="B38" s="19">
        <v>28051</v>
      </c>
      <c r="C38" s="3" t="s">
        <v>97</v>
      </c>
      <c r="D38" s="3" t="s">
        <v>19</v>
      </c>
      <c r="E38" s="3" t="s">
        <v>443</v>
      </c>
      <c r="G38" s="11"/>
      <c r="H38" s="43"/>
      <c r="I38" s="42"/>
      <c r="J38" s="43"/>
      <c r="K38" s="52"/>
      <c r="L38" s="49"/>
      <c r="M38" s="49"/>
      <c r="N38" s="49"/>
      <c r="O38" s="49"/>
    </row>
    <row r="39" spans="1:19" x14ac:dyDescent="0.25">
      <c r="A39" s="176">
        <v>40</v>
      </c>
      <c r="B39" s="35">
        <v>28051</v>
      </c>
      <c r="C39" s="13" t="s">
        <v>94</v>
      </c>
      <c r="D39" s="3" t="s">
        <v>14</v>
      </c>
      <c r="E39" s="3" t="s">
        <v>443</v>
      </c>
    </row>
    <row r="40" spans="1:19" s="45" customFormat="1" x14ac:dyDescent="0.25">
      <c r="A40" s="18">
        <v>41</v>
      </c>
      <c r="B40" s="19">
        <v>28351</v>
      </c>
      <c r="C40" s="3" t="s">
        <v>50</v>
      </c>
      <c r="D40" s="3" t="s">
        <v>14</v>
      </c>
      <c r="E40" s="3" t="s">
        <v>443</v>
      </c>
      <c r="F40"/>
      <c r="G40" s="11"/>
      <c r="H40" s="43"/>
      <c r="I40" s="42"/>
      <c r="J40" s="43"/>
      <c r="K40" s="52"/>
      <c r="L40" s="49"/>
      <c r="M40" s="49"/>
      <c r="N40" s="49"/>
      <c r="O40" s="49"/>
      <c r="P40"/>
      <c r="R40" s="46"/>
      <c r="S40" s="46"/>
    </row>
    <row r="41" spans="1:19" x14ac:dyDescent="0.25">
      <c r="A41" s="89">
        <v>42</v>
      </c>
      <c r="B41" s="80">
        <v>28707</v>
      </c>
      <c r="C41" s="81" t="s">
        <v>52</v>
      </c>
      <c r="D41" s="81" t="s">
        <v>19</v>
      </c>
      <c r="E41" s="81" t="s">
        <v>443</v>
      </c>
      <c r="G41" s="11"/>
      <c r="H41" s="43"/>
      <c r="I41" s="42"/>
      <c r="J41" s="43"/>
      <c r="K41" s="52"/>
      <c r="L41" s="49"/>
      <c r="M41" s="49"/>
      <c r="N41" s="49"/>
      <c r="O41" s="49"/>
      <c r="P41" s="45"/>
    </row>
    <row r="42" spans="1:19" x14ac:dyDescent="0.25">
      <c r="A42" s="18">
        <v>43</v>
      </c>
      <c r="B42" s="19">
        <v>28925</v>
      </c>
      <c r="C42" s="3" t="s">
        <v>66</v>
      </c>
      <c r="D42" s="3" t="s">
        <v>44</v>
      </c>
      <c r="E42" s="3" t="s">
        <v>374</v>
      </c>
      <c r="F42" s="55"/>
      <c r="G42" s="45"/>
      <c r="H42" s="45"/>
      <c r="I42" s="45"/>
      <c r="J42" s="45"/>
      <c r="K42" s="45"/>
      <c r="L42" s="45"/>
      <c r="M42" s="45"/>
      <c r="N42" s="45"/>
      <c r="O42" s="45"/>
    </row>
    <row r="43" spans="1:19" x14ac:dyDescent="0.25">
      <c r="A43" s="18">
        <v>44</v>
      </c>
      <c r="B43" s="19">
        <v>29511</v>
      </c>
      <c r="C43" s="3" t="s">
        <v>97</v>
      </c>
      <c r="D43" s="3" t="s">
        <v>44</v>
      </c>
      <c r="E43" s="3" t="s">
        <v>374</v>
      </c>
      <c r="G43" s="11"/>
      <c r="H43" s="43"/>
      <c r="I43" s="42"/>
      <c r="J43" s="43"/>
      <c r="K43" s="52"/>
      <c r="L43" s="49"/>
      <c r="M43" s="49"/>
      <c r="N43" s="49"/>
      <c r="O43" s="49"/>
    </row>
    <row r="44" spans="1:19" x14ac:dyDescent="0.25">
      <c r="A44" s="18">
        <v>45</v>
      </c>
      <c r="B44" s="19">
        <v>29939</v>
      </c>
      <c r="C44" s="3" t="s">
        <v>22</v>
      </c>
      <c r="D44" s="3" t="s">
        <v>23</v>
      </c>
      <c r="E44" s="3" t="s">
        <v>442</v>
      </c>
      <c r="G44" s="11"/>
      <c r="H44" s="43"/>
      <c r="I44" s="42"/>
      <c r="J44" s="43"/>
      <c r="K44" s="52"/>
      <c r="L44" s="49"/>
      <c r="M44" s="49"/>
      <c r="N44" s="49"/>
      <c r="O44" s="49"/>
    </row>
    <row r="45" spans="1:19" x14ac:dyDescent="0.25">
      <c r="A45" s="18">
        <v>46</v>
      </c>
      <c r="B45" s="19">
        <v>29989</v>
      </c>
      <c r="C45" s="3" t="s">
        <v>42</v>
      </c>
      <c r="D45" s="3" t="s">
        <v>14</v>
      </c>
      <c r="E45" s="3" t="s">
        <v>443</v>
      </c>
      <c r="G45" s="11"/>
      <c r="H45" s="43"/>
      <c r="I45" s="42"/>
      <c r="J45" s="43"/>
      <c r="K45" s="52"/>
      <c r="L45" s="49"/>
      <c r="M45" s="49"/>
      <c r="N45" s="49"/>
      <c r="O45" s="49"/>
    </row>
    <row r="46" spans="1:19" x14ac:dyDescent="0.25">
      <c r="A46" s="18">
        <v>47</v>
      </c>
      <c r="B46" s="19">
        <v>30156</v>
      </c>
      <c r="C46" s="3" t="s">
        <v>28</v>
      </c>
      <c r="D46" s="3" t="s">
        <v>44</v>
      </c>
      <c r="E46" s="3" t="s">
        <v>374</v>
      </c>
      <c r="G46" s="11"/>
      <c r="H46" s="43"/>
      <c r="I46" s="42"/>
      <c r="J46" s="43"/>
      <c r="K46" s="52"/>
      <c r="L46" s="49"/>
      <c r="M46" s="49"/>
      <c r="N46" s="49"/>
      <c r="O46" s="49"/>
    </row>
    <row r="47" spans="1:19" x14ac:dyDescent="0.25">
      <c r="A47" s="18">
        <v>48</v>
      </c>
      <c r="B47" s="19">
        <v>30213</v>
      </c>
      <c r="C47" s="3" t="s">
        <v>78</v>
      </c>
      <c r="D47" s="3" t="s">
        <v>14</v>
      </c>
      <c r="E47" s="3" t="s">
        <v>443</v>
      </c>
      <c r="G47" s="11"/>
      <c r="H47" s="43"/>
      <c r="I47" s="42"/>
      <c r="J47" s="43"/>
      <c r="K47" s="52"/>
      <c r="L47" s="49"/>
      <c r="M47" s="49"/>
      <c r="N47" s="49"/>
      <c r="O47" s="49"/>
    </row>
    <row r="48" spans="1:19" x14ac:dyDescent="0.25">
      <c r="A48" s="18">
        <v>49</v>
      </c>
      <c r="B48" s="19">
        <v>30219</v>
      </c>
      <c r="C48" s="3" t="s">
        <v>22</v>
      </c>
      <c r="D48" s="3" t="s">
        <v>19</v>
      </c>
      <c r="E48" s="3" t="s">
        <v>443</v>
      </c>
      <c r="G48" s="11"/>
      <c r="H48" s="43"/>
      <c r="I48" s="42"/>
      <c r="J48" s="43"/>
      <c r="K48" s="52"/>
      <c r="L48" s="49"/>
      <c r="M48" s="49"/>
      <c r="N48" s="49"/>
      <c r="O48" s="49"/>
    </row>
    <row r="49" spans="1:19" x14ac:dyDescent="0.25">
      <c r="A49" s="18">
        <v>50</v>
      </c>
      <c r="B49" s="19">
        <v>30940</v>
      </c>
      <c r="C49" s="3" t="s">
        <v>66</v>
      </c>
      <c r="D49" s="3" t="s">
        <v>23</v>
      </c>
      <c r="E49" s="3" t="s">
        <v>442</v>
      </c>
      <c r="F49" s="11"/>
      <c r="G49" s="43"/>
      <c r="H49" s="42"/>
      <c r="I49" s="43"/>
      <c r="J49" s="52"/>
      <c r="K49" s="49"/>
      <c r="L49" s="49"/>
      <c r="M49" s="49"/>
      <c r="N49" s="49"/>
    </row>
    <row r="50" spans="1:19" x14ac:dyDescent="0.25">
      <c r="A50" s="89">
        <v>51</v>
      </c>
      <c r="B50" s="80">
        <v>30942</v>
      </c>
      <c r="C50" s="81" t="s">
        <v>11</v>
      </c>
      <c r="D50" s="81" t="s">
        <v>19</v>
      </c>
      <c r="E50" s="81" t="s">
        <v>443</v>
      </c>
      <c r="G50" s="11"/>
      <c r="H50" s="43"/>
      <c r="I50" s="42"/>
      <c r="J50" s="43"/>
      <c r="K50" s="52"/>
      <c r="L50" s="49"/>
      <c r="M50" s="49"/>
      <c r="N50" s="49"/>
      <c r="O50" s="49"/>
    </row>
    <row r="51" spans="1:19" x14ac:dyDescent="0.25">
      <c r="A51" s="18">
        <v>52</v>
      </c>
      <c r="B51" s="19">
        <v>30955</v>
      </c>
      <c r="C51" s="3" t="s">
        <v>50</v>
      </c>
      <c r="D51" s="3" t="s">
        <v>14</v>
      </c>
      <c r="E51" s="3" t="s">
        <v>443</v>
      </c>
      <c r="G51" s="11"/>
      <c r="H51" s="43"/>
      <c r="I51" s="42"/>
      <c r="J51" s="43"/>
      <c r="K51" s="52"/>
      <c r="L51" s="49"/>
      <c r="M51" s="49"/>
      <c r="N51" s="49"/>
      <c r="O51" s="49"/>
    </row>
    <row r="52" spans="1:19" x14ac:dyDescent="0.25">
      <c r="A52" s="18">
        <v>53</v>
      </c>
      <c r="B52" s="19">
        <v>31096</v>
      </c>
      <c r="C52" s="3" t="s">
        <v>94</v>
      </c>
      <c r="D52" s="3" t="s">
        <v>19</v>
      </c>
      <c r="E52" s="3" t="s">
        <v>443</v>
      </c>
      <c r="G52" s="11"/>
      <c r="H52" s="43"/>
      <c r="I52" s="42"/>
      <c r="J52" s="43"/>
      <c r="K52" s="52"/>
      <c r="L52" s="49"/>
      <c r="M52" s="49"/>
      <c r="N52" s="49"/>
      <c r="O52" s="49"/>
    </row>
    <row r="53" spans="1:19" x14ac:dyDescent="0.25">
      <c r="A53" s="89">
        <v>54</v>
      </c>
      <c r="B53" s="80">
        <v>31193</v>
      </c>
      <c r="C53" s="81" t="s">
        <v>123</v>
      </c>
      <c r="D53" s="81" t="s">
        <v>19</v>
      </c>
      <c r="E53" s="81" t="s">
        <v>443</v>
      </c>
      <c r="G53" s="41"/>
      <c r="H53" s="42"/>
      <c r="I53" s="42"/>
      <c r="J53" s="43"/>
      <c r="K53" s="52"/>
      <c r="L53" s="49"/>
      <c r="M53" s="49"/>
      <c r="N53" s="49"/>
      <c r="O53" s="49"/>
    </row>
    <row r="54" spans="1:19" x14ac:dyDescent="0.25">
      <c r="A54" s="18">
        <v>55</v>
      </c>
      <c r="B54" s="19">
        <v>31318</v>
      </c>
      <c r="C54" s="3" t="s">
        <v>50</v>
      </c>
      <c r="D54" s="3" t="s">
        <v>44</v>
      </c>
      <c r="E54" s="3" t="s">
        <v>374</v>
      </c>
      <c r="F54" s="40"/>
      <c r="G54" s="11"/>
      <c r="H54" s="43"/>
      <c r="I54" s="42"/>
      <c r="J54" s="43"/>
      <c r="K54" s="52"/>
      <c r="L54" s="49"/>
      <c r="M54" s="49"/>
      <c r="N54" s="49"/>
      <c r="O54" s="49"/>
    </row>
    <row r="55" spans="1:19" x14ac:dyDescent="0.25">
      <c r="A55" s="89">
        <v>56</v>
      </c>
      <c r="B55" s="80">
        <v>31342</v>
      </c>
      <c r="C55" s="81" t="s">
        <v>69</v>
      </c>
      <c r="D55" s="81" t="s">
        <v>19</v>
      </c>
      <c r="E55" s="81" t="s">
        <v>443</v>
      </c>
      <c r="G55" s="11"/>
      <c r="H55" s="43"/>
      <c r="I55" s="42"/>
      <c r="J55" s="43"/>
      <c r="K55" s="52"/>
      <c r="L55" s="49"/>
      <c r="M55" s="49"/>
      <c r="N55" s="49"/>
      <c r="O55" s="49"/>
    </row>
    <row r="56" spans="1:19" x14ac:dyDescent="0.25">
      <c r="A56" s="18">
        <v>57</v>
      </c>
      <c r="B56" s="19">
        <v>31752</v>
      </c>
      <c r="C56" s="3" t="s">
        <v>22</v>
      </c>
      <c r="D56" s="3" t="s">
        <v>14</v>
      </c>
      <c r="E56" s="3" t="s">
        <v>443</v>
      </c>
      <c r="G56" s="46"/>
      <c r="H56" s="47"/>
      <c r="I56" s="44"/>
      <c r="J56" s="47"/>
      <c r="K56" s="53"/>
      <c r="L56" s="50"/>
      <c r="M56" s="50"/>
      <c r="N56" s="50"/>
      <c r="O56" s="50"/>
    </row>
    <row r="57" spans="1:19" x14ac:dyDescent="0.25">
      <c r="A57" s="18">
        <v>58</v>
      </c>
      <c r="B57" s="19">
        <v>32004</v>
      </c>
      <c r="C57" s="3" t="s">
        <v>66</v>
      </c>
      <c r="D57" s="3" t="s">
        <v>19</v>
      </c>
      <c r="E57" s="3" t="s">
        <v>443</v>
      </c>
      <c r="F57" s="45"/>
      <c r="G57" s="11"/>
      <c r="H57" s="43"/>
      <c r="I57" s="42"/>
      <c r="J57" s="43"/>
      <c r="K57" s="52"/>
      <c r="L57" s="49"/>
      <c r="M57" s="49"/>
      <c r="N57" s="49"/>
      <c r="O57" s="49"/>
    </row>
    <row r="58" spans="1:19" x14ac:dyDescent="0.25">
      <c r="A58" s="18">
        <v>59</v>
      </c>
      <c r="B58" s="19">
        <v>32076</v>
      </c>
      <c r="C58" s="3" t="s">
        <v>52</v>
      </c>
      <c r="D58" s="3" t="s">
        <v>19</v>
      </c>
      <c r="E58" s="3" t="s">
        <v>443</v>
      </c>
      <c r="G58" s="11"/>
      <c r="H58" s="43"/>
      <c r="I58" s="42"/>
      <c r="J58" s="43"/>
      <c r="K58" s="52"/>
      <c r="L58" s="49"/>
      <c r="M58" s="49"/>
      <c r="N58" s="49"/>
      <c r="O58" s="49"/>
    </row>
    <row r="59" spans="1:19" x14ac:dyDescent="0.25">
      <c r="A59" s="18">
        <v>60</v>
      </c>
      <c r="B59" s="19">
        <v>32257</v>
      </c>
      <c r="C59" s="3" t="s">
        <v>28</v>
      </c>
      <c r="D59" s="3" t="s">
        <v>44</v>
      </c>
      <c r="E59" s="3" t="s">
        <v>374</v>
      </c>
      <c r="G59" s="11"/>
      <c r="H59" s="43"/>
      <c r="I59" s="42"/>
      <c r="J59" s="43"/>
      <c r="K59" s="52"/>
      <c r="L59" s="49"/>
      <c r="M59" s="49"/>
      <c r="N59" s="49"/>
      <c r="O59" s="49"/>
    </row>
    <row r="60" spans="1:19" x14ac:dyDescent="0.25">
      <c r="A60" s="18">
        <v>61</v>
      </c>
      <c r="B60" s="19">
        <v>32366</v>
      </c>
      <c r="C60" s="3" t="s">
        <v>136</v>
      </c>
      <c r="D60" s="3" t="s">
        <v>19</v>
      </c>
      <c r="E60" s="3" t="s">
        <v>443</v>
      </c>
      <c r="G60" s="11"/>
      <c r="H60" s="43"/>
      <c r="I60" s="42"/>
      <c r="J60" s="43"/>
      <c r="K60" s="52"/>
      <c r="L60" s="49"/>
      <c r="M60" s="49"/>
      <c r="N60" s="49"/>
      <c r="O60" s="49"/>
    </row>
    <row r="61" spans="1:19" x14ac:dyDescent="0.25">
      <c r="A61" s="18">
        <v>62</v>
      </c>
      <c r="B61" s="19">
        <v>32534</v>
      </c>
      <c r="C61" s="3" t="s">
        <v>46</v>
      </c>
      <c r="D61" s="3" t="s">
        <v>23</v>
      </c>
      <c r="E61" s="3" t="s">
        <v>442</v>
      </c>
      <c r="G61" s="11"/>
      <c r="H61" s="43"/>
      <c r="I61" s="42"/>
      <c r="J61" s="43"/>
      <c r="K61" s="52"/>
      <c r="L61" s="49"/>
      <c r="M61" s="49"/>
      <c r="N61" s="49"/>
      <c r="O61" s="49"/>
    </row>
    <row r="62" spans="1:19" s="45" customFormat="1" x14ac:dyDescent="0.25">
      <c r="A62" s="18">
        <v>63</v>
      </c>
      <c r="B62" s="19">
        <v>32760</v>
      </c>
      <c r="C62" s="3" t="s">
        <v>58</v>
      </c>
      <c r="D62" s="3" t="s">
        <v>14</v>
      </c>
      <c r="E62" s="3" t="s">
        <v>443</v>
      </c>
      <c r="F62"/>
      <c r="G62" s="11"/>
      <c r="H62" s="43"/>
      <c r="I62" s="42"/>
      <c r="J62" s="43"/>
      <c r="K62" s="52"/>
      <c r="L62" s="49"/>
      <c r="M62" s="49"/>
      <c r="N62" s="49"/>
      <c r="O62" s="49"/>
      <c r="P62"/>
      <c r="R62" s="46"/>
      <c r="S62" s="46"/>
    </row>
    <row r="63" spans="1:19" x14ac:dyDescent="0.25">
      <c r="A63" s="18">
        <v>64</v>
      </c>
      <c r="B63" s="19">
        <v>32885</v>
      </c>
      <c r="C63" s="3" t="s">
        <v>66</v>
      </c>
      <c r="D63" s="3" t="s">
        <v>44</v>
      </c>
      <c r="E63" s="3" t="s">
        <v>374</v>
      </c>
      <c r="G63" s="48"/>
      <c r="H63" s="44"/>
      <c r="I63" s="44"/>
      <c r="J63" s="47"/>
      <c r="K63" s="53"/>
      <c r="L63" s="50"/>
      <c r="M63" s="50"/>
      <c r="N63" s="50"/>
      <c r="O63" s="50"/>
      <c r="P63" s="45"/>
    </row>
    <row r="64" spans="1:19" x14ac:dyDescent="0.25">
      <c r="A64" s="18">
        <v>65</v>
      </c>
      <c r="B64" s="19">
        <v>33113</v>
      </c>
      <c r="C64" s="3" t="s">
        <v>97</v>
      </c>
      <c r="D64" s="3" t="s">
        <v>19</v>
      </c>
      <c r="E64" s="3" t="s">
        <v>443</v>
      </c>
      <c r="F64" s="54"/>
      <c r="G64" s="48"/>
      <c r="H64" s="44"/>
      <c r="I64" s="44"/>
      <c r="J64" s="47"/>
      <c r="K64" s="53"/>
      <c r="L64" s="50"/>
      <c r="M64" s="50"/>
      <c r="N64" s="50"/>
      <c r="O64" s="50"/>
    </row>
    <row r="65" spans="1:15" x14ac:dyDescent="0.25">
      <c r="A65" s="18">
        <v>66</v>
      </c>
      <c r="B65" s="19">
        <v>33121</v>
      </c>
      <c r="C65" s="3" t="s">
        <v>97</v>
      </c>
      <c r="D65" s="3" t="s">
        <v>44</v>
      </c>
      <c r="E65" s="3" t="s">
        <v>374</v>
      </c>
      <c r="F65" s="54"/>
      <c r="G65" s="11"/>
      <c r="H65" s="43"/>
      <c r="I65" s="42"/>
      <c r="J65" s="43"/>
      <c r="K65" s="52"/>
      <c r="L65" s="49"/>
      <c r="M65" s="49"/>
      <c r="N65" s="49"/>
      <c r="O65" s="49"/>
    </row>
    <row r="66" spans="1:15" x14ac:dyDescent="0.25">
      <c r="A66" s="18">
        <v>67</v>
      </c>
      <c r="B66" s="19">
        <v>33124</v>
      </c>
      <c r="C66" s="3" t="s">
        <v>42</v>
      </c>
      <c r="D66" s="3" t="s">
        <v>14</v>
      </c>
      <c r="E66" s="3" t="s">
        <v>443</v>
      </c>
      <c r="G66" s="11"/>
      <c r="H66" s="43"/>
      <c r="I66" s="42"/>
      <c r="J66" s="43"/>
      <c r="K66" s="52"/>
      <c r="L66" s="49"/>
      <c r="M66" s="49"/>
      <c r="N66" s="49"/>
      <c r="O66" s="49"/>
    </row>
    <row r="67" spans="1:15" x14ac:dyDescent="0.25">
      <c r="A67" s="18">
        <v>68</v>
      </c>
      <c r="B67" s="19">
        <v>33180</v>
      </c>
      <c r="C67" s="3" t="s">
        <v>22</v>
      </c>
      <c r="D67" s="3" t="s">
        <v>14</v>
      </c>
      <c r="E67" s="3" t="s">
        <v>443</v>
      </c>
      <c r="G67" s="46"/>
      <c r="H67" s="47"/>
      <c r="I67" s="44"/>
      <c r="J67" s="47"/>
      <c r="K67" s="53"/>
      <c r="L67" s="50"/>
      <c r="M67" s="50"/>
      <c r="N67" s="50"/>
      <c r="O67" s="50"/>
    </row>
    <row r="68" spans="1:15" x14ac:dyDescent="0.25">
      <c r="A68" s="18">
        <v>69</v>
      </c>
      <c r="B68" s="19">
        <v>33420</v>
      </c>
      <c r="C68" s="3" t="s">
        <v>52</v>
      </c>
      <c r="D68" s="3" t="s">
        <v>14</v>
      </c>
      <c r="E68" s="3" t="s">
        <v>443</v>
      </c>
      <c r="F68" s="45"/>
      <c r="G68" s="11"/>
      <c r="H68" s="43"/>
      <c r="I68" s="42"/>
      <c r="J68" s="43"/>
      <c r="K68" s="52"/>
      <c r="L68" s="49"/>
      <c r="M68" s="49"/>
      <c r="N68" s="49"/>
      <c r="O68" s="49"/>
    </row>
    <row r="69" spans="1:15" x14ac:dyDescent="0.25">
      <c r="A69" s="18">
        <v>70</v>
      </c>
      <c r="B69" s="19">
        <v>33516</v>
      </c>
      <c r="C69" s="3" t="s">
        <v>52</v>
      </c>
      <c r="D69" s="3" t="s">
        <v>14</v>
      </c>
      <c r="E69" s="3" t="s">
        <v>443</v>
      </c>
      <c r="G69" s="11"/>
      <c r="H69" s="43"/>
      <c r="I69" s="43"/>
      <c r="J69" s="43"/>
      <c r="K69" s="52"/>
      <c r="L69" s="49"/>
      <c r="M69" s="49"/>
      <c r="N69" s="49"/>
      <c r="O69" s="49"/>
    </row>
    <row r="70" spans="1:15" x14ac:dyDescent="0.25">
      <c r="A70" s="18">
        <v>71</v>
      </c>
      <c r="B70" s="19">
        <v>33520</v>
      </c>
      <c r="C70" s="3" t="s">
        <v>50</v>
      </c>
      <c r="D70" s="3" t="s">
        <v>44</v>
      </c>
      <c r="E70" s="3" t="s">
        <v>374</v>
      </c>
      <c r="G70" s="11"/>
      <c r="H70" s="43"/>
      <c r="I70" s="43"/>
      <c r="J70" s="43"/>
      <c r="K70" s="52"/>
      <c r="L70" s="49"/>
      <c r="M70" s="49"/>
      <c r="N70" s="49"/>
      <c r="O70" s="49"/>
    </row>
    <row r="71" spans="1:15" x14ac:dyDescent="0.25">
      <c r="A71" s="18">
        <v>72</v>
      </c>
      <c r="B71" s="19">
        <v>33576</v>
      </c>
      <c r="C71" s="3" t="s">
        <v>97</v>
      </c>
      <c r="D71" s="3" t="s">
        <v>44</v>
      </c>
      <c r="E71" s="3" t="s">
        <v>374</v>
      </c>
      <c r="G71" s="11"/>
      <c r="H71" s="43"/>
      <c r="I71" s="43"/>
      <c r="J71" s="43"/>
      <c r="K71" s="52"/>
      <c r="L71" s="49"/>
      <c r="M71" s="49"/>
      <c r="N71" s="49"/>
      <c r="O71" s="49"/>
    </row>
    <row r="72" spans="1:15" x14ac:dyDescent="0.25">
      <c r="A72" s="18">
        <v>73</v>
      </c>
      <c r="B72" s="19">
        <v>33834</v>
      </c>
      <c r="C72" s="3" t="s">
        <v>136</v>
      </c>
      <c r="D72" s="3" t="s">
        <v>44</v>
      </c>
      <c r="E72" s="3" t="s">
        <v>374</v>
      </c>
      <c r="G72" s="11"/>
      <c r="H72" s="43"/>
      <c r="I72" s="43"/>
      <c r="J72" s="43"/>
      <c r="K72" s="42"/>
      <c r="L72" s="42"/>
      <c r="M72" s="42"/>
      <c r="N72" s="42"/>
      <c r="O72" s="42"/>
    </row>
    <row r="73" spans="1:15" x14ac:dyDescent="0.25">
      <c r="A73" s="18">
        <v>74</v>
      </c>
      <c r="B73" s="19">
        <v>33906</v>
      </c>
      <c r="C73" s="3" t="s">
        <v>94</v>
      </c>
      <c r="D73" s="3" t="s">
        <v>19</v>
      </c>
      <c r="E73" s="3" t="s">
        <v>443</v>
      </c>
      <c r="G73" s="11"/>
      <c r="H73" s="43"/>
      <c r="I73" s="43"/>
      <c r="J73" s="43"/>
      <c r="K73" s="43"/>
      <c r="L73" s="43"/>
      <c r="M73" s="43"/>
      <c r="N73" s="43"/>
      <c r="O73" s="43"/>
    </row>
    <row r="74" spans="1:15" x14ac:dyDescent="0.25">
      <c r="A74" s="89">
        <v>75</v>
      </c>
      <c r="B74" s="80">
        <v>33919</v>
      </c>
      <c r="C74" s="81" t="s">
        <v>163</v>
      </c>
      <c r="D74" s="81" t="s">
        <v>19</v>
      </c>
      <c r="E74" s="81" t="s">
        <v>443</v>
      </c>
      <c r="G74" s="11"/>
      <c r="H74" s="43"/>
      <c r="I74" s="43"/>
      <c r="J74" s="43"/>
      <c r="K74" s="43"/>
      <c r="L74" s="43"/>
      <c r="M74" s="43"/>
      <c r="N74" s="43"/>
      <c r="O74" s="43"/>
    </row>
    <row r="75" spans="1:15" x14ac:dyDescent="0.25">
      <c r="A75" s="18">
        <v>76</v>
      </c>
      <c r="B75" s="19">
        <v>33922</v>
      </c>
      <c r="C75" s="3" t="s">
        <v>66</v>
      </c>
      <c r="D75" s="3" t="s">
        <v>44</v>
      </c>
      <c r="E75" s="3" t="s">
        <v>374</v>
      </c>
      <c r="G75" s="11"/>
      <c r="H75" s="43"/>
      <c r="I75" s="43"/>
      <c r="J75" s="43"/>
      <c r="K75" s="43"/>
      <c r="L75" s="43"/>
      <c r="M75" s="43"/>
      <c r="N75" s="43"/>
      <c r="O75" s="43"/>
    </row>
    <row r="76" spans="1:15" x14ac:dyDescent="0.25">
      <c r="A76" s="89">
        <v>77</v>
      </c>
      <c r="B76" s="80">
        <v>33937</v>
      </c>
      <c r="C76" s="81" t="s">
        <v>11</v>
      </c>
      <c r="D76" s="81" t="s">
        <v>19</v>
      </c>
      <c r="E76" s="81" t="s">
        <v>443</v>
      </c>
      <c r="G76" s="11"/>
      <c r="H76" s="43"/>
      <c r="I76" s="43"/>
      <c r="J76" s="43"/>
      <c r="K76" s="43"/>
      <c r="L76" s="43"/>
      <c r="M76" s="43"/>
      <c r="N76" s="43"/>
      <c r="O76" s="43"/>
    </row>
    <row r="77" spans="1:15" x14ac:dyDescent="0.25">
      <c r="A77" s="18">
        <v>78</v>
      </c>
      <c r="B77" s="19">
        <v>34040</v>
      </c>
      <c r="C77" s="3" t="s">
        <v>66</v>
      </c>
      <c r="D77" s="3" t="s">
        <v>44</v>
      </c>
      <c r="E77" s="3" t="s">
        <v>374</v>
      </c>
      <c r="G77" s="11"/>
      <c r="H77" s="43"/>
      <c r="I77" s="43"/>
      <c r="J77" s="43"/>
      <c r="K77" s="43"/>
      <c r="L77" s="43"/>
      <c r="M77" s="43"/>
      <c r="N77" s="43"/>
      <c r="O77" s="43"/>
    </row>
    <row r="78" spans="1:15" x14ac:dyDescent="0.25">
      <c r="A78" s="18">
        <v>79</v>
      </c>
      <c r="B78" s="19">
        <v>34193</v>
      </c>
      <c r="C78" s="3" t="s">
        <v>78</v>
      </c>
      <c r="D78" s="3" t="s">
        <v>14</v>
      </c>
      <c r="E78" s="3" t="s">
        <v>443</v>
      </c>
      <c r="G78" s="11"/>
      <c r="H78" s="43"/>
      <c r="I78" s="43"/>
      <c r="J78" s="43"/>
      <c r="K78" s="43"/>
      <c r="L78" s="43"/>
      <c r="M78" s="43"/>
      <c r="N78" s="43"/>
      <c r="O78" s="43"/>
    </row>
    <row r="79" spans="1:15" x14ac:dyDescent="0.25">
      <c r="A79" s="18">
        <v>80</v>
      </c>
      <c r="B79" s="19">
        <v>34252</v>
      </c>
      <c r="C79" s="3" t="s">
        <v>42</v>
      </c>
      <c r="D79" s="3" t="s">
        <v>44</v>
      </c>
      <c r="E79" s="3" t="s">
        <v>374</v>
      </c>
      <c r="G79" s="11"/>
      <c r="H79" s="43"/>
      <c r="I79" s="43"/>
      <c r="J79" s="43"/>
      <c r="K79" s="43"/>
      <c r="L79" s="43"/>
      <c r="M79" s="43"/>
      <c r="N79" s="43"/>
      <c r="O79" s="43"/>
    </row>
    <row r="80" spans="1:15" x14ac:dyDescent="0.25">
      <c r="A80" s="18">
        <v>81</v>
      </c>
      <c r="B80" s="19">
        <v>34272</v>
      </c>
      <c r="C80" s="3" t="s">
        <v>97</v>
      </c>
      <c r="D80" s="3" t="s">
        <v>14</v>
      </c>
      <c r="E80" s="3" t="s">
        <v>443</v>
      </c>
      <c r="G80" s="48"/>
      <c r="H80" s="44"/>
      <c r="I80" s="47"/>
      <c r="J80" s="47"/>
      <c r="K80" s="47"/>
      <c r="L80" s="47"/>
      <c r="M80" s="47"/>
      <c r="N80" s="47"/>
      <c r="O80" s="47"/>
    </row>
    <row r="81" spans="1:15" x14ac:dyDescent="0.25">
      <c r="A81" s="18">
        <v>82</v>
      </c>
      <c r="B81" s="19">
        <v>34677</v>
      </c>
      <c r="C81" s="3" t="s">
        <v>94</v>
      </c>
      <c r="D81" s="3" t="s">
        <v>23</v>
      </c>
      <c r="E81" s="3" t="s">
        <v>442</v>
      </c>
      <c r="F81" s="54"/>
      <c r="G81" s="41"/>
      <c r="H81" s="42"/>
      <c r="I81" s="43"/>
      <c r="J81" s="43"/>
      <c r="K81" s="43"/>
      <c r="L81" s="43"/>
      <c r="M81" s="43"/>
      <c r="N81" s="43"/>
      <c r="O81" s="43"/>
    </row>
    <row r="82" spans="1:15" x14ac:dyDescent="0.25">
      <c r="A82" s="18">
        <v>83</v>
      </c>
      <c r="B82" s="19">
        <v>34874</v>
      </c>
      <c r="C82" s="3" t="s">
        <v>11</v>
      </c>
      <c r="D82" s="3" t="s">
        <v>19</v>
      </c>
      <c r="E82" s="3" t="s">
        <v>443</v>
      </c>
      <c r="F82" s="40"/>
      <c r="G82" s="11"/>
      <c r="H82" s="43"/>
      <c r="I82" s="43"/>
      <c r="J82" s="43"/>
      <c r="K82" s="43"/>
      <c r="L82" s="43"/>
      <c r="M82" s="43"/>
      <c r="N82" s="43"/>
      <c r="O82" s="43"/>
    </row>
    <row r="83" spans="1:15" x14ac:dyDescent="0.25">
      <c r="A83" s="18">
        <v>84</v>
      </c>
      <c r="B83" s="19">
        <v>34880</v>
      </c>
      <c r="C83" s="3" t="s">
        <v>22</v>
      </c>
      <c r="D83" s="3" t="s">
        <v>14</v>
      </c>
      <c r="E83" s="3" t="s">
        <v>443</v>
      </c>
      <c r="G83" s="11"/>
      <c r="H83" s="43"/>
      <c r="I83" s="43"/>
      <c r="J83" s="43"/>
      <c r="K83" s="43"/>
      <c r="L83" s="43"/>
      <c r="M83" s="43"/>
      <c r="N83" s="43"/>
      <c r="O83" s="43"/>
    </row>
    <row r="84" spans="1:15" x14ac:dyDescent="0.25">
      <c r="A84" s="18">
        <v>85</v>
      </c>
      <c r="B84" s="19">
        <v>34945</v>
      </c>
      <c r="C84" s="3" t="s">
        <v>97</v>
      </c>
      <c r="D84" s="3" t="s">
        <v>14</v>
      </c>
      <c r="E84" s="3" t="s">
        <v>443</v>
      </c>
      <c r="G84" s="11"/>
      <c r="H84" s="43"/>
      <c r="I84" s="43"/>
      <c r="J84" s="43"/>
      <c r="K84" s="43"/>
      <c r="L84" s="43"/>
      <c r="M84" s="43"/>
      <c r="N84" s="43"/>
      <c r="O84" s="43"/>
    </row>
    <row r="85" spans="1:15" x14ac:dyDescent="0.25">
      <c r="A85" s="18">
        <v>86</v>
      </c>
      <c r="B85" s="19">
        <v>34970</v>
      </c>
      <c r="C85" s="3" t="s">
        <v>52</v>
      </c>
      <c r="D85" s="3" t="s">
        <v>19</v>
      </c>
      <c r="E85" s="3" t="s">
        <v>443</v>
      </c>
      <c r="G85" s="11"/>
      <c r="H85" s="43"/>
      <c r="I85" s="43"/>
      <c r="J85" s="43"/>
      <c r="K85" s="43"/>
      <c r="L85" s="43"/>
      <c r="M85" s="43"/>
      <c r="N85" s="43"/>
      <c r="O85" s="43"/>
    </row>
    <row r="86" spans="1:15" x14ac:dyDescent="0.25">
      <c r="A86" s="18">
        <v>87</v>
      </c>
      <c r="B86" s="19">
        <v>35290</v>
      </c>
      <c r="C86" s="3" t="s">
        <v>50</v>
      </c>
      <c r="D86" s="3" t="s">
        <v>14</v>
      </c>
      <c r="E86" s="3" t="s">
        <v>443</v>
      </c>
    </row>
    <row r="87" spans="1:15" x14ac:dyDescent="0.25">
      <c r="A87" s="18">
        <v>88</v>
      </c>
      <c r="B87" s="19">
        <v>35341</v>
      </c>
      <c r="C87" s="3" t="s">
        <v>42</v>
      </c>
      <c r="D87" s="3" t="s">
        <v>44</v>
      </c>
      <c r="E87" s="3" t="s">
        <v>374</v>
      </c>
      <c r="G87" s="46"/>
      <c r="H87" s="47"/>
      <c r="I87" s="47"/>
      <c r="J87" s="47"/>
      <c r="K87" s="47"/>
      <c r="L87" s="47"/>
      <c r="M87" s="47"/>
      <c r="N87" s="47"/>
      <c r="O87" s="47"/>
    </row>
    <row r="88" spans="1:15" x14ac:dyDescent="0.25">
      <c r="A88" s="18">
        <v>89</v>
      </c>
      <c r="B88" s="19">
        <v>35343</v>
      </c>
      <c r="C88" s="3" t="s">
        <v>50</v>
      </c>
      <c r="D88" s="3" t="s">
        <v>14</v>
      </c>
      <c r="E88" s="3" t="s">
        <v>443</v>
      </c>
      <c r="F88" s="45"/>
      <c r="G88" s="11"/>
      <c r="H88" s="43"/>
      <c r="I88" s="43"/>
      <c r="J88" s="43"/>
      <c r="K88" s="43"/>
      <c r="L88" s="43"/>
      <c r="M88" s="43"/>
      <c r="N88" s="43"/>
      <c r="O88" s="43"/>
    </row>
    <row r="89" spans="1:15" x14ac:dyDescent="0.25">
      <c r="A89" s="18">
        <v>90</v>
      </c>
      <c r="B89" s="19">
        <v>35398</v>
      </c>
      <c r="C89" s="3" t="s">
        <v>42</v>
      </c>
      <c r="D89" s="3" t="s">
        <v>19</v>
      </c>
      <c r="E89" s="3" t="s">
        <v>443</v>
      </c>
      <c r="G89" s="11"/>
      <c r="H89" s="43"/>
      <c r="I89" s="43"/>
      <c r="J89" s="43"/>
      <c r="K89" s="43"/>
      <c r="L89" s="43"/>
      <c r="M89" s="43"/>
      <c r="N89" s="43"/>
      <c r="O89" s="43"/>
    </row>
    <row r="90" spans="1:15" x14ac:dyDescent="0.25">
      <c r="A90" s="18">
        <v>91</v>
      </c>
      <c r="B90" s="19">
        <v>35666</v>
      </c>
      <c r="C90" s="3" t="s">
        <v>97</v>
      </c>
      <c r="D90" s="3" t="s">
        <v>14</v>
      </c>
      <c r="E90" s="3" t="s">
        <v>443</v>
      </c>
      <c r="G90" s="11"/>
      <c r="H90" s="43"/>
      <c r="I90" s="43"/>
      <c r="J90" s="43"/>
      <c r="K90" s="43"/>
      <c r="L90" s="43"/>
      <c r="M90" s="43"/>
      <c r="N90" s="43"/>
      <c r="O90" s="43"/>
    </row>
    <row r="91" spans="1:15" x14ac:dyDescent="0.25">
      <c r="A91" s="18">
        <v>92</v>
      </c>
      <c r="B91" s="19">
        <v>36033</v>
      </c>
      <c r="C91" s="3" t="s">
        <v>50</v>
      </c>
      <c r="D91" s="3" t="s">
        <v>14</v>
      </c>
      <c r="E91" s="3" t="s">
        <v>443</v>
      </c>
      <c r="G91" s="11"/>
      <c r="H91" s="43"/>
      <c r="I91" s="43"/>
      <c r="J91" s="43"/>
      <c r="K91" s="43"/>
      <c r="L91" s="43"/>
      <c r="M91" s="43"/>
      <c r="N91" s="43"/>
      <c r="O91" s="43"/>
    </row>
    <row r="92" spans="1:15" x14ac:dyDescent="0.25">
      <c r="A92" s="18">
        <v>93</v>
      </c>
      <c r="B92" s="19">
        <v>36479</v>
      </c>
      <c r="C92" s="3" t="s">
        <v>52</v>
      </c>
      <c r="D92" s="3" t="s">
        <v>44</v>
      </c>
      <c r="E92" s="3" t="s">
        <v>374</v>
      </c>
      <c r="G92" s="11"/>
      <c r="H92" s="43"/>
      <c r="I92" s="43"/>
      <c r="J92" s="43"/>
      <c r="K92" s="43"/>
      <c r="L92" s="43"/>
      <c r="M92" s="43"/>
      <c r="N92" s="43"/>
      <c r="O92" s="43"/>
    </row>
    <row r="93" spans="1:15" x14ac:dyDescent="0.25">
      <c r="A93" s="18">
        <v>94</v>
      </c>
      <c r="B93" s="19">
        <v>36798</v>
      </c>
      <c r="C93" s="3" t="s">
        <v>66</v>
      </c>
      <c r="D93" s="3" t="s">
        <v>44</v>
      </c>
      <c r="E93" s="3" t="s">
        <v>374</v>
      </c>
      <c r="G93" s="11"/>
      <c r="H93" s="43"/>
      <c r="I93" s="43"/>
      <c r="J93" s="43"/>
      <c r="K93" s="43"/>
      <c r="L93" s="43"/>
      <c r="M93" s="43"/>
      <c r="N93" s="43"/>
      <c r="O93" s="43"/>
    </row>
    <row r="94" spans="1:15" x14ac:dyDescent="0.25">
      <c r="A94" s="18">
        <v>95</v>
      </c>
      <c r="B94" s="19">
        <v>36834</v>
      </c>
      <c r="C94" s="3" t="s">
        <v>97</v>
      </c>
      <c r="D94" s="3" t="s">
        <v>14</v>
      </c>
      <c r="E94" s="3" t="s">
        <v>443</v>
      </c>
      <c r="G94" s="11"/>
      <c r="H94" s="43"/>
      <c r="I94" s="43"/>
      <c r="J94" s="43"/>
      <c r="K94" s="43"/>
      <c r="L94" s="43"/>
      <c r="M94" s="43"/>
      <c r="N94" s="43"/>
      <c r="O94" s="43"/>
    </row>
    <row r="95" spans="1:15" x14ac:dyDescent="0.25">
      <c r="A95" s="18">
        <v>97</v>
      </c>
      <c r="B95" s="19">
        <v>37407</v>
      </c>
      <c r="C95" s="5" t="s">
        <v>50</v>
      </c>
      <c r="D95" s="5" t="s">
        <v>14</v>
      </c>
      <c r="E95" s="5" t="s">
        <v>443</v>
      </c>
      <c r="G95" s="46"/>
      <c r="H95" s="47"/>
      <c r="I95" s="47"/>
      <c r="J95" s="47"/>
      <c r="K95" s="47"/>
      <c r="L95" s="47"/>
      <c r="M95" s="47"/>
      <c r="N95" s="47"/>
      <c r="O95" s="47"/>
    </row>
    <row r="96" spans="1:15" x14ac:dyDescent="0.25">
      <c r="A96" s="18">
        <v>98</v>
      </c>
      <c r="B96" s="19">
        <v>37520</v>
      </c>
      <c r="C96" s="5" t="s">
        <v>97</v>
      </c>
      <c r="D96" s="5" t="s">
        <v>44</v>
      </c>
      <c r="E96" s="5" t="s">
        <v>374</v>
      </c>
      <c r="F96" s="45"/>
      <c r="G96" s="48"/>
      <c r="H96" s="44"/>
      <c r="I96" s="47"/>
      <c r="J96" s="47"/>
      <c r="K96" s="47"/>
      <c r="L96" s="47"/>
      <c r="M96" s="47"/>
      <c r="N96" s="47"/>
      <c r="O96" s="47"/>
    </row>
    <row r="97" spans="1:16" x14ac:dyDescent="0.25">
      <c r="A97" s="18">
        <v>99</v>
      </c>
      <c r="B97" s="19">
        <v>37588</v>
      </c>
      <c r="C97" s="3" t="s">
        <v>42</v>
      </c>
      <c r="D97" s="3" t="s">
        <v>14</v>
      </c>
      <c r="E97" s="3" t="s">
        <v>443</v>
      </c>
      <c r="F97" s="54"/>
      <c r="G97" s="41"/>
      <c r="H97" s="42"/>
      <c r="I97" s="43"/>
      <c r="J97" s="43"/>
      <c r="K97" s="43"/>
      <c r="L97" s="43"/>
      <c r="M97" s="43"/>
      <c r="N97" s="43"/>
      <c r="O97" s="43"/>
    </row>
    <row r="98" spans="1:16" x14ac:dyDescent="0.25">
      <c r="A98" s="18">
        <v>100</v>
      </c>
      <c r="B98" s="19">
        <v>37852</v>
      </c>
      <c r="C98" s="3" t="s">
        <v>28</v>
      </c>
      <c r="D98" s="3" t="s">
        <v>23</v>
      </c>
      <c r="E98" s="3" t="s">
        <v>442</v>
      </c>
      <c r="F98" s="40"/>
      <c r="G98" s="11"/>
      <c r="H98" s="43"/>
      <c r="I98" s="43"/>
      <c r="J98" s="43"/>
      <c r="K98" s="43"/>
      <c r="L98" s="43"/>
      <c r="M98" s="43"/>
      <c r="N98" s="43"/>
      <c r="O98" s="43"/>
    </row>
    <row r="99" spans="1:16" x14ac:dyDescent="0.25">
      <c r="A99" s="18">
        <v>101</v>
      </c>
      <c r="B99" s="19">
        <v>38135</v>
      </c>
      <c r="C99" s="3" t="s">
        <v>42</v>
      </c>
      <c r="D99" s="3" t="s">
        <v>44</v>
      </c>
      <c r="E99" s="3" t="s">
        <v>374</v>
      </c>
      <c r="G99" s="11"/>
      <c r="H99" s="43"/>
      <c r="I99" s="43"/>
      <c r="J99" s="43"/>
      <c r="K99" s="43"/>
      <c r="L99" s="43"/>
      <c r="M99" s="43"/>
      <c r="N99" s="43"/>
      <c r="O99" s="43"/>
    </row>
    <row r="100" spans="1:16" x14ac:dyDescent="0.25">
      <c r="A100" s="18">
        <v>102</v>
      </c>
      <c r="B100" s="19">
        <v>38164</v>
      </c>
      <c r="C100" s="3" t="s">
        <v>11</v>
      </c>
      <c r="D100" s="3" t="s">
        <v>44</v>
      </c>
      <c r="E100" s="3" t="s">
        <v>374</v>
      </c>
      <c r="G100" s="11"/>
      <c r="H100" s="43"/>
      <c r="I100" s="43"/>
      <c r="J100" s="43"/>
      <c r="K100" s="43"/>
      <c r="L100" s="43"/>
      <c r="M100" s="43"/>
      <c r="N100" s="43"/>
      <c r="O100" s="43"/>
    </row>
    <row r="101" spans="1:16" x14ac:dyDescent="0.25">
      <c r="A101" s="18">
        <v>103</v>
      </c>
      <c r="B101" s="19">
        <v>38214</v>
      </c>
      <c r="C101" s="3" t="s">
        <v>78</v>
      </c>
      <c r="D101" s="3" t="s">
        <v>23</v>
      </c>
      <c r="E101" s="3" t="s">
        <v>442</v>
      </c>
      <c r="G101" s="11"/>
      <c r="H101" s="43"/>
      <c r="I101" s="43"/>
      <c r="J101" s="43"/>
      <c r="K101" s="43"/>
      <c r="L101" s="43"/>
      <c r="M101" s="43"/>
      <c r="N101" s="43"/>
      <c r="O101" s="43"/>
    </row>
    <row r="102" spans="1:16" x14ac:dyDescent="0.25">
      <c r="A102" s="18">
        <v>104</v>
      </c>
      <c r="B102" s="19">
        <v>38219</v>
      </c>
      <c r="C102" s="3" t="s">
        <v>123</v>
      </c>
      <c r="D102" s="3" t="s">
        <v>19</v>
      </c>
      <c r="E102" s="3" t="s">
        <v>443</v>
      </c>
      <c r="G102" s="11"/>
      <c r="H102" s="43"/>
      <c r="I102" s="43"/>
      <c r="J102" s="43"/>
      <c r="K102" s="43"/>
      <c r="L102" s="43"/>
      <c r="M102" s="43"/>
      <c r="N102" s="43"/>
      <c r="O102" s="43"/>
    </row>
    <row r="103" spans="1:16" x14ac:dyDescent="0.25">
      <c r="A103" s="18">
        <v>105</v>
      </c>
      <c r="B103" s="19">
        <v>38261</v>
      </c>
      <c r="C103" s="3" t="s">
        <v>123</v>
      </c>
      <c r="D103" s="3" t="s">
        <v>44</v>
      </c>
      <c r="E103" s="3" t="s">
        <v>374</v>
      </c>
      <c r="G103" s="48"/>
      <c r="H103" s="44"/>
      <c r="I103" s="47"/>
      <c r="J103" s="47"/>
      <c r="K103" s="47"/>
      <c r="L103" s="47"/>
      <c r="M103" s="47"/>
      <c r="N103" s="47"/>
      <c r="O103" s="47"/>
    </row>
    <row r="104" spans="1:16" x14ac:dyDescent="0.25">
      <c r="A104" s="18">
        <v>106</v>
      </c>
      <c r="B104" s="19">
        <v>38262</v>
      </c>
      <c r="C104" s="3" t="s">
        <v>28</v>
      </c>
      <c r="D104" s="3" t="s">
        <v>44</v>
      </c>
      <c r="E104" s="3" t="s">
        <v>374</v>
      </c>
      <c r="F104" s="54"/>
      <c r="G104" s="48"/>
      <c r="H104" s="44"/>
      <c r="I104" s="47"/>
      <c r="J104" s="47"/>
      <c r="K104" s="47"/>
      <c r="L104" s="47"/>
      <c r="M104" s="47"/>
      <c r="N104" s="47"/>
      <c r="O104" s="47"/>
    </row>
    <row r="105" spans="1:16" x14ac:dyDescent="0.25">
      <c r="A105" s="18">
        <v>107</v>
      </c>
      <c r="B105" s="19">
        <v>38270</v>
      </c>
      <c r="C105" s="3" t="s">
        <v>50</v>
      </c>
      <c r="D105" s="3" t="s">
        <v>19</v>
      </c>
      <c r="E105" s="3" t="s">
        <v>443</v>
      </c>
      <c r="F105" s="54"/>
      <c r="G105" s="41"/>
      <c r="H105" s="42"/>
      <c r="I105" s="43"/>
      <c r="J105" s="43"/>
      <c r="K105" s="43"/>
      <c r="L105" s="43"/>
      <c r="M105" s="43"/>
      <c r="N105" s="43"/>
      <c r="O105" s="43"/>
    </row>
    <row r="106" spans="1:16" x14ac:dyDescent="0.25">
      <c r="A106" s="18">
        <v>108</v>
      </c>
      <c r="B106" s="19">
        <v>38302</v>
      </c>
      <c r="C106" s="3" t="s">
        <v>97</v>
      </c>
      <c r="D106" s="3" t="s">
        <v>14</v>
      </c>
      <c r="E106" s="3" t="s">
        <v>443</v>
      </c>
      <c r="F106" s="40"/>
      <c r="G106" s="46"/>
      <c r="H106" s="47"/>
      <c r="I106" s="47"/>
      <c r="J106" s="47"/>
      <c r="K106" s="47"/>
      <c r="L106" s="47"/>
      <c r="M106" s="47"/>
      <c r="N106" s="47"/>
      <c r="O106" s="47"/>
    </row>
    <row r="107" spans="1:16" x14ac:dyDescent="0.25">
      <c r="A107" s="18">
        <v>109</v>
      </c>
      <c r="B107" s="19">
        <v>38588</v>
      </c>
      <c r="C107" s="3" t="s">
        <v>11</v>
      </c>
      <c r="D107" s="3" t="s">
        <v>19</v>
      </c>
      <c r="E107" s="3" t="s">
        <v>443</v>
      </c>
      <c r="F107" s="45"/>
      <c r="G107" s="11"/>
      <c r="H107" s="43"/>
      <c r="I107" s="43"/>
      <c r="J107" s="43"/>
      <c r="K107" s="43"/>
      <c r="L107" s="43"/>
      <c r="M107" s="43"/>
      <c r="N107" s="43"/>
      <c r="O107" s="43"/>
    </row>
    <row r="108" spans="1:16" x14ac:dyDescent="0.25">
      <c r="A108" s="18">
        <v>110</v>
      </c>
      <c r="B108" s="19">
        <v>38644</v>
      </c>
      <c r="C108" s="3" t="s">
        <v>42</v>
      </c>
      <c r="D108" s="3" t="s">
        <v>14</v>
      </c>
      <c r="E108" s="3" t="s">
        <v>443</v>
      </c>
      <c r="G108" s="46"/>
      <c r="H108" s="47"/>
      <c r="I108" s="47"/>
      <c r="J108" s="47"/>
      <c r="K108" s="47"/>
      <c r="L108" s="47"/>
      <c r="M108" s="47"/>
      <c r="N108" s="47"/>
      <c r="O108" s="47"/>
    </row>
    <row r="109" spans="1:16" x14ac:dyDescent="0.25">
      <c r="A109" s="18">
        <v>111</v>
      </c>
      <c r="B109" s="19">
        <v>38646</v>
      </c>
      <c r="C109" s="3" t="s">
        <v>136</v>
      </c>
      <c r="D109" s="3" t="s">
        <v>19</v>
      </c>
      <c r="E109" s="3" t="s">
        <v>443</v>
      </c>
      <c r="F109" s="45"/>
      <c r="G109" s="48"/>
      <c r="H109" s="44"/>
      <c r="I109" s="47"/>
      <c r="J109" s="47"/>
      <c r="K109" s="47"/>
      <c r="L109" s="47"/>
      <c r="M109" s="47"/>
      <c r="N109" s="47"/>
      <c r="O109" s="47"/>
    </row>
    <row r="110" spans="1:16" x14ac:dyDescent="0.25">
      <c r="A110" s="18">
        <v>112</v>
      </c>
      <c r="B110" s="19">
        <v>38658</v>
      </c>
      <c r="C110" s="3" t="s">
        <v>66</v>
      </c>
      <c r="D110" s="3" t="s">
        <v>44</v>
      </c>
      <c r="E110" s="3" t="s">
        <v>374</v>
      </c>
      <c r="F110" s="54"/>
      <c r="G110" s="48"/>
      <c r="H110" s="44"/>
      <c r="I110" s="47"/>
      <c r="J110" s="47"/>
      <c r="K110" s="47"/>
      <c r="L110" s="47"/>
      <c r="M110" s="47"/>
      <c r="N110" s="47"/>
      <c r="O110" s="47"/>
    </row>
    <row r="111" spans="1:16" s="46" customFormat="1" x14ac:dyDescent="0.25">
      <c r="A111" s="18">
        <v>113</v>
      </c>
      <c r="B111" s="19">
        <v>38658</v>
      </c>
      <c r="C111" s="3" t="s">
        <v>35</v>
      </c>
      <c r="D111" s="3" t="s">
        <v>44</v>
      </c>
      <c r="E111" s="3" t="s">
        <v>374</v>
      </c>
      <c r="F111" s="54"/>
      <c r="G111" s="41"/>
      <c r="H111" s="42"/>
      <c r="I111" s="43"/>
      <c r="J111" s="43"/>
      <c r="K111" s="43"/>
      <c r="L111" s="43"/>
      <c r="M111" s="43"/>
      <c r="N111" s="43"/>
      <c r="O111" s="43"/>
      <c r="P111"/>
    </row>
    <row r="112" spans="1:16" x14ac:dyDescent="0.25">
      <c r="A112" s="18">
        <v>114</v>
      </c>
      <c r="B112" s="19">
        <v>38735</v>
      </c>
      <c r="C112" s="3" t="s">
        <v>52</v>
      </c>
      <c r="D112" s="3" t="s">
        <v>44</v>
      </c>
      <c r="E112" s="3" t="s">
        <v>374</v>
      </c>
      <c r="F112" s="40"/>
      <c r="G112" s="48"/>
      <c r="H112" s="44"/>
      <c r="I112" s="47"/>
      <c r="J112" s="47"/>
      <c r="K112" s="47"/>
      <c r="L112" s="47"/>
      <c r="M112" s="47"/>
      <c r="N112" s="47"/>
      <c r="O112" s="47"/>
      <c r="P112" s="46"/>
    </row>
    <row r="113" spans="1:15" x14ac:dyDescent="0.25">
      <c r="A113" s="18">
        <v>115</v>
      </c>
      <c r="B113" s="19">
        <v>38885</v>
      </c>
      <c r="C113" s="3" t="s">
        <v>22</v>
      </c>
      <c r="D113" s="3" t="s">
        <v>44</v>
      </c>
      <c r="E113" s="3" t="s">
        <v>374</v>
      </c>
      <c r="F113" s="54"/>
      <c r="G113" s="101"/>
      <c r="H113" s="101"/>
      <c r="I113" s="101"/>
      <c r="J113" s="101"/>
      <c r="K113" s="101"/>
      <c r="L113" s="101"/>
      <c r="M113" s="101"/>
      <c r="N113" s="101"/>
      <c r="O113" s="101"/>
    </row>
    <row r="114" spans="1:15" x14ac:dyDescent="0.25">
      <c r="A114" s="18">
        <v>116</v>
      </c>
      <c r="B114" s="19">
        <v>39061</v>
      </c>
      <c r="C114" s="3" t="s">
        <v>50</v>
      </c>
      <c r="D114" s="3" t="s">
        <v>19</v>
      </c>
      <c r="E114" s="3" t="s">
        <v>443</v>
      </c>
      <c r="F114" s="101"/>
      <c r="G114" s="56"/>
      <c r="H114" s="50"/>
      <c r="I114" s="47"/>
      <c r="J114" s="47"/>
      <c r="K114" s="47"/>
      <c r="L114" s="47"/>
      <c r="M114" s="47"/>
      <c r="N114" s="47"/>
      <c r="O114" s="47"/>
    </row>
    <row r="115" spans="1:15" x14ac:dyDescent="0.25">
      <c r="A115" s="89">
        <v>117</v>
      </c>
      <c r="B115" s="80">
        <v>39263</v>
      </c>
      <c r="C115" s="81" t="s">
        <v>46</v>
      </c>
      <c r="D115" s="81" t="s">
        <v>19</v>
      </c>
      <c r="E115" s="81" t="s">
        <v>443</v>
      </c>
      <c r="F115" s="55"/>
      <c r="G115" s="56"/>
      <c r="H115" s="50"/>
      <c r="I115" s="47"/>
      <c r="J115" s="47"/>
      <c r="K115" s="47"/>
      <c r="L115" s="47"/>
      <c r="M115" s="47"/>
      <c r="N115" s="47"/>
      <c r="O115" s="47"/>
    </row>
    <row r="116" spans="1:15" x14ac:dyDescent="0.25">
      <c r="A116" s="89">
        <v>118</v>
      </c>
      <c r="B116" s="80">
        <v>39280</v>
      </c>
      <c r="C116" s="81" t="s">
        <v>241</v>
      </c>
      <c r="D116" s="81" t="s">
        <v>19</v>
      </c>
      <c r="E116" s="81" t="s">
        <v>443</v>
      </c>
      <c r="F116" s="55"/>
      <c r="G116" s="48"/>
      <c r="H116" s="44"/>
      <c r="I116" s="47"/>
      <c r="J116" s="47"/>
      <c r="K116" s="47"/>
      <c r="L116" s="47"/>
      <c r="M116" s="47"/>
      <c r="N116" s="47"/>
      <c r="O116" s="47"/>
    </row>
    <row r="117" spans="1:15" x14ac:dyDescent="0.25">
      <c r="A117" s="18">
        <v>119</v>
      </c>
      <c r="B117" s="19">
        <v>39284</v>
      </c>
      <c r="C117" s="3" t="s">
        <v>66</v>
      </c>
      <c r="D117" s="3" t="s">
        <v>44</v>
      </c>
      <c r="E117" s="3" t="s">
        <v>374</v>
      </c>
      <c r="F117" s="55"/>
      <c r="G117" s="48"/>
      <c r="H117" s="44"/>
      <c r="I117" s="47"/>
      <c r="J117" s="47"/>
      <c r="K117" s="47"/>
      <c r="L117" s="47"/>
      <c r="M117" s="47"/>
      <c r="N117" s="47"/>
      <c r="O117" s="47"/>
    </row>
    <row r="118" spans="1:15" x14ac:dyDescent="0.25">
      <c r="A118" s="18">
        <v>120</v>
      </c>
      <c r="B118" s="25">
        <v>39285</v>
      </c>
      <c r="C118" s="26" t="s">
        <v>46</v>
      </c>
      <c r="D118" s="26" t="s">
        <v>44</v>
      </c>
      <c r="E118" s="26" t="s">
        <v>374</v>
      </c>
      <c r="F118" s="54"/>
      <c r="G118" s="56"/>
      <c r="H118" s="50"/>
      <c r="I118" s="47"/>
      <c r="J118" s="47"/>
      <c r="K118" s="47"/>
      <c r="L118" s="47"/>
      <c r="M118" s="47"/>
      <c r="N118" s="47"/>
      <c r="O118" s="47"/>
    </row>
    <row r="119" spans="1:15" x14ac:dyDescent="0.25">
      <c r="A119" s="89">
        <v>121</v>
      </c>
      <c r="B119" s="86">
        <v>39291</v>
      </c>
      <c r="C119" s="7" t="s">
        <v>11</v>
      </c>
      <c r="D119" s="7" t="s">
        <v>44</v>
      </c>
      <c r="E119" s="7" t="s">
        <v>374</v>
      </c>
      <c r="F119" s="55"/>
      <c r="G119" s="48"/>
      <c r="H119" s="44"/>
      <c r="I119" s="47"/>
      <c r="J119" s="47"/>
      <c r="K119" s="47"/>
      <c r="L119" s="47"/>
      <c r="M119" s="47"/>
      <c r="N119" s="47"/>
      <c r="O119" s="47"/>
    </row>
    <row r="120" spans="1:15" x14ac:dyDescent="0.25">
      <c r="A120" s="18">
        <v>122</v>
      </c>
      <c r="B120" s="19">
        <v>39322</v>
      </c>
      <c r="C120" s="3" t="s">
        <v>22</v>
      </c>
      <c r="D120" s="3" t="s">
        <v>14</v>
      </c>
      <c r="E120" s="3" t="s">
        <v>443</v>
      </c>
      <c r="F120" s="54"/>
      <c r="G120" s="48"/>
      <c r="H120" s="47"/>
      <c r="I120" s="47"/>
      <c r="J120" s="47"/>
      <c r="K120" s="47"/>
      <c r="L120" s="47"/>
      <c r="M120" s="47"/>
      <c r="N120" s="47"/>
      <c r="O120" s="47"/>
    </row>
    <row r="121" spans="1:15" x14ac:dyDescent="0.25">
      <c r="A121" s="18">
        <v>123</v>
      </c>
      <c r="B121" s="19">
        <v>39352</v>
      </c>
      <c r="C121" s="3" t="s">
        <v>97</v>
      </c>
      <c r="D121" s="3" t="s">
        <v>44</v>
      </c>
      <c r="E121" s="3" t="s">
        <v>374</v>
      </c>
      <c r="F121" s="54"/>
      <c r="G121" s="57"/>
      <c r="H121" s="50"/>
      <c r="I121" s="47"/>
      <c r="J121" s="47"/>
      <c r="K121" s="47"/>
      <c r="L121" s="47"/>
      <c r="M121" s="47"/>
      <c r="N121" s="47"/>
      <c r="O121" s="47"/>
    </row>
    <row r="122" spans="1:15" x14ac:dyDescent="0.25">
      <c r="A122" s="89">
        <v>124</v>
      </c>
      <c r="B122" s="80">
        <v>39355</v>
      </c>
      <c r="C122" s="81" t="s">
        <v>46</v>
      </c>
      <c r="D122" s="81" t="s">
        <v>19</v>
      </c>
      <c r="E122" s="81" t="s">
        <v>443</v>
      </c>
      <c r="F122" s="55"/>
      <c r="G122" s="48"/>
      <c r="H122" s="44"/>
      <c r="I122" s="47"/>
      <c r="J122" s="47"/>
      <c r="K122" s="47"/>
      <c r="L122" s="47"/>
      <c r="M122" s="47"/>
      <c r="N122" s="47"/>
      <c r="O122" s="47"/>
    </row>
    <row r="123" spans="1:15" x14ac:dyDescent="0.25">
      <c r="A123" s="89">
        <v>125</v>
      </c>
      <c r="B123" s="80">
        <v>39362</v>
      </c>
      <c r="C123" s="81" t="s">
        <v>46</v>
      </c>
      <c r="D123" s="81" t="s">
        <v>19</v>
      </c>
      <c r="E123" s="81" t="s">
        <v>443</v>
      </c>
      <c r="F123" s="54"/>
      <c r="G123" s="48"/>
      <c r="H123" s="44"/>
      <c r="I123" s="47"/>
      <c r="J123" s="47"/>
      <c r="K123" s="47"/>
      <c r="L123" s="47"/>
      <c r="M123" s="47"/>
      <c r="N123" s="47"/>
      <c r="O123" s="47"/>
    </row>
    <row r="124" spans="1:15" x14ac:dyDescent="0.25">
      <c r="A124" s="18">
        <v>126</v>
      </c>
      <c r="B124" s="19">
        <v>39514</v>
      </c>
      <c r="C124" s="3" t="s">
        <v>123</v>
      </c>
      <c r="D124" s="3" t="s">
        <v>44</v>
      </c>
      <c r="E124" s="3" t="s">
        <v>374</v>
      </c>
      <c r="F124" s="54"/>
      <c r="G124" s="48"/>
      <c r="H124" s="44"/>
      <c r="I124" s="47"/>
      <c r="J124" s="47"/>
      <c r="K124" s="47"/>
      <c r="L124" s="47"/>
      <c r="M124" s="47"/>
      <c r="N124" s="47"/>
      <c r="O124" s="47"/>
    </row>
    <row r="125" spans="1:15" x14ac:dyDescent="0.25">
      <c r="A125" s="18">
        <v>127</v>
      </c>
      <c r="B125" s="19">
        <v>39563</v>
      </c>
      <c r="C125" s="5" t="s">
        <v>11</v>
      </c>
      <c r="D125" s="5" t="s">
        <v>23</v>
      </c>
      <c r="E125" s="5" t="s">
        <v>442</v>
      </c>
      <c r="F125" s="54"/>
      <c r="G125" s="56"/>
      <c r="H125" s="50"/>
      <c r="I125" s="47"/>
      <c r="J125" s="47"/>
      <c r="K125" s="47"/>
      <c r="L125" s="47"/>
      <c r="M125" s="47"/>
      <c r="N125" s="47"/>
      <c r="O125" s="47"/>
    </row>
    <row r="126" spans="1:15" x14ac:dyDescent="0.25">
      <c r="A126" s="18">
        <v>128</v>
      </c>
      <c r="B126" s="19">
        <v>39620</v>
      </c>
      <c r="C126" s="5" t="s">
        <v>269</v>
      </c>
      <c r="D126" s="5" t="s">
        <v>44</v>
      </c>
      <c r="E126" s="5" t="s">
        <v>374</v>
      </c>
      <c r="F126" s="55"/>
      <c r="G126" s="48"/>
      <c r="H126" s="44"/>
      <c r="I126" s="47"/>
      <c r="J126" s="47"/>
      <c r="K126" s="47"/>
      <c r="L126" s="47"/>
      <c r="M126" s="47"/>
      <c r="N126" s="47"/>
      <c r="O126" s="47"/>
    </row>
    <row r="127" spans="1:15" x14ac:dyDescent="0.25">
      <c r="A127" s="18">
        <v>129</v>
      </c>
      <c r="B127" s="19">
        <v>39699</v>
      </c>
      <c r="C127" s="5" t="s">
        <v>69</v>
      </c>
      <c r="D127" s="5" t="s">
        <v>44</v>
      </c>
      <c r="E127" s="5" t="s">
        <v>374</v>
      </c>
      <c r="F127" s="54"/>
      <c r="G127" s="48"/>
      <c r="H127" s="44"/>
      <c r="I127" s="47"/>
      <c r="J127" s="47"/>
      <c r="K127" s="47"/>
      <c r="L127" s="47"/>
      <c r="M127" s="47"/>
      <c r="N127" s="47"/>
      <c r="O127" s="47"/>
    </row>
    <row r="128" spans="1:15" x14ac:dyDescent="0.25">
      <c r="A128" s="18">
        <v>130</v>
      </c>
      <c r="B128" s="19">
        <v>39909</v>
      </c>
      <c r="C128" s="5" t="s">
        <v>11</v>
      </c>
      <c r="D128" s="5" t="s">
        <v>44</v>
      </c>
      <c r="E128" s="5" t="s">
        <v>374</v>
      </c>
      <c r="F128" s="54"/>
      <c r="G128" s="48"/>
      <c r="H128" s="44"/>
      <c r="I128" s="47"/>
      <c r="J128" s="47"/>
      <c r="K128" s="47"/>
      <c r="L128" s="47"/>
      <c r="M128" s="47"/>
      <c r="N128" s="47"/>
      <c r="O128" s="47"/>
    </row>
    <row r="129" spans="1:15" x14ac:dyDescent="0.25">
      <c r="A129" s="18">
        <v>131</v>
      </c>
      <c r="B129" s="19">
        <v>40050</v>
      </c>
      <c r="C129" s="5" t="s">
        <v>11</v>
      </c>
      <c r="D129" s="5" t="s">
        <v>19</v>
      </c>
      <c r="E129" s="5" t="s">
        <v>443</v>
      </c>
      <c r="F129" s="54"/>
      <c r="G129" s="48"/>
      <c r="H129" s="44"/>
      <c r="I129" s="47"/>
      <c r="J129" s="47"/>
      <c r="K129" s="47"/>
      <c r="L129" s="47"/>
      <c r="M129" s="47"/>
      <c r="N129" s="47"/>
      <c r="O129" s="47"/>
    </row>
    <row r="130" spans="1:15" x14ac:dyDescent="0.25">
      <c r="A130" s="18">
        <v>132</v>
      </c>
      <c r="B130" s="19">
        <v>40055</v>
      </c>
      <c r="C130" s="5" t="s">
        <v>123</v>
      </c>
      <c r="D130" s="5" t="s">
        <v>44</v>
      </c>
      <c r="E130" s="5" t="s">
        <v>374</v>
      </c>
      <c r="F130" s="54"/>
      <c r="G130" s="56"/>
      <c r="H130" s="50"/>
      <c r="I130" s="47"/>
      <c r="J130" s="47"/>
      <c r="K130" s="47"/>
      <c r="L130" s="47"/>
      <c r="M130" s="47"/>
      <c r="N130" s="47"/>
      <c r="O130" s="47"/>
    </row>
    <row r="131" spans="1:15" x14ac:dyDescent="0.25">
      <c r="A131" s="89">
        <v>133</v>
      </c>
      <c r="B131" s="86">
        <v>40110</v>
      </c>
      <c r="C131" s="10" t="s">
        <v>11</v>
      </c>
      <c r="D131" s="10" t="s">
        <v>19</v>
      </c>
      <c r="E131" s="10" t="s">
        <v>443</v>
      </c>
      <c r="F131" s="55"/>
      <c r="G131" s="59"/>
      <c r="H131" s="49"/>
      <c r="I131" s="43"/>
      <c r="J131" s="43"/>
      <c r="K131" s="43"/>
      <c r="L131" s="43"/>
      <c r="M131" s="43"/>
      <c r="N131" s="43"/>
      <c r="O131" s="43"/>
    </row>
    <row r="132" spans="1:15" x14ac:dyDescent="0.25">
      <c r="A132" s="18">
        <v>134</v>
      </c>
      <c r="B132" s="19">
        <v>40122</v>
      </c>
      <c r="C132" s="5" t="s">
        <v>52</v>
      </c>
      <c r="D132" s="5" t="s">
        <v>44</v>
      </c>
      <c r="E132" s="5" t="s">
        <v>374</v>
      </c>
      <c r="F132" s="59"/>
      <c r="G132" s="49"/>
      <c r="H132" s="43"/>
      <c r="I132" s="43"/>
      <c r="J132" s="43"/>
      <c r="K132" s="43"/>
      <c r="L132" s="43"/>
      <c r="M132" s="43"/>
      <c r="N132" s="43"/>
    </row>
    <row r="133" spans="1:15" x14ac:dyDescent="0.25">
      <c r="A133" s="18">
        <v>135</v>
      </c>
      <c r="B133" s="19">
        <v>40361</v>
      </c>
      <c r="C133" s="5" t="s">
        <v>11</v>
      </c>
      <c r="D133" s="5" t="s">
        <v>44</v>
      </c>
      <c r="E133" s="5" t="s">
        <v>374</v>
      </c>
      <c r="F133" s="50"/>
      <c r="G133" s="47"/>
      <c r="H133" s="47"/>
      <c r="I133" s="47"/>
      <c r="J133" s="47"/>
      <c r="K133" s="47"/>
      <c r="L133" s="47"/>
      <c r="M133" s="47"/>
    </row>
    <row r="134" spans="1:15" x14ac:dyDescent="0.25">
      <c r="A134" s="89">
        <v>136</v>
      </c>
      <c r="B134" s="80">
        <v>40361</v>
      </c>
      <c r="C134" s="84" t="s">
        <v>28</v>
      </c>
      <c r="D134" s="84" t="s">
        <v>19</v>
      </c>
      <c r="E134" s="84" t="s">
        <v>443</v>
      </c>
      <c r="F134" s="56"/>
      <c r="G134" s="59"/>
      <c r="H134" s="49"/>
      <c r="I134" s="43"/>
      <c r="J134" s="43"/>
      <c r="K134" s="43"/>
      <c r="L134" s="43"/>
      <c r="M134" s="43"/>
      <c r="N134" s="43"/>
      <c r="O134" s="43"/>
    </row>
    <row r="135" spans="1:15" x14ac:dyDescent="0.25">
      <c r="A135" s="18">
        <v>137</v>
      </c>
      <c r="B135" s="19">
        <v>40392</v>
      </c>
      <c r="C135" s="5" t="s">
        <v>69</v>
      </c>
      <c r="D135" s="5" t="s">
        <v>44</v>
      </c>
      <c r="E135" s="5" t="s">
        <v>374</v>
      </c>
      <c r="F135" s="58"/>
      <c r="G135" s="41"/>
      <c r="H135" s="42"/>
      <c r="I135" s="43"/>
      <c r="J135" s="43"/>
      <c r="K135" s="43"/>
      <c r="L135" s="43"/>
      <c r="M135" s="43"/>
      <c r="N135" s="43"/>
      <c r="O135" s="43"/>
    </row>
    <row r="136" spans="1:15" x14ac:dyDescent="0.25">
      <c r="A136" s="18">
        <v>138</v>
      </c>
      <c r="B136" s="19">
        <v>40404</v>
      </c>
      <c r="C136" s="5" t="s">
        <v>66</v>
      </c>
      <c r="D136" s="5" t="s">
        <v>44</v>
      </c>
      <c r="E136" s="5" t="s">
        <v>374</v>
      </c>
      <c r="F136" s="55"/>
      <c r="G136" s="48"/>
      <c r="H136" s="44"/>
      <c r="I136" s="47"/>
      <c r="J136" s="47"/>
      <c r="K136" s="47"/>
      <c r="L136" s="47"/>
      <c r="M136" s="47"/>
      <c r="N136" s="47"/>
      <c r="O136" s="47"/>
    </row>
    <row r="137" spans="1:15" x14ac:dyDescent="0.25">
      <c r="A137" s="18">
        <v>139</v>
      </c>
      <c r="B137" s="19">
        <v>40473</v>
      </c>
      <c r="C137" s="3" t="s">
        <v>69</v>
      </c>
      <c r="D137" s="3" t="s">
        <v>23</v>
      </c>
      <c r="E137" s="3" t="s">
        <v>442</v>
      </c>
      <c r="F137" s="58"/>
      <c r="G137" s="41"/>
      <c r="H137" s="42"/>
      <c r="I137" s="43"/>
      <c r="J137" s="43"/>
      <c r="K137" s="43"/>
      <c r="L137" s="43"/>
      <c r="M137" s="43"/>
      <c r="N137" s="43"/>
      <c r="O137" s="43"/>
    </row>
    <row r="138" spans="1:15" x14ac:dyDescent="0.25">
      <c r="A138" s="89">
        <v>140</v>
      </c>
      <c r="B138" s="80">
        <v>40700</v>
      </c>
      <c r="C138" s="81" t="s">
        <v>11</v>
      </c>
      <c r="D138" s="81" t="s">
        <v>44</v>
      </c>
      <c r="E138" s="81" t="s">
        <v>374</v>
      </c>
      <c r="F138" s="40"/>
      <c r="G138" s="48"/>
      <c r="H138" s="44"/>
      <c r="I138" s="47"/>
      <c r="J138" s="47"/>
      <c r="K138" s="47"/>
      <c r="L138" s="47"/>
      <c r="M138" s="47"/>
      <c r="N138" s="47"/>
      <c r="O138" s="47"/>
    </row>
    <row r="139" spans="1:15" x14ac:dyDescent="0.25">
      <c r="A139" s="18">
        <v>141</v>
      </c>
      <c r="B139" s="19">
        <v>40718</v>
      </c>
      <c r="C139" s="3" t="s">
        <v>11</v>
      </c>
      <c r="D139" s="3" t="s">
        <v>44</v>
      </c>
      <c r="E139" s="3" t="s">
        <v>374</v>
      </c>
      <c r="F139" s="54"/>
      <c r="G139" s="48"/>
      <c r="H139" s="44"/>
      <c r="I139" s="47"/>
      <c r="J139" s="47"/>
      <c r="K139" s="47"/>
      <c r="L139" s="47"/>
      <c r="M139" s="47"/>
      <c r="N139" s="47"/>
      <c r="O139" s="47"/>
    </row>
    <row r="140" spans="1:15" x14ac:dyDescent="0.25">
      <c r="A140" s="18">
        <v>142</v>
      </c>
      <c r="B140" s="19">
        <v>40797</v>
      </c>
      <c r="C140" s="3" t="s">
        <v>97</v>
      </c>
      <c r="D140" s="3" t="s">
        <v>44</v>
      </c>
      <c r="E140" s="3" t="s">
        <v>374</v>
      </c>
      <c r="F140" s="40"/>
      <c r="G140" s="48"/>
      <c r="H140" s="44"/>
      <c r="I140" s="47"/>
      <c r="J140" s="47"/>
      <c r="K140" s="47"/>
      <c r="L140" s="47"/>
      <c r="M140" s="47"/>
      <c r="N140" s="47"/>
      <c r="O140" s="47"/>
    </row>
    <row r="141" spans="1:15" x14ac:dyDescent="0.25">
      <c r="A141" s="18">
        <v>143</v>
      </c>
      <c r="B141" s="19">
        <v>40845</v>
      </c>
      <c r="C141" s="3" t="s">
        <v>22</v>
      </c>
      <c r="D141" s="3" t="s">
        <v>14</v>
      </c>
      <c r="E141" s="3" t="s">
        <v>443</v>
      </c>
      <c r="F141" s="54"/>
      <c r="G141" s="48"/>
      <c r="H141" s="44"/>
      <c r="I141" s="47"/>
      <c r="J141" s="47"/>
      <c r="K141" s="47"/>
      <c r="L141" s="47"/>
      <c r="M141" s="47"/>
      <c r="N141" s="47"/>
      <c r="O141" s="47"/>
    </row>
    <row r="142" spans="1:15" x14ac:dyDescent="0.25">
      <c r="A142" s="18">
        <v>144</v>
      </c>
      <c r="B142" s="19">
        <v>40869</v>
      </c>
      <c r="C142" s="3" t="s">
        <v>66</v>
      </c>
      <c r="D142" s="3" t="s">
        <v>44</v>
      </c>
      <c r="E142" s="3" t="s">
        <v>374</v>
      </c>
      <c r="F142" s="54"/>
      <c r="G142" s="48"/>
      <c r="H142" s="44"/>
      <c r="I142" s="47"/>
      <c r="J142" s="47"/>
      <c r="K142" s="47"/>
      <c r="L142" s="47"/>
      <c r="M142" s="47"/>
      <c r="N142" s="47"/>
      <c r="O142" s="47"/>
    </row>
    <row r="143" spans="1:15" x14ac:dyDescent="0.25">
      <c r="A143" s="18">
        <v>145</v>
      </c>
      <c r="B143" s="19">
        <v>41035</v>
      </c>
      <c r="C143" s="3" t="s">
        <v>269</v>
      </c>
      <c r="D143" s="3" t="s">
        <v>44</v>
      </c>
      <c r="E143" s="3" t="s">
        <v>374</v>
      </c>
      <c r="F143" s="54"/>
      <c r="G143" s="48"/>
      <c r="H143" s="44"/>
      <c r="I143" s="47"/>
      <c r="J143" s="47"/>
      <c r="K143" s="47"/>
      <c r="L143" s="47"/>
      <c r="M143" s="47"/>
      <c r="N143" s="47"/>
      <c r="O143" s="47"/>
    </row>
    <row r="144" spans="1:15" x14ac:dyDescent="0.25">
      <c r="A144" s="18">
        <v>146</v>
      </c>
      <c r="B144" s="19">
        <v>41041</v>
      </c>
      <c r="C144" s="3" t="s">
        <v>28</v>
      </c>
      <c r="D144" s="3" t="s">
        <v>44</v>
      </c>
      <c r="E144" s="3" t="s">
        <v>374</v>
      </c>
      <c r="F144" s="54"/>
      <c r="G144" s="48"/>
      <c r="H144" s="44"/>
      <c r="I144" s="47"/>
      <c r="J144" s="47"/>
      <c r="K144" s="47"/>
      <c r="L144" s="47"/>
      <c r="M144" s="47"/>
      <c r="N144" s="47"/>
      <c r="O144" s="47"/>
    </row>
    <row r="145" spans="1:15" x14ac:dyDescent="0.25">
      <c r="A145" s="18">
        <v>147</v>
      </c>
      <c r="B145" s="19">
        <v>41097</v>
      </c>
      <c r="C145" s="3" t="s">
        <v>52</v>
      </c>
      <c r="D145" s="3" t="s">
        <v>44</v>
      </c>
      <c r="E145" s="3" t="s">
        <v>374</v>
      </c>
      <c r="F145" s="54"/>
      <c r="G145" s="48"/>
      <c r="H145" s="44"/>
      <c r="I145" s="47"/>
      <c r="J145" s="47"/>
      <c r="K145" s="47"/>
      <c r="L145" s="47"/>
      <c r="M145" s="47"/>
      <c r="N145" s="47"/>
      <c r="O145" s="47"/>
    </row>
    <row r="146" spans="1:15" x14ac:dyDescent="0.25">
      <c r="A146" s="89">
        <v>148</v>
      </c>
      <c r="B146" s="86">
        <v>41121</v>
      </c>
      <c r="C146" s="7" t="s">
        <v>46</v>
      </c>
      <c r="D146" s="7" t="s">
        <v>19</v>
      </c>
      <c r="E146" s="7" t="s">
        <v>443</v>
      </c>
      <c r="F146" s="54"/>
      <c r="G146" s="41"/>
      <c r="H146" s="42"/>
      <c r="I146" s="43"/>
      <c r="J146" s="43"/>
      <c r="K146" s="43"/>
      <c r="L146" s="43"/>
      <c r="M146" s="43"/>
      <c r="N146" s="43"/>
      <c r="O146" s="43"/>
    </row>
    <row r="147" spans="1:15" x14ac:dyDescent="0.25">
      <c r="A147" s="18">
        <v>149</v>
      </c>
      <c r="B147" s="19">
        <v>41189</v>
      </c>
      <c r="C147" s="3" t="s">
        <v>52</v>
      </c>
      <c r="D147" s="3" t="s">
        <v>44</v>
      </c>
      <c r="E147" s="3" t="s">
        <v>374</v>
      </c>
      <c r="F147" s="54"/>
      <c r="G147" s="48"/>
      <c r="H147" s="44"/>
      <c r="I147" s="47"/>
      <c r="J147" s="47"/>
      <c r="K147" s="47"/>
      <c r="L147" s="47"/>
      <c r="M147" s="47"/>
      <c r="N147" s="47"/>
      <c r="O147" s="47"/>
    </row>
    <row r="148" spans="1:15" x14ac:dyDescent="0.25">
      <c r="A148" s="18">
        <v>150</v>
      </c>
      <c r="B148" s="19">
        <v>41204</v>
      </c>
      <c r="C148" s="3" t="s">
        <v>69</v>
      </c>
      <c r="D148" s="3" t="s">
        <v>23</v>
      </c>
      <c r="E148" s="3" t="s">
        <v>442</v>
      </c>
      <c r="F148" s="54"/>
      <c r="G148" s="48"/>
      <c r="H148" s="44"/>
      <c r="I148" s="47"/>
      <c r="J148" s="47"/>
      <c r="K148" s="47"/>
      <c r="L148" s="47"/>
      <c r="M148" s="47"/>
      <c r="N148" s="47"/>
      <c r="O148" s="47"/>
    </row>
    <row r="149" spans="1:15" x14ac:dyDescent="0.25">
      <c r="A149" s="18">
        <v>151</v>
      </c>
      <c r="B149" s="19">
        <v>41212</v>
      </c>
      <c r="C149" s="3" t="s">
        <v>97</v>
      </c>
      <c r="D149" s="3" t="s">
        <v>14</v>
      </c>
      <c r="E149" s="3" t="s">
        <v>443</v>
      </c>
      <c r="F149" s="40"/>
      <c r="G149" s="41"/>
      <c r="H149" s="42"/>
      <c r="I149" s="43"/>
      <c r="J149" s="43"/>
      <c r="K149" s="43"/>
      <c r="L149" s="43"/>
      <c r="M149" s="43"/>
      <c r="N149" s="43"/>
      <c r="O149" s="43"/>
    </row>
    <row r="150" spans="1:15" s="11" customFormat="1" x14ac:dyDescent="0.25">
      <c r="A150" s="18">
        <v>152</v>
      </c>
      <c r="B150" s="29">
        <v>41450</v>
      </c>
      <c r="C150" s="18" t="s">
        <v>66</v>
      </c>
      <c r="D150" s="18" t="s">
        <v>44</v>
      </c>
      <c r="E150" s="18" t="s">
        <v>374</v>
      </c>
      <c r="F150" s="54"/>
    </row>
    <row r="151" spans="1:15" x14ac:dyDescent="0.25">
      <c r="A151" s="18">
        <v>153</v>
      </c>
      <c r="B151" s="29">
        <v>41503</v>
      </c>
      <c r="C151" s="18" t="s">
        <v>66</v>
      </c>
      <c r="D151" s="18" t="s">
        <v>44</v>
      </c>
      <c r="E151" s="18" t="s">
        <v>374</v>
      </c>
      <c r="F151" s="54"/>
      <c r="G151" s="56"/>
      <c r="H151" s="50"/>
      <c r="I151" s="47"/>
      <c r="J151" s="47"/>
      <c r="K151" s="47"/>
      <c r="L151" s="47"/>
      <c r="M151" s="47"/>
      <c r="N151" s="47"/>
      <c r="O151" s="47"/>
    </row>
    <row r="152" spans="1:15" x14ac:dyDescent="0.25">
      <c r="A152" s="89">
        <v>154</v>
      </c>
      <c r="B152" s="83">
        <v>41517</v>
      </c>
      <c r="C152" s="87" t="s">
        <v>69</v>
      </c>
      <c r="D152" s="87" t="s">
        <v>19</v>
      </c>
      <c r="E152" s="87" t="s">
        <v>443</v>
      </c>
      <c r="F152" s="11"/>
      <c r="G152" s="56"/>
      <c r="H152" s="50"/>
      <c r="I152" s="47"/>
      <c r="J152" s="47"/>
      <c r="K152" s="47"/>
      <c r="L152" s="47"/>
      <c r="M152" s="47"/>
      <c r="N152" s="47"/>
      <c r="O152" s="47"/>
    </row>
    <row r="153" spans="1:15" x14ac:dyDescent="0.25">
      <c r="A153" s="18">
        <v>155</v>
      </c>
      <c r="B153" s="29">
        <v>41553</v>
      </c>
      <c r="C153" s="18" t="s">
        <v>97</v>
      </c>
      <c r="D153" s="18" t="s">
        <v>14</v>
      </c>
      <c r="E153" s="18" t="s">
        <v>443</v>
      </c>
      <c r="F153" s="40"/>
      <c r="G153" s="48"/>
      <c r="H153" s="44"/>
      <c r="I153" s="47"/>
      <c r="J153" s="47"/>
      <c r="K153" s="47"/>
      <c r="L153" s="47"/>
      <c r="M153" s="47"/>
      <c r="N153" s="47"/>
      <c r="O153" s="47"/>
    </row>
    <row r="154" spans="1:15" x14ac:dyDescent="0.25">
      <c r="A154" s="18">
        <v>156</v>
      </c>
      <c r="B154" s="29">
        <v>41825</v>
      </c>
      <c r="C154" s="18" t="s">
        <v>28</v>
      </c>
      <c r="D154" s="18" t="s">
        <v>44</v>
      </c>
      <c r="E154" s="18" t="s">
        <v>374</v>
      </c>
      <c r="F154" s="55"/>
      <c r="G154" s="45"/>
      <c r="H154" s="45"/>
      <c r="I154" s="45"/>
      <c r="J154" s="45"/>
      <c r="K154" s="45"/>
      <c r="L154" s="45"/>
      <c r="M154" s="45"/>
      <c r="N154" s="45"/>
      <c r="O154" s="45"/>
    </row>
    <row r="155" spans="1:15" x14ac:dyDescent="0.25">
      <c r="A155" s="18">
        <v>157</v>
      </c>
      <c r="B155" s="29">
        <v>41895</v>
      </c>
      <c r="C155" s="18" t="s">
        <v>52</v>
      </c>
      <c r="D155" s="18" t="s">
        <v>44</v>
      </c>
      <c r="E155" s="18" t="s">
        <v>374</v>
      </c>
      <c r="F155" s="55"/>
      <c r="G155" s="45"/>
      <c r="H155" s="45"/>
      <c r="I155" s="45"/>
      <c r="J155" s="45"/>
      <c r="K155" s="45"/>
      <c r="L155" s="45"/>
      <c r="M155" s="45"/>
      <c r="N155" s="45"/>
      <c r="O155" s="45"/>
    </row>
    <row r="156" spans="1:15" x14ac:dyDescent="0.25">
      <c r="A156" s="18">
        <v>158</v>
      </c>
      <c r="B156" s="29">
        <v>41914</v>
      </c>
      <c r="C156" s="18" t="s">
        <v>69</v>
      </c>
      <c r="D156" s="18" t="s">
        <v>19</v>
      </c>
      <c r="E156" s="18" t="s">
        <v>443</v>
      </c>
      <c r="F156" s="54"/>
      <c r="G156" s="48"/>
      <c r="H156" s="44"/>
      <c r="I156" s="47"/>
      <c r="J156" s="47"/>
      <c r="K156" s="47"/>
      <c r="L156" s="47"/>
      <c r="M156" s="47"/>
      <c r="N156" s="47"/>
      <c r="O156" s="47"/>
    </row>
    <row r="157" spans="1:15" x14ac:dyDescent="0.25">
      <c r="A157" s="18">
        <v>159</v>
      </c>
      <c r="B157" s="29">
        <v>41915</v>
      </c>
      <c r="C157" s="18" t="s">
        <v>69</v>
      </c>
      <c r="D157" s="18" t="s">
        <v>44</v>
      </c>
      <c r="E157" s="18" t="s">
        <v>374</v>
      </c>
      <c r="F157" s="45"/>
      <c r="G157" s="48"/>
      <c r="H157" s="44"/>
      <c r="I157" s="47"/>
      <c r="J157" s="47"/>
      <c r="K157" s="47"/>
      <c r="L157" s="47"/>
      <c r="M157" s="47"/>
      <c r="N157" s="47"/>
      <c r="O157" s="47"/>
    </row>
    <row r="158" spans="1:15" x14ac:dyDescent="0.25">
      <c r="A158" s="18">
        <v>160</v>
      </c>
      <c r="B158" s="29">
        <v>41915</v>
      </c>
      <c r="C158" s="18" t="s">
        <v>69</v>
      </c>
      <c r="D158" s="18" t="s">
        <v>44</v>
      </c>
      <c r="E158" s="18" t="s">
        <v>374</v>
      </c>
      <c r="F158" s="45"/>
      <c r="G158" s="48"/>
      <c r="H158" s="44"/>
      <c r="I158" s="47"/>
      <c r="J158" s="47"/>
      <c r="K158" s="47"/>
      <c r="L158" s="47"/>
      <c r="M158" s="47"/>
      <c r="N158" s="47"/>
      <c r="O158" s="47"/>
    </row>
    <row r="159" spans="1:15" x14ac:dyDescent="0.25">
      <c r="A159" s="18">
        <v>161</v>
      </c>
      <c r="B159" s="29">
        <v>41931</v>
      </c>
      <c r="C159" s="18" t="s">
        <v>69</v>
      </c>
      <c r="D159" s="18" t="s">
        <v>44</v>
      </c>
      <c r="E159" s="18" t="s">
        <v>374</v>
      </c>
      <c r="F159" s="54"/>
      <c r="G159" s="41"/>
      <c r="H159" s="42"/>
      <c r="I159" s="43"/>
      <c r="J159" s="43"/>
      <c r="K159" s="43"/>
      <c r="L159" s="43"/>
      <c r="M159" s="43"/>
      <c r="N159" s="43"/>
      <c r="O159" s="43"/>
    </row>
    <row r="160" spans="1:15" x14ac:dyDescent="0.25">
      <c r="A160" s="18">
        <v>162</v>
      </c>
      <c r="B160" s="29">
        <v>42001</v>
      </c>
      <c r="C160" s="18" t="s">
        <v>28</v>
      </c>
      <c r="D160" s="18" t="s">
        <v>14</v>
      </c>
      <c r="E160" s="18" t="s">
        <v>443</v>
      </c>
      <c r="F160" s="54"/>
      <c r="G160" s="11"/>
      <c r="H160" s="43"/>
      <c r="I160" s="43"/>
      <c r="J160" s="43"/>
      <c r="K160" s="43"/>
      <c r="L160" s="43"/>
      <c r="M160" s="43"/>
      <c r="N160" s="43"/>
      <c r="O160" s="43"/>
    </row>
    <row r="161" spans="1:15" x14ac:dyDescent="0.25">
      <c r="A161" s="18">
        <v>163</v>
      </c>
      <c r="B161" s="29">
        <v>42195</v>
      </c>
      <c r="C161" s="18" t="s">
        <v>123</v>
      </c>
      <c r="D161" s="18" t="s">
        <v>44</v>
      </c>
      <c r="E161" s="18" t="s">
        <v>374</v>
      </c>
      <c r="F161" s="54"/>
      <c r="G161" s="46"/>
      <c r="H161" s="47"/>
      <c r="I161" s="47"/>
      <c r="J161" s="47"/>
      <c r="K161" s="47"/>
      <c r="L161" s="47"/>
      <c r="M161" s="47"/>
      <c r="N161" s="47"/>
      <c r="O161" s="47"/>
    </row>
    <row r="162" spans="1:15" x14ac:dyDescent="0.25">
      <c r="A162" s="18">
        <v>164</v>
      </c>
      <c r="B162" s="29">
        <v>42234</v>
      </c>
      <c r="C162" s="18" t="s">
        <v>69</v>
      </c>
      <c r="D162" s="18" t="s">
        <v>44</v>
      </c>
      <c r="E162" s="18" t="s">
        <v>374</v>
      </c>
      <c r="F162" s="40"/>
      <c r="G162" s="46"/>
      <c r="H162" s="47"/>
      <c r="I162" s="47"/>
      <c r="J162" s="47"/>
      <c r="K162" s="47"/>
      <c r="L162" s="47"/>
      <c r="M162" s="47"/>
      <c r="N162" s="47"/>
      <c r="O162" s="47"/>
    </row>
    <row r="163" spans="1:15" x14ac:dyDescent="0.25">
      <c r="A163" s="18">
        <v>165</v>
      </c>
      <c r="B163" s="29">
        <v>42245</v>
      </c>
      <c r="C163" s="18" t="s">
        <v>28</v>
      </c>
      <c r="D163" s="18" t="s">
        <v>44</v>
      </c>
      <c r="E163" s="18" t="s">
        <v>374</v>
      </c>
      <c r="G163" s="11"/>
      <c r="H163" s="43"/>
      <c r="I163" s="43"/>
      <c r="J163" s="43"/>
      <c r="K163" s="43"/>
      <c r="L163" s="43"/>
      <c r="M163" s="43"/>
      <c r="N163" s="43"/>
      <c r="O163" s="43"/>
    </row>
    <row r="164" spans="1:15" x14ac:dyDescent="0.25">
      <c r="A164" s="89">
        <v>166</v>
      </c>
      <c r="B164" s="83">
        <v>42252</v>
      </c>
      <c r="C164" s="87" t="s">
        <v>241</v>
      </c>
      <c r="D164" s="87" t="s">
        <v>19</v>
      </c>
      <c r="E164" s="87" t="s">
        <v>443</v>
      </c>
      <c r="F164" s="45"/>
      <c r="G164" s="11"/>
      <c r="H164" s="43"/>
      <c r="I164" s="43"/>
      <c r="J164" s="43"/>
      <c r="K164" s="43"/>
      <c r="L164" s="43"/>
      <c r="M164" s="43"/>
      <c r="N164" s="43"/>
      <c r="O164" s="43"/>
    </row>
    <row r="165" spans="1:15" x14ac:dyDescent="0.25">
      <c r="A165" s="18">
        <v>167</v>
      </c>
      <c r="B165" s="29">
        <v>42253</v>
      </c>
      <c r="C165" s="18" t="s">
        <v>46</v>
      </c>
      <c r="D165" s="18" t="s">
        <v>44</v>
      </c>
      <c r="E165" s="18" t="s">
        <v>374</v>
      </c>
      <c r="F165" s="45"/>
      <c r="G165" s="46"/>
      <c r="H165" s="47"/>
      <c r="I165" s="47"/>
      <c r="J165" s="47"/>
      <c r="K165" s="47"/>
      <c r="L165" s="47"/>
      <c r="M165" s="47"/>
      <c r="N165" s="47"/>
      <c r="O165" s="47"/>
    </row>
    <row r="166" spans="1:15" x14ac:dyDescent="0.25">
      <c r="A166" s="89">
        <v>168</v>
      </c>
      <c r="B166" s="143">
        <v>42267</v>
      </c>
      <c r="C166" s="89" t="s">
        <v>578</v>
      </c>
      <c r="D166" s="89" t="s">
        <v>19</v>
      </c>
      <c r="E166" s="89" t="s">
        <v>443</v>
      </c>
      <c r="G166" s="47"/>
      <c r="H166" s="47"/>
      <c r="I166" s="47"/>
      <c r="J166" s="47"/>
      <c r="K166" s="47"/>
      <c r="L166" s="47"/>
      <c r="M166" s="47"/>
      <c r="N166" s="47"/>
    </row>
    <row r="167" spans="1:15" x14ac:dyDescent="0.25">
      <c r="A167" s="18">
        <v>169</v>
      </c>
      <c r="B167" s="29">
        <v>42271</v>
      </c>
      <c r="C167" s="18" t="s">
        <v>69</v>
      </c>
      <c r="D167" s="18" t="s">
        <v>19</v>
      </c>
      <c r="E167" s="18" t="s">
        <v>443</v>
      </c>
      <c r="G167" s="11"/>
      <c r="H167" s="43"/>
      <c r="I167" s="43"/>
      <c r="J167" s="43"/>
      <c r="K167" s="43"/>
      <c r="L167" s="43"/>
      <c r="M167" s="43"/>
      <c r="N167" s="43"/>
      <c r="O167" s="43"/>
    </row>
    <row r="168" spans="1:15" x14ac:dyDescent="0.25">
      <c r="A168" s="18">
        <v>170</v>
      </c>
      <c r="B168" s="29">
        <v>42519</v>
      </c>
      <c r="C168" s="18" t="s">
        <v>123</v>
      </c>
      <c r="D168" s="18" t="s">
        <v>14</v>
      </c>
      <c r="E168" s="18" t="s">
        <v>443</v>
      </c>
      <c r="F168" s="45"/>
      <c r="G168" s="11"/>
      <c r="H168" s="43"/>
      <c r="I168" s="43"/>
      <c r="J168" s="43"/>
      <c r="K168" s="43"/>
      <c r="L168" s="43"/>
      <c r="M168" s="43"/>
      <c r="N168" s="43"/>
      <c r="O168" s="43"/>
    </row>
    <row r="169" spans="1:15" x14ac:dyDescent="0.25">
      <c r="A169" s="18">
        <v>171</v>
      </c>
      <c r="B169" s="29">
        <v>42614</v>
      </c>
      <c r="C169" s="18" t="s">
        <v>69</v>
      </c>
      <c r="D169" s="18" t="s">
        <v>19</v>
      </c>
      <c r="E169" s="18" t="s">
        <v>443</v>
      </c>
      <c r="F169" s="46"/>
      <c r="G169" s="46"/>
      <c r="H169" s="47"/>
      <c r="I169" s="47"/>
      <c r="J169" s="47"/>
      <c r="K169" s="47"/>
      <c r="L169" s="47"/>
      <c r="M169" s="47"/>
      <c r="N169" s="47"/>
      <c r="O169" s="47"/>
    </row>
    <row r="170" spans="1:15" x14ac:dyDescent="0.25">
      <c r="A170" s="18">
        <v>172</v>
      </c>
      <c r="B170" s="29">
        <v>42630</v>
      </c>
      <c r="C170" s="18" t="s">
        <v>97</v>
      </c>
      <c r="D170" s="18" t="s">
        <v>44</v>
      </c>
      <c r="E170" s="18" t="s">
        <v>374</v>
      </c>
      <c r="G170" s="46"/>
      <c r="H170" s="47"/>
      <c r="I170" s="47"/>
      <c r="J170" s="47"/>
      <c r="K170" s="47"/>
      <c r="L170" s="47"/>
      <c r="M170" s="47"/>
      <c r="N170" s="47"/>
      <c r="O170" s="47"/>
    </row>
    <row r="171" spans="1:15" x14ac:dyDescent="0.25">
      <c r="A171" s="18">
        <v>173</v>
      </c>
      <c r="B171" s="29">
        <v>42812</v>
      </c>
      <c r="C171" s="18" t="s">
        <v>22</v>
      </c>
      <c r="D171" s="18" t="s">
        <v>44</v>
      </c>
      <c r="E171" s="18" t="s">
        <v>374</v>
      </c>
      <c r="G171" s="46"/>
      <c r="H171" s="47"/>
      <c r="I171" s="47"/>
      <c r="J171" s="47"/>
      <c r="K171" s="47"/>
      <c r="L171" s="47"/>
      <c r="M171" s="47"/>
      <c r="N171" s="47"/>
      <c r="O171" s="47"/>
    </row>
    <row r="172" spans="1:15" x14ac:dyDescent="0.25">
      <c r="A172" s="18">
        <v>174</v>
      </c>
      <c r="B172" s="29">
        <v>42854</v>
      </c>
      <c r="C172" s="18" t="s">
        <v>11</v>
      </c>
      <c r="D172" s="18" t="s">
        <v>14</v>
      </c>
      <c r="E172" s="18" t="s">
        <v>443</v>
      </c>
      <c r="F172" s="45"/>
      <c r="G172" s="46"/>
      <c r="H172" s="47"/>
      <c r="I172" s="47"/>
      <c r="J172" s="47"/>
      <c r="K172" s="47"/>
      <c r="L172" s="47"/>
      <c r="M172" s="47"/>
      <c r="N172" s="47"/>
      <c r="O172" s="47"/>
    </row>
    <row r="173" spans="1:15" x14ac:dyDescent="0.25">
      <c r="A173" s="18">
        <v>175</v>
      </c>
      <c r="B173" s="29">
        <v>42927</v>
      </c>
      <c r="C173" s="18" t="s">
        <v>52</v>
      </c>
      <c r="D173" s="18" t="s">
        <v>44</v>
      </c>
      <c r="E173" s="18" t="s">
        <v>374</v>
      </c>
      <c r="F173" s="45"/>
      <c r="G173" s="46"/>
      <c r="H173" s="47"/>
      <c r="I173" s="47"/>
      <c r="J173" s="47"/>
      <c r="K173" s="47"/>
      <c r="L173" s="47"/>
      <c r="M173" s="47"/>
      <c r="N173" s="47"/>
      <c r="O173" s="47"/>
    </row>
    <row r="174" spans="1:15" x14ac:dyDescent="0.25">
      <c r="A174" s="18">
        <v>176</v>
      </c>
      <c r="B174" s="29">
        <v>42936</v>
      </c>
      <c r="C174" s="18" t="s">
        <v>69</v>
      </c>
      <c r="D174" s="18" t="s">
        <v>44</v>
      </c>
      <c r="E174" s="18" t="s">
        <v>374</v>
      </c>
      <c r="F174" s="45"/>
      <c r="G174" s="46"/>
      <c r="H174" s="47"/>
      <c r="I174" s="47"/>
      <c r="J174" s="47"/>
      <c r="K174" s="47"/>
      <c r="L174" s="47"/>
      <c r="M174" s="47"/>
      <c r="N174" s="47"/>
      <c r="O174" s="47"/>
    </row>
    <row r="175" spans="1:15" x14ac:dyDescent="0.25">
      <c r="A175" s="18">
        <v>177</v>
      </c>
      <c r="B175" s="29">
        <v>42936</v>
      </c>
      <c r="C175" s="18" t="s">
        <v>69</v>
      </c>
      <c r="D175" s="18" t="s">
        <v>44</v>
      </c>
      <c r="E175" s="18" t="s">
        <v>374</v>
      </c>
      <c r="F175" s="45"/>
      <c r="G175" s="46"/>
      <c r="H175" s="47"/>
      <c r="I175" s="47"/>
      <c r="J175" s="47"/>
      <c r="K175" s="47"/>
      <c r="L175" s="47"/>
      <c r="M175" s="47"/>
      <c r="N175" s="47"/>
      <c r="O175" s="47"/>
    </row>
    <row r="176" spans="1:15" x14ac:dyDescent="0.25">
      <c r="A176" s="18">
        <v>178</v>
      </c>
      <c r="B176" s="29">
        <v>42948</v>
      </c>
      <c r="C176" s="18" t="s">
        <v>66</v>
      </c>
      <c r="D176" s="18" t="s">
        <v>44</v>
      </c>
      <c r="E176" s="18" t="s">
        <v>374</v>
      </c>
      <c r="F176" s="45"/>
      <c r="G176" s="46"/>
      <c r="H176" s="47"/>
      <c r="I176" s="47"/>
      <c r="J176" s="47"/>
      <c r="K176" s="47"/>
      <c r="L176" s="47"/>
      <c r="M176" s="47"/>
      <c r="N176" s="47"/>
      <c r="O176" s="47"/>
    </row>
    <row r="177" spans="1:15" x14ac:dyDescent="0.25">
      <c r="A177" s="18">
        <v>179</v>
      </c>
      <c r="B177" s="29">
        <v>43063</v>
      </c>
      <c r="C177" s="18" t="s">
        <v>22</v>
      </c>
      <c r="D177" s="18" t="s">
        <v>14</v>
      </c>
      <c r="E177" s="18" t="s">
        <v>443</v>
      </c>
      <c r="F177" s="45"/>
      <c r="G177" s="46"/>
      <c r="H177" s="47"/>
      <c r="I177" s="47"/>
      <c r="J177" s="47"/>
      <c r="K177" s="47"/>
      <c r="L177" s="47"/>
      <c r="M177" s="47"/>
      <c r="N177" s="47"/>
      <c r="O177" s="47"/>
    </row>
    <row r="178" spans="1:15" x14ac:dyDescent="0.25">
      <c r="A178" s="18">
        <v>180</v>
      </c>
      <c r="B178" s="19">
        <v>43099</v>
      </c>
      <c r="C178" s="3" t="s">
        <v>50</v>
      </c>
      <c r="D178" s="18" t="s">
        <v>19</v>
      </c>
      <c r="E178" s="18" t="s">
        <v>443</v>
      </c>
      <c r="F178" s="45"/>
      <c r="G178" s="46"/>
      <c r="H178" s="47"/>
      <c r="I178" s="47"/>
      <c r="J178" s="47"/>
      <c r="K178" s="47"/>
      <c r="L178" s="47"/>
      <c r="M178" s="47"/>
      <c r="N178" s="47"/>
      <c r="O178" s="47"/>
    </row>
    <row r="179" spans="1:15" x14ac:dyDescent="0.25">
      <c r="A179" s="18">
        <v>181</v>
      </c>
      <c r="B179" s="29">
        <v>43276</v>
      </c>
      <c r="C179" s="18" t="s">
        <v>11</v>
      </c>
      <c r="D179" s="18" t="s">
        <v>44</v>
      </c>
      <c r="E179" s="18" t="s">
        <v>374</v>
      </c>
      <c r="F179" s="45"/>
      <c r="G179" s="41"/>
      <c r="H179" s="42"/>
      <c r="I179" s="43"/>
      <c r="J179" s="43"/>
      <c r="K179" s="43"/>
      <c r="L179" s="43"/>
      <c r="M179" s="43"/>
      <c r="N179" s="43"/>
      <c r="O179" s="43"/>
    </row>
    <row r="180" spans="1:15" x14ac:dyDescent="0.25">
      <c r="A180" s="18">
        <v>182</v>
      </c>
      <c r="B180" s="29">
        <v>43336</v>
      </c>
      <c r="C180" s="18" t="s">
        <v>123</v>
      </c>
      <c r="D180" s="99" t="s">
        <v>44</v>
      </c>
      <c r="E180" s="99" t="s">
        <v>374</v>
      </c>
      <c r="F180" s="45"/>
      <c r="G180" s="46"/>
      <c r="H180" s="47"/>
      <c r="I180" s="47"/>
      <c r="J180" s="47"/>
      <c r="K180" s="47"/>
      <c r="L180" s="47"/>
      <c r="M180" s="47"/>
      <c r="N180" s="47"/>
      <c r="O180" s="47"/>
    </row>
    <row r="181" spans="1:15" x14ac:dyDescent="0.25">
      <c r="A181" s="99">
        <v>183</v>
      </c>
      <c r="B181" s="100">
        <v>43372</v>
      </c>
      <c r="C181" s="99" t="s">
        <v>11</v>
      </c>
      <c r="D181" s="99" t="s">
        <v>14</v>
      </c>
      <c r="E181" s="99" t="s">
        <v>443</v>
      </c>
      <c r="F181" s="45"/>
      <c r="G181" s="11"/>
      <c r="H181" s="43"/>
      <c r="I181" s="43"/>
      <c r="J181" s="43"/>
      <c r="K181" s="43"/>
      <c r="L181" s="43"/>
      <c r="M181" s="43"/>
      <c r="N181" s="43"/>
      <c r="O181" s="43"/>
    </row>
    <row r="182" spans="1:15" x14ac:dyDescent="0.25">
      <c r="A182" s="18">
        <v>184</v>
      </c>
      <c r="B182" s="19">
        <v>43396</v>
      </c>
      <c r="C182" s="3" t="s">
        <v>58</v>
      </c>
      <c r="D182" s="99" t="s">
        <v>14</v>
      </c>
      <c r="E182" s="99" t="s">
        <v>443</v>
      </c>
      <c r="G182" s="11"/>
      <c r="H182" s="43"/>
      <c r="I182" s="43"/>
      <c r="J182" s="43"/>
      <c r="K182" s="43"/>
      <c r="L182" s="43"/>
      <c r="M182" s="43"/>
      <c r="N182" s="43"/>
      <c r="O182" s="43"/>
    </row>
    <row r="183" spans="1:15" x14ac:dyDescent="0.25">
      <c r="A183" s="99">
        <v>185</v>
      </c>
      <c r="B183" s="100">
        <v>43473</v>
      </c>
      <c r="C183" s="99" t="s">
        <v>28</v>
      </c>
      <c r="D183" s="99" t="s">
        <v>14</v>
      </c>
      <c r="E183" s="99" t="s">
        <v>443</v>
      </c>
      <c r="F183" s="40"/>
      <c r="G183" s="46"/>
      <c r="H183" s="47"/>
      <c r="I183" s="47"/>
      <c r="J183" s="47"/>
      <c r="K183" s="47"/>
      <c r="L183" s="47"/>
      <c r="M183" s="47"/>
      <c r="N183" s="47"/>
      <c r="O183" s="47"/>
    </row>
    <row r="184" spans="1:15" x14ac:dyDescent="0.25">
      <c r="A184" s="98">
        <v>186</v>
      </c>
      <c r="B184" s="95">
        <v>43592</v>
      </c>
      <c r="C184" s="98" t="s">
        <v>42</v>
      </c>
      <c r="D184" s="98" t="s">
        <v>44</v>
      </c>
      <c r="E184" s="98" t="s">
        <v>374</v>
      </c>
      <c r="G184" s="46"/>
      <c r="H184" s="47"/>
      <c r="I184" s="47"/>
      <c r="J184" s="47"/>
      <c r="K184" s="47"/>
      <c r="L184" s="47"/>
      <c r="M184" s="47"/>
      <c r="N184" s="47"/>
      <c r="O184" s="47"/>
    </row>
    <row r="185" spans="1:15" x14ac:dyDescent="0.25">
      <c r="A185" s="177">
        <v>187</v>
      </c>
      <c r="B185" s="178">
        <v>43709</v>
      </c>
      <c r="C185" s="177" t="s">
        <v>11</v>
      </c>
      <c r="D185" s="111" t="s">
        <v>44</v>
      </c>
      <c r="E185" s="111" t="s">
        <v>374</v>
      </c>
      <c r="F185" s="45"/>
      <c r="G185" s="11"/>
      <c r="H185" s="43"/>
      <c r="I185" s="43"/>
      <c r="J185" s="43"/>
      <c r="K185" s="43"/>
      <c r="L185" s="43"/>
      <c r="M185" s="43"/>
      <c r="N185" s="43"/>
      <c r="O185" s="43"/>
    </row>
    <row r="186" spans="1:15" x14ac:dyDescent="0.25">
      <c r="A186" s="98">
        <v>188</v>
      </c>
      <c r="B186" s="95">
        <v>43743</v>
      </c>
      <c r="C186" s="98" t="s">
        <v>269</v>
      </c>
      <c r="D186" s="98" t="s">
        <v>44</v>
      </c>
      <c r="E186" s="98" t="s">
        <v>374</v>
      </c>
      <c r="F186" s="45"/>
      <c r="G186" s="46"/>
      <c r="H186" s="47"/>
      <c r="I186" s="47"/>
      <c r="J186" s="47"/>
      <c r="K186" s="47"/>
      <c r="L186" s="47"/>
      <c r="M186" s="47"/>
      <c r="N186" s="47"/>
      <c r="O186" s="47"/>
    </row>
    <row r="187" spans="1:15" x14ac:dyDescent="0.25">
      <c r="A187" s="18">
        <v>189</v>
      </c>
      <c r="B187" s="95">
        <v>43820</v>
      </c>
      <c r="C187" s="98" t="s">
        <v>494</v>
      </c>
      <c r="D187" s="98" t="s">
        <v>14</v>
      </c>
      <c r="E187" s="98" t="s">
        <v>443</v>
      </c>
      <c r="F187" s="45"/>
      <c r="G187" s="47"/>
      <c r="H187" s="47"/>
      <c r="I187" s="47"/>
      <c r="J187" s="47"/>
      <c r="K187" s="47"/>
      <c r="L187" s="47"/>
      <c r="M187" s="47"/>
      <c r="N187" s="47"/>
    </row>
    <row r="188" spans="1:15" x14ac:dyDescent="0.25">
      <c r="A188" s="18">
        <v>190</v>
      </c>
      <c r="B188" s="29">
        <v>43917</v>
      </c>
      <c r="C188" s="18" t="s">
        <v>52</v>
      </c>
      <c r="D188" s="98" t="s">
        <v>44</v>
      </c>
      <c r="E188" s="98" t="s">
        <v>374</v>
      </c>
      <c r="G188" s="11"/>
      <c r="H188" s="43"/>
      <c r="I188" s="43"/>
      <c r="J188" s="43"/>
      <c r="K188" s="43"/>
      <c r="L188" s="43"/>
      <c r="M188" s="43"/>
      <c r="N188" s="43"/>
      <c r="O188" s="43"/>
    </row>
    <row r="189" spans="1:15" x14ac:dyDescent="0.25">
      <c r="A189" s="98">
        <v>191</v>
      </c>
      <c r="B189" s="95">
        <v>43952</v>
      </c>
      <c r="C189" s="98" t="s">
        <v>69</v>
      </c>
      <c r="D189" s="98" t="s">
        <v>19</v>
      </c>
      <c r="E189" s="98" t="s">
        <v>443</v>
      </c>
      <c r="F189" s="45"/>
      <c r="G189" s="11"/>
      <c r="H189" s="43"/>
      <c r="I189" s="43"/>
      <c r="J189" s="43"/>
      <c r="K189" s="43"/>
      <c r="L189" s="43"/>
      <c r="M189" s="43"/>
      <c r="N189" s="43"/>
      <c r="O189" s="43"/>
    </row>
    <row r="190" spans="1:15" x14ac:dyDescent="0.25">
      <c r="A190" s="98">
        <v>192</v>
      </c>
      <c r="B190" s="95">
        <v>43960</v>
      </c>
      <c r="C190" s="98" t="s">
        <v>52</v>
      </c>
      <c r="D190" s="98" t="s">
        <v>23</v>
      </c>
      <c r="E190" s="98" t="s">
        <v>442</v>
      </c>
      <c r="F190" s="45"/>
      <c r="G190" s="11"/>
      <c r="H190" s="43"/>
      <c r="I190" s="43"/>
      <c r="J190" s="43"/>
      <c r="K190" s="43"/>
      <c r="L190" s="43"/>
      <c r="M190" s="43"/>
      <c r="N190" s="43"/>
      <c r="O190" s="43"/>
    </row>
    <row r="191" spans="1:15" x14ac:dyDescent="0.25">
      <c r="A191" s="98">
        <v>193</v>
      </c>
      <c r="B191" s="95">
        <v>43976</v>
      </c>
      <c r="C191" s="98" t="s">
        <v>97</v>
      </c>
      <c r="D191" s="98" t="s">
        <v>44</v>
      </c>
      <c r="E191" s="98" t="s">
        <v>374</v>
      </c>
      <c r="F191" s="46"/>
      <c r="G191" s="11"/>
      <c r="H191" s="43"/>
      <c r="I191" s="43"/>
      <c r="J191" s="43"/>
      <c r="K191" s="43"/>
      <c r="L191" s="43"/>
      <c r="M191" s="43"/>
      <c r="N191" s="43"/>
      <c r="O191" s="43"/>
    </row>
    <row r="192" spans="1:15" x14ac:dyDescent="0.25">
      <c r="A192" s="98">
        <v>194</v>
      </c>
      <c r="B192" s="95">
        <v>44001</v>
      </c>
      <c r="C192" s="98" t="s">
        <v>578</v>
      </c>
      <c r="D192" s="98" t="s">
        <v>44</v>
      </c>
      <c r="E192" s="98" t="s">
        <v>374</v>
      </c>
      <c r="G192" s="11"/>
      <c r="H192" s="43"/>
      <c r="I192" s="43"/>
      <c r="J192" s="43"/>
      <c r="K192" s="43"/>
      <c r="L192" s="43"/>
      <c r="M192" s="43"/>
      <c r="N192" s="43"/>
      <c r="O192" s="43"/>
    </row>
    <row r="193" spans="1:19" s="11" customFormat="1" x14ac:dyDescent="0.25">
      <c r="A193" s="98">
        <v>195</v>
      </c>
      <c r="B193" s="95">
        <v>44055</v>
      </c>
      <c r="C193" s="98" t="s">
        <v>46</v>
      </c>
      <c r="D193" s="98" t="s">
        <v>19</v>
      </c>
      <c r="E193" s="98" t="s">
        <v>443</v>
      </c>
      <c r="F193"/>
      <c r="H193" s="43"/>
      <c r="I193" s="43"/>
      <c r="J193" s="43"/>
      <c r="K193" s="43"/>
      <c r="L193" s="43"/>
      <c r="M193" s="43"/>
      <c r="N193" s="43"/>
      <c r="O193" s="43"/>
      <c r="P193"/>
      <c r="Q193" s="101"/>
      <c r="R193" s="101"/>
      <c r="S193" s="101"/>
    </row>
    <row r="194" spans="1:19" x14ac:dyDescent="0.25">
      <c r="A194" s="98">
        <v>196</v>
      </c>
      <c r="B194" s="95">
        <v>44071</v>
      </c>
      <c r="C194" s="98" t="s">
        <v>97</v>
      </c>
      <c r="D194" s="98" t="s">
        <v>44</v>
      </c>
      <c r="E194" s="98" t="s">
        <v>374</v>
      </c>
      <c r="P194" s="101"/>
    </row>
    <row r="195" spans="1:19" x14ac:dyDescent="0.25">
      <c r="A195" s="99">
        <v>197</v>
      </c>
      <c r="B195" s="100">
        <v>44195</v>
      </c>
      <c r="C195" s="99" t="s">
        <v>11</v>
      </c>
      <c r="D195" s="98" t="s">
        <v>44</v>
      </c>
      <c r="E195" s="98" t="s">
        <v>374</v>
      </c>
      <c r="G195" s="101"/>
      <c r="H195" s="101"/>
      <c r="I195" s="101"/>
      <c r="J195" s="101"/>
      <c r="K195" s="24"/>
      <c r="L195" s="24"/>
      <c r="M195" s="101"/>
      <c r="N195" s="101"/>
      <c r="O195" s="101"/>
    </row>
    <row r="196" spans="1:19" x14ac:dyDescent="0.25">
      <c r="A196" s="98">
        <v>198</v>
      </c>
      <c r="B196" s="95">
        <v>44373</v>
      </c>
      <c r="C196" s="98" t="s">
        <v>66</v>
      </c>
      <c r="D196" s="98" t="s">
        <v>14</v>
      </c>
      <c r="E196" s="98" t="s">
        <v>443</v>
      </c>
    </row>
    <row r="197" spans="1:19" x14ac:dyDescent="0.25">
      <c r="A197" s="98">
        <v>199</v>
      </c>
      <c r="B197" s="95">
        <v>44377</v>
      </c>
      <c r="C197" s="98" t="s">
        <v>269</v>
      </c>
      <c r="D197" s="98" t="s">
        <v>19</v>
      </c>
      <c r="E197" s="98" t="s">
        <v>443</v>
      </c>
    </row>
    <row r="198" spans="1:19" x14ac:dyDescent="0.25">
      <c r="A198" s="98">
        <v>200</v>
      </c>
      <c r="B198" s="95">
        <v>44382</v>
      </c>
      <c r="C198" s="98" t="s">
        <v>28</v>
      </c>
      <c r="D198" s="98" t="s">
        <v>44</v>
      </c>
      <c r="E198" s="98" t="s">
        <v>374</v>
      </c>
      <c r="F198" s="101"/>
    </row>
    <row r="199" spans="1:19" x14ac:dyDescent="0.25">
      <c r="A199" s="98">
        <v>201</v>
      </c>
      <c r="B199" s="95">
        <v>44399</v>
      </c>
      <c r="C199" s="98" t="s">
        <v>22</v>
      </c>
      <c r="D199" s="98" t="s">
        <v>44</v>
      </c>
      <c r="E199" s="98" t="s">
        <v>374</v>
      </c>
    </row>
    <row r="200" spans="1:19" x14ac:dyDescent="0.25">
      <c r="A200" s="98">
        <v>202</v>
      </c>
      <c r="B200" s="95">
        <v>44472</v>
      </c>
      <c r="C200" s="98" t="s">
        <v>42</v>
      </c>
      <c r="D200" s="98" t="s">
        <v>14</v>
      </c>
      <c r="E200" s="98" t="s">
        <v>443</v>
      </c>
    </row>
    <row r="201" spans="1:19" x14ac:dyDescent="0.25">
      <c r="A201" s="98">
        <v>203</v>
      </c>
      <c r="B201" s="95">
        <v>44552</v>
      </c>
      <c r="C201" s="98" t="s">
        <v>42</v>
      </c>
      <c r="D201" s="98" t="s">
        <v>44</v>
      </c>
      <c r="E201" s="98" t="s">
        <v>374</v>
      </c>
    </row>
    <row r="202" spans="1:19" x14ac:dyDescent="0.25">
      <c r="A202" s="98">
        <v>204</v>
      </c>
      <c r="B202" s="95">
        <v>44554</v>
      </c>
      <c r="C202" s="98" t="s">
        <v>28</v>
      </c>
      <c r="D202" s="98" t="s">
        <v>23</v>
      </c>
      <c r="E202" s="98" t="s">
        <v>442</v>
      </c>
    </row>
    <row r="203" spans="1:19" x14ac:dyDescent="0.25">
      <c r="A203" s="99">
        <v>205</v>
      </c>
      <c r="B203" s="95">
        <v>44618</v>
      </c>
      <c r="C203" s="99" t="s">
        <v>94</v>
      </c>
      <c r="D203" s="99" t="s">
        <v>14</v>
      </c>
      <c r="E203" s="99" t="s">
        <v>443</v>
      </c>
    </row>
  </sheetData>
  <sortState xmlns:xlrd2="http://schemas.microsoft.com/office/spreadsheetml/2017/richdata2" ref="A2:D202">
    <sortCondition ref="A2:A202"/>
  </sortState>
  <dataValidations count="3">
    <dataValidation allowBlank="1" showErrorMessage="1" sqref="C1" xr:uid="{00000000-0002-0000-0300-000000000000}"/>
    <dataValidation type="list" allowBlank="1" showErrorMessage="1" sqref="G113 D2:E183" xr:uid="{00000000-0002-0000-0300-000001000000}">
      <formula1>Injury</formula1>
    </dataValidation>
    <dataValidation type="list" allowBlank="1" showErrorMessage="1" sqref="C201:C202 C170:C183 C2:C20 C185:C197 C152:C168 C27:C49 C23:C25 C134:C150 C51:C85 C87:C131" xr:uid="{00000000-0002-0000-0300-000002000000}">
      <formula1>County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03"/>
  <sheetViews>
    <sheetView topLeftCell="M22" zoomScale="91" zoomScaleNormal="91" workbookViewId="0">
      <selection activeCell="Q46" sqref="Q46"/>
    </sheetView>
  </sheetViews>
  <sheetFormatPr defaultRowHeight="15.75" x14ac:dyDescent="0.25"/>
  <cols>
    <col min="1" max="1" width="12.7109375" style="93" bestFit="1" customWidth="1"/>
    <col min="2" max="2" width="12.7109375" style="11" customWidth="1"/>
    <col min="3" max="3" width="12.7109375" style="11" bestFit="1" customWidth="1"/>
    <col min="4" max="4" width="12.7109375" style="156" customWidth="1"/>
    <col min="7" max="7" width="10.5703125" bestFit="1" customWidth="1"/>
    <col min="10" max="10" width="17" bestFit="1" customWidth="1"/>
    <col min="11" max="11" width="15.5703125" bestFit="1" customWidth="1"/>
    <col min="12" max="12" width="17" bestFit="1" customWidth="1"/>
  </cols>
  <sheetData>
    <row r="1" spans="1:18" x14ac:dyDescent="0.25">
      <c r="A1" s="60" t="s">
        <v>369</v>
      </c>
      <c r="B1" s="36" t="s">
        <v>370</v>
      </c>
      <c r="C1" s="1" t="s">
        <v>376</v>
      </c>
      <c r="D1" s="157"/>
      <c r="E1" t="s">
        <v>371</v>
      </c>
      <c r="F1" t="s">
        <v>372</v>
      </c>
      <c r="G1" t="s">
        <v>670</v>
      </c>
      <c r="H1" t="s">
        <v>370</v>
      </c>
      <c r="I1" t="s">
        <v>376</v>
      </c>
      <c r="J1" t="s">
        <v>688</v>
      </c>
      <c r="K1" t="s">
        <v>446</v>
      </c>
      <c r="L1" t="s">
        <v>447</v>
      </c>
      <c r="N1" t="s">
        <v>373</v>
      </c>
      <c r="O1" t="s">
        <v>374</v>
      </c>
      <c r="P1" t="s">
        <v>375</v>
      </c>
      <c r="Q1" t="s">
        <v>376</v>
      </c>
      <c r="R1" t="s">
        <v>361</v>
      </c>
    </row>
    <row r="2" spans="1:18" x14ac:dyDescent="0.25">
      <c r="A2" s="19">
        <v>18544</v>
      </c>
      <c r="B2" s="19">
        <v>18544</v>
      </c>
      <c r="C2" s="19">
        <v>19335</v>
      </c>
      <c r="D2" s="158"/>
      <c r="E2">
        <v>1950</v>
      </c>
      <c r="F2">
        <v>1</v>
      </c>
      <c r="G2">
        <f>F2-(I2+H2)</f>
        <v>0</v>
      </c>
      <c r="H2">
        <v>1</v>
      </c>
      <c r="I2">
        <v>0</v>
      </c>
      <c r="J2">
        <f>AVERAGE($G$2:$G$81)</f>
        <v>1.0821917808219179</v>
      </c>
      <c r="K2">
        <f t="shared" ref="K2:K65" si="0">AVERAGE($H$2:$H$81)</f>
        <v>1.4794520547945205</v>
      </c>
      <c r="L2">
        <f t="shared" ref="L2:L65" si="1">AVERAGE($I$2:$I$81)</f>
        <v>0.20547945205479451</v>
      </c>
      <c r="N2" t="s">
        <v>377</v>
      </c>
      <c r="O2">
        <f>SUM(F2:F11)-P2-Q2</f>
        <v>1</v>
      </c>
      <c r="P2">
        <f>SUM(H2:H11)</f>
        <v>7</v>
      </c>
      <c r="Q2">
        <f>SUM(I2:I11)</f>
        <v>4</v>
      </c>
      <c r="R2">
        <f>SUM(O2:Q2)</f>
        <v>12</v>
      </c>
    </row>
    <row r="3" spans="1:18" x14ac:dyDescent="0.25">
      <c r="A3" s="19">
        <v>19141</v>
      </c>
      <c r="B3" s="19">
        <v>19141</v>
      </c>
      <c r="C3" s="19">
        <v>20938</v>
      </c>
      <c r="D3" s="158"/>
      <c r="E3">
        <v>1951</v>
      </c>
      <c r="F3">
        <v>0</v>
      </c>
      <c r="G3">
        <f t="shared" ref="G3:G66" si="2">F3-(I3+H3)</f>
        <v>0</v>
      </c>
      <c r="H3">
        <v>0</v>
      </c>
      <c r="I3">
        <v>0</v>
      </c>
      <c r="J3">
        <f t="shared" ref="J3:J66" si="3">AVERAGE($G$2:$G$81)</f>
        <v>1.0821917808219179</v>
      </c>
      <c r="K3">
        <f t="shared" si="0"/>
        <v>1.4794520547945205</v>
      </c>
      <c r="L3">
        <f t="shared" si="1"/>
        <v>0.20547945205479451</v>
      </c>
      <c r="N3" t="s">
        <v>378</v>
      </c>
      <c r="O3">
        <f>SUM(F12:F21)-P3-Q3</f>
        <v>1</v>
      </c>
      <c r="P3">
        <f>SUM(H12:H21)</f>
        <v>9</v>
      </c>
      <c r="Q3">
        <f>SUM(I12:I21)</f>
        <v>0</v>
      </c>
      <c r="R3">
        <f t="shared" ref="R3:R7" si="4">SUM(O3:Q3)</f>
        <v>10</v>
      </c>
    </row>
    <row r="4" spans="1:18" x14ac:dyDescent="0.25">
      <c r="A4" s="19">
        <v>19335</v>
      </c>
      <c r="B4" s="19">
        <v>20126</v>
      </c>
      <c r="C4" s="19">
        <v>21677</v>
      </c>
      <c r="D4" s="158"/>
      <c r="E4">
        <v>1952</v>
      </c>
      <c r="F4">
        <v>2</v>
      </c>
      <c r="G4">
        <f t="shared" si="2"/>
        <v>0</v>
      </c>
      <c r="H4">
        <v>1</v>
      </c>
      <c r="I4">
        <v>1</v>
      </c>
      <c r="J4">
        <f t="shared" si="3"/>
        <v>1.0821917808219179</v>
      </c>
      <c r="K4">
        <f t="shared" si="0"/>
        <v>1.4794520547945205</v>
      </c>
      <c r="L4">
        <f t="shared" si="1"/>
        <v>0.20547945205479451</v>
      </c>
      <c r="N4" t="s">
        <v>379</v>
      </c>
      <c r="O4">
        <f>SUM(F22:F31)-P4-Q4</f>
        <v>2</v>
      </c>
      <c r="P4">
        <f>SUM(H22:H31)</f>
        <v>17</v>
      </c>
      <c r="Q4">
        <f>SUM(I22:I31)</f>
        <v>0</v>
      </c>
      <c r="R4">
        <f t="shared" si="4"/>
        <v>19</v>
      </c>
    </row>
    <row r="5" spans="1:18" x14ac:dyDescent="0.25">
      <c r="A5" s="19">
        <v>20126</v>
      </c>
      <c r="B5" s="19">
        <v>20681</v>
      </c>
      <c r="C5" s="19">
        <v>21715</v>
      </c>
      <c r="D5" s="158"/>
      <c r="E5">
        <v>1953</v>
      </c>
      <c r="F5">
        <v>0</v>
      </c>
      <c r="G5">
        <f t="shared" si="2"/>
        <v>0</v>
      </c>
      <c r="H5">
        <v>0</v>
      </c>
      <c r="I5">
        <v>0</v>
      </c>
      <c r="J5">
        <f t="shared" si="3"/>
        <v>1.0821917808219179</v>
      </c>
      <c r="K5">
        <f t="shared" si="0"/>
        <v>1.4794520547945205</v>
      </c>
      <c r="L5">
        <f t="shared" si="1"/>
        <v>0.20547945205479451</v>
      </c>
      <c r="N5" t="s">
        <v>380</v>
      </c>
      <c r="O5">
        <f>SUM(F32:F41)-P5-Q5</f>
        <v>3</v>
      </c>
      <c r="P5">
        <f>SUM(H32:H41)</f>
        <v>14</v>
      </c>
      <c r="Q5">
        <f>SUM(I32:I41)</f>
        <v>3</v>
      </c>
      <c r="R5">
        <f t="shared" si="4"/>
        <v>20</v>
      </c>
    </row>
    <row r="6" spans="1:18" x14ac:dyDescent="0.25">
      <c r="A6" s="19">
        <v>20681</v>
      </c>
      <c r="B6" s="19">
        <v>21470</v>
      </c>
      <c r="C6" s="19">
        <v>29939</v>
      </c>
      <c r="D6" s="158"/>
      <c r="E6">
        <v>1954</v>
      </c>
      <c r="F6">
        <v>0</v>
      </c>
      <c r="G6">
        <f t="shared" si="2"/>
        <v>0</v>
      </c>
      <c r="H6">
        <v>0</v>
      </c>
      <c r="I6">
        <v>0</v>
      </c>
      <c r="J6">
        <f t="shared" si="3"/>
        <v>1.0821917808219179</v>
      </c>
      <c r="K6">
        <f t="shared" si="0"/>
        <v>1.4794520547945205</v>
      </c>
      <c r="L6">
        <f t="shared" si="1"/>
        <v>0.20547945205479451</v>
      </c>
      <c r="N6" t="s">
        <v>381</v>
      </c>
      <c r="O6">
        <f>SUM(F42:F51)-P6-Q6</f>
        <v>11</v>
      </c>
      <c r="P6">
        <f>SUM(H42:H51)</f>
        <v>18</v>
      </c>
      <c r="Q6">
        <f>SUM(I42:I51)</f>
        <v>1</v>
      </c>
      <c r="R6">
        <f t="shared" si="4"/>
        <v>30</v>
      </c>
    </row>
    <row r="7" spans="1:18" x14ac:dyDescent="0.25">
      <c r="A7" s="19">
        <v>20938</v>
      </c>
      <c r="B7" s="82">
        <v>21759</v>
      </c>
      <c r="C7" s="19">
        <v>30940</v>
      </c>
      <c r="D7" s="158"/>
      <c r="E7">
        <v>1955</v>
      </c>
      <c r="F7">
        <v>1</v>
      </c>
      <c r="G7">
        <f t="shared" si="2"/>
        <v>0</v>
      </c>
      <c r="H7">
        <v>1</v>
      </c>
      <c r="I7">
        <v>0</v>
      </c>
      <c r="J7">
        <f t="shared" si="3"/>
        <v>1.0821917808219179</v>
      </c>
      <c r="K7">
        <f t="shared" si="0"/>
        <v>1.4794520547945205</v>
      </c>
      <c r="L7">
        <f t="shared" si="1"/>
        <v>0.20547945205479451</v>
      </c>
      <c r="N7" t="s">
        <v>382</v>
      </c>
      <c r="O7">
        <f>SUM(F52:F61)-P7-Q7</f>
        <v>20</v>
      </c>
      <c r="P7">
        <f>SUM(H52:H61)</f>
        <v>17</v>
      </c>
      <c r="Q7">
        <f>SUM(I52:I61)</f>
        <v>3</v>
      </c>
      <c r="R7">
        <f t="shared" si="4"/>
        <v>40</v>
      </c>
    </row>
    <row r="8" spans="1:18" x14ac:dyDescent="0.25">
      <c r="A8" s="19">
        <v>21470</v>
      </c>
      <c r="B8" s="80">
        <v>21864</v>
      </c>
      <c r="C8" s="19">
        <v>32534</v>
      </c>
      <c r="D8" s="158"/>
      <c r="E8">
        <v>1956</v>
      </c>
      <c r="F8">
        <v>1</v>
      </c>
      <c r="G8">
        <f t="shared" si="2"/>
        <v>0</v>
      </c>
      <c r="H8">
        <v>1</v>
      </c>
      <c r="I8">
        <v>0</v>
      </c>
      <c r="J8">
        <f t="shared" si="3"/>
        <v>1.0821917808219179</v>
      </c>
      <c r="K8">
        <f t="shared" si="0"/>
        <v>1.4794520547945205</v>
      </c>
      <c r="L8">
        <f t="shared" si="1"/>
        <v>0.20547945205479451</v>
      </c>
      <c r="N8" t="s">
        <v>383</v>
      </c>
      <c r="O8">
        <f>SUM(F62:F71)-P8-Q8</f>
        <v>33</v>
      </c>
      <c r="P8">
        <f>SUM(H62:H71)</f>
        <v>20</v>
      </c>
      <c r="Q8">
        <f>SUM(I62:I71)</f>
        <v>2</v>
      </c>
      <c r="R8">
        <f>SUM(O8:Q8)</f>
        <v>55</v>
      </c>
    </row>
    <row r="9" spans="1:18" x14ac:dyDescent="0.25">
      <c r="A9" s="19">
        <v>21677</v>
      </c>
      <c r="B9" s="19">
        <v>22030</v>
      </c>
      <c r="C9" s="19">
        <v>34677</v>
      </c>
      <c r="D9" s="158"/>
      <c r="E9">
        <v>1957</v>
      </c>
      <c r="F9">
        <v>1</v>
      </c>
      <c r="G9">
        <f t="shared" si="2"/>
        <v>0</v>
      </c>
      <c r="H9">
        <v>0</v>
      </c>
      <c r="I9">
        <v>1</v>
      </c>
      <c r="J9">
        <f t="shared" si="3"/>
        <v>1.0821917808219179</v>
      </c>
      <c r="K9">
        <f t="shared" si="0"/>
        <v>1.4794520547945205</v>
      </c>
      <c r="L9">
        <f t="shared" si="1"/>
        <v>0.20547945205479451</v>
      </c>
      <c r="N9" t="s">
        <v>510</v>
      </c>
      <c r="O9">
        <f>SUM(F72:F81)-P9-Q9</f>
        <v>8</v>
      </c>
      <c r="P9">
        <f>SUM(H72:H81)</f>
        <v>6</v>
      </c>
      <c r="Q9">
        <f>SUM(I72:I81)</f>
        <v>2</v>
      </c>
      <c r="R9">
        <f>SUM(O9:Q9)</f>
        <v>16</v>
      </c>
    </row>
    <row r="10" spans="1:18" x14ac:dyDescent="0.25">
      <c r="A10" s="19">
        <v>21715</v>
      </c>
      <c r="B10" s="19">
        <v>22055</v>
      </c>
      <c r="C10" s="19">
        <v>37852</v>
      </c>
      <c r="D10" s="158"/>
      <c r="E10">
        <v>1958</v>
      </c>
      <c r="F10">
        <v>1</v>
      </c>
      <c r="G10">
        <f t="shared" si="2"/>
        <v>0</v>
      </c>
      <c r="H10">
        <v>1</v>
      </c>
      <c r="I10">
        <v>0</v>
      </c>
      <c r="J10">
        <f t="shared" si="3"/>
        <v>1.0821917808219179</v>
      </c>
      <c r="K10">
        <f t="shared" si="0"/>
        <v>1.4794520547945205</v>
      </c>
      <c r="L10">
        <f t="shared" si="1"/>
        <v>0.20547945205479451</v>
      </c>
      <c r="N10" t="s">
        <v>384</v>
      </c>
      <c r="O10">
        <f>SUM(O2:O9)</f>
        <v>79</v>
      </c>
      <c r="P10">
        <f>SUM(P2:P9)</f>
        <v>108</v>
      </c>
      <c r="Q10">
        <f>SUM(Q2:Q9)</f>
        <v>15</v>
      </c>
      <c r="R10">
        <f>SUM(O10:Q10)</f>
        <v>202</v>
      </c>
    </row>
    <row r="11" spans="1:18" x14ac:dyDescent="0.25">
      <c r="A11" s="82">
        <v>21759</v>
      </c>
      <c r="B11" s="19">
        <v>22513</v>
      </c>
      <c r="C11" s="19">
        <v>38214</v>
      </c>
      <c r="D11" s="158"/>
      <c r="E11">
        <v>1959</v>
      </c>
      <c r="F11">
        <v>5</v>
      </c>
      <c r="G11">
        <f t="shared" si="2"/>
        <v>1</v>
      </c>
      <c r="H11">
        <v>2</v>
      </c>
      <c r="I11">
        <v>2</v>
      </c>
      <c r="J11">
        <f t="shared" si="3"/>
        <v>1.0821917808219179</v>
      </c>
      <c r="K11">
        <f t="shared" si="0"/>
        <v>1.4794520547945205</v>
      </c>
      <c r="L11">
        <f t="shared" si="1"/>
        <v>0.20547945205479451</v>
      </c>
    </row>
    <row r="12" spans="1:18" x14ac:dyDescent="0.25">
      <c r="A12" s="19">
        <v>21827</v>
      </c>
      <c r="B12" s="19">
        <v>22660</v>
      </c>
      <c r="C12" s="19">
        <v>39563</v>
      </c>
      <c r="D12" s="158"/>
      <c r="E12">
        <v>1960</v>
      </c>
      <c r="F12">
        <v>2</v>
      </c>
      <c r="G12">
        <f t="shared" si="2"/>
        <v>0</v>
      </c>
      <c r="H12">
        <v>2</v>
      </c>
      <c r="I12">
        <v>0</v>
      </c>
      <c r="J12">
        <f t="shared" si="3"/>
        <v>1.0821917808219179</v>
      </c>
      <c r="K12">
        <f t="shared" si="0"/>
        <v>1.4794520547945205</v>
      </c>
      <c r="L12">
        <f t="shared" si="1"/>
        <v>0.20547945205479451</v>
      </c>
    </row>
    <row r="13" spans="1:18" x14ac:dyDescent="0.25">
      <c r="A13" s="80">
        <v>21864</v>
      </c>
      <c r="B13" s="19">
        <v>22961</v>
      </c>
      <c r="C13" s="19">
        <v>40473</v>
      </c>
      <c r="D13" s="158"/>
      <c r="E13">
        <v>1961</v>
      </c>
      <c r="F13">
        <v>2</v>
      </c>
      <c r="G13">
        <f t="shared" si="2"/>
        <v>1</v>
      </c>
      <c r="H13">
        <v>1</v>
      </c>
      <c r="I13">
        <v>0</v>
      </c>
      <c r="J13">
        <f t="shared" si="3"/>
        <v>1.0821917808219179</v>
      </c>
      <c r="K13">
        <f t="shared" si="0"/>
        <v>1.4794520547945205</v>
      </c>
      <c r="L13">
        <f t="shared" si="1"/>
        <v>0.20547945205479451</v>
      </c>
    </row>
    <row r="14" spans="1:18" x14ac:dyDescent="0.25">
      <c r="A14" s="19">
        <v>22030</v>
      </c>
      <c r="B14" s="19">
        <v>23387</v>
      </c>
      <c r="C14" s="19">
        <v>41205</v>
      </c>
      <c r="D14" s="158"/>
      <c r="E14">
        <v>1962</v>
      </c>
      <c r="F14">
        <v>2</v>
      </c>
      <c r="G14">
        <f t="shared" si="2"/>
        <v>0</v>
      </c>
      <c r="H14">
        <v>2</v>
      </c>
      <c r="I14">
        <v>0</v>
      </c>
      <c r="J14">
        <f t="shared" si="3"/>
        <v>1.0821917808219179</v>
      </c>
      <c r="K14">
        <f t="shared" si="0"/>
        <v>1.4794520547945205</v>
      </c>
      <c r="L14">
        <f t="shared" si="1"/>
        <v>0.20547945205479451</v>
      </c>
    </row>
    <row r="15" spans="1:18" x14ac:dyDescent="0.25">
      <c r="A15" s="19">
        <v>22055</v>
      </c>
      <c r="B15" s="19">
        <v>24129</v>
      </c>
      <c r="C15" s="95">
        <v>43960</v>
      </c>
      <c r="D15" s="158"/>
      <c r="E15">
        <v>1963</v>
      </c>
      <c r="F15">
        <v>0</v>
      </c>
      <c r="G15">
        <f t="shared" si="2"/>
        <v>0</v>
      </c>
      <c r="H15">
        <v>0</v>
      </c>
      <c r="I15">
        <v>0</v>
      </c>
      <c r="J15">
        <f t="shared" si="3"/>
        <v>1.0821917808219179</v>
      </c>
      <c r="K15">
        <f t="shared" si="0"/>
        <v>1.4794520547945205</v>
      </c>
      <c r="L15">
        <f t="shared" si="1"/>
        <v>0.20547945205479451</v>
      </c>
    </row>
    <row r="16" spans="1:18" x14ac:dyDescent="0.25">
      <c r="A16" s="19">
        <v>22422</v>
      </c>
      <c r="B16" s="19">
        <v>25046</v>
      </c>
      <c r="C16" s="95">
        <v>44554</v>
      </c>
      <c r="D16" s="158"/>
      <c r="E16">
        <v>1964</v>
      </c>
      <c r="F16">
        <v>1</v>
      </c>
      <c r="G16">
        <f t="shared" si="2"/>
        <v>0</v>
      </c>
      <c r="H16">
        <v>1</v>
      </c>
      <c r="I16">
        <v>0</v>
      </c>
      <c r="J16">
        <f t="shared" si="3"/>
        <v>1.0821917808219179</v>
      </c>
      <c r="K16">
        <f t="shared" si="0"/>
        <v>1.4794520547945205</v>
      </c>
      <c r="L16">
        <f t="shared" si="1"/>
        <v>0.20547945205479451</v>
      </c>
    </row>
    <row r="17" spans="1:19" x14ac:dyDescent="0.25">
      <c r="A17" s="19">
        <v>22513</v>
      </c>
      <c r="B17" s="19">
        <v>25452</v>
      </c>
      <c r="D17" s="158"/>
      <c r="E17">
        <v>1965</v>
      </c>
      <c r="F17">
        <v>0</v>
      </c>
      <c r="G17">
        <f t="shared" si="2"/>
        <v>0</v>
      </c>
      <c r="H17">
        <v>0</v>
      </c>
      <c r="I17">
        <v>0</v>
      </c>
      <c r="J17">
        <f t="shared" si="3"/>
        <v>1.0821917808219179</v>
      </c>
      <c r="K17">
        <f t="shared" si="0"/>
        <v>1.4794520547945205</v>
      </c>
      <c r="L17">
        <f t="shared" si="1"/>
        <v>0.20547945205479451</v>
      </c>
    </row>
    <row r="18" spans="1:19" x14ac:dyDescent="0.25">
      <c r="A18" s="19">
        <v>22660</v>
      </c>
      <c r="B18" s="19">
        <v>26133</v>
      </c>
      <c r="D18" s="158"/>
      <c r="E18">
        <v>1966</v>
      </c>
      <c r="F18">
        <v>1</v>
      </c>
      <c r="G18">
        <f t="shared" si="2"/>
        <v>0</v>
      </c>
      <c r="H18">
        <v>1</v>
      </c>
      <c r="I18">
        <v>0</v>
      </c>
      <c r="J18">
        <f t="shared" si="3"/>
        <v>1.0821917808219179</v>
      </c>
      <c r="K18">
        <f t="shared" si="0"/>
        <v>1.4794520547945205</v>
      </c>
      <c r="L18">
        <f t="shared" si="1"/>
        <v>0.20547945205479451</v>
      </c>
    </row>
    <row r="19" spans="1:19" x14ac:dyDescent="0.25">
      <c r="A19" s="19">
        <v>22961</v>
      </c>
      <c r="B19" s="19">
        <v>26208</v>
      </c>
      <c r="D19" s="158"/>
      <c r="E19">
        <v>1967</v>
      </c>
      <c r="F19">
        <v>0</v>
      </c>
      <c r="G19">
        <f t="shared" si="2"/>
        <v>0</v>
      </c>
      <c r="H19">
        <v>0</v>
      </c>
      <c r="I19">
        <v>0</v>
      </c>
      <c r="J19">
        <f t="shared" si="3"/>
        <v>1.0821917808219179</v>
      </c>
      <c r="K19">
        <f t="shared" si="0"/>
        <v>1.4794520547945205</v>
      </c>
      <c r="L19">
        <f t="shared" si="1"/>
        <v>0.20547945205479451</v>
      </c>
    </row>
    <row r="20" spans="1:19" x14ac:dyDescent="0.25">
      <c r="A20" s="19">
        <v>23387</v>
      </c>
      <c r="B20" s="19">
        <v>26447</v>
      </c>
      <c r="D20" s="158"/>
      <c r="E20">
        <v>1968</v>
      </c>
      <c r="F20">
        <v>1</v>
      </c>
      <c r="G20">
        <f t="shared" si="2"/>
        <v>0</v>
      </c>
      <c r="H20">
        <v>1</v>
      </c>
      <c r="I20">
        <v>0</v>
      </c>
      <c r="J20">
        <f t="shared" si="3"/>
        <v>1.0821917808219179</v>
      </c>
      <c r="K20">
        <f t="shared" si="0"/>
        <v>1.4794520547945205</v>
      </c>
      <c r="L20">
        <f t="shared" si="1"/>
        <v>0.20547945205479451</v>
      </c>
    </row>
    <row r="21" spans="1:19" x14ac:dyDescent="0.25">
      <c r="A21" s="19">
        <v>24129</v>
      </c>
      <c r="B21" s="19">
        <v>27175</v>
      </c>
      <c r="D21" s="158"/>
      <c r="E21">
        <v>1969</v>
      </c>
      <c r="F21">
        <v>1</v>
      </c>
      <c r="G21">
        <f t="shared" si="2"/>
        <v>0</v>
      </c>
      <c r="H21">
        <v>1</v>
      </c>
      <c r="I21">
        <v>0</v>
      </c>
      <c r="J21">
        <f t="shared" si="3"/>
        <v>1.0821917808219179</v>
      </c>
      <c r="K21">
        <f t="shared" si="0"/>
        <v>1.4794520547945205</v>
      </c>
      <c r="L21">
        <f t="shared" si="1"/>
        <v>0.20547945205479451</v>
      </c>
      <c r="S21" t="s">
        <v>461</v>
      </c>
    </row>
    <row r="22" spans="1:19" x14ac:dyDescent="0.25">
      <c r="A22" s="19">
        <v>25046</v>
      </c>
      <c r="B22" s="19">
        <v>27236</v>
      </c>
      <c r="D22" s="158"/>
      <c r="E22">
        <v>1970</v>
      </c>
      <c r="F22">
        <v>0</v>
      </c>
      <c r="G22">
        <f t="shared" si="2"/>
        <v>0</v>
      </c>
      <c r="H22">
        <v>0</v>
      </c>
      <c r="I22">
        <v>0</v>
      </c>
      <c r="J22">
        <f t="shared" si="3"/>
        <v>1.0821917808219179</v>
      </c>
      <c r="K22">
        <f t="shared" si="0"/>
        <v>1.4794520547945205</v>
      </c>
      <c r="L22">
        <f t="shared" si="1"/>
        <v>0.20547945205479451</v>
      </c>
    </row>
    <row r="23" spans="1:19" x14ac:dyDescent="0.25">
      <c r="A23" s="19">
        <v>25452</v>
      </c>
      <c r="B23" s="19">
        <v>27246</v>
      </c>
      <c r="D23" s="158"/>
      <c r="E23">
        <v>1971</v>
      </c>
      <c r="F23">
        <v>1</v>
      </c>
      <c r="G23">
        <f t="shared" si="2"/>
        <v>0</v>
      </c>
      <c r="H23">
        <v>1</v>
      </c>
      <c r="I23">
        <v>0</v>
      </c>
      <c r="J23">
        <f t="shared" si="3"/>
        <v>1.0821917808219179</v>
      </c>
      <c r="K23">
        <f t="shared" si="0"/>
        <v>1.4794520547945205</v>
      </c>
      <c r="L23">
        <f t="shared" si="1"/>
        <v>0.20547945205479451</v>
      </c>
    </row>
    <row r="24" spans="1:19" x14ac:dyDescent="0.25">
      <c r="A24" s="19">
        <v>26133</v>
      </c>
      <c r="B24" s="19">
        <v>27274</v>
      </c>
      <c r="D24" s="158"/>
      <c r="E24">
        <v>1972</v>
      </c>
      <c r="F24">
        <v>2</v>
      </c>
      <c r="G24">
        <f t="shared" si="2"/>
        <v>0</v>
      </c>
      <c r="H24">
        <v>2</v>
      </c>
      <c r="I24">
        <v>0</v>
      </c>
      <c r="J24">
        <f t="shared" si="3"/>
        <v>1.0821917808219179</v>
      </c>
      <c r="K24">
        <f t="shared" si="0"/>
        <v>1.4794520547945205</v>
      </c>
      <c r="L24">
        <f t="shared" si="1"/>
        <v>0.20547945205479451</v>
      </c>
    </row>
    <row r="25" spans="1:19" x14ac:dyDescent="0.25">
      <c r="A25" s="19">
        <v>26208</v>
      </c>
      <c r="B25" s="19">
        <v>27274</v>
      </c>
      <c r="D25" s="158"/>
      <c r="E25">
        <v>1973</v>
      </c>
      <c r="F25">
        <v>0</v>
      </c>
      <c r="G25">
        <f t="shared" si="2"/>
        <v>0</v>
      </c>
      <c r="H25">
        <v>0</v>
      </c>
      <c r="I25">
        <v>0</v>
      </c>
      <c r="J25">
        <f t="shared" si="3"/>
        <v>1.0821917808219179</v>
      </c>
      <c r="K25">
        <f t="shared" si="0"/>
        <v>1.4794520547945205</v>
      </c>
      <c r="L25">
        <f t="shared" si="1"/>
        <v>0.20547945205479451</v>
      </c>
    </row>
    <row r="26" spans="1:19" x14ac:dyDescent="0.25">
      <c r="A26" s="19">
        <v>26447</v>
      </c>
      <c r="B26" s="19">
        <v>27286</v>
      </c>
      <c r="D26" s="158"/>
      <c r="E26">
        <v>1974</v>
      </c>
      <c r="F26">
        <v>7</v>
      </c>
      <c r="G26">
        <f t="shared" si="2"/>
        <v>0</v>
      </c>
      <c r="H26">
        <v>7</v>
      </c>
      <c r="I26">
        <v>0</v>
      </c>
      <c r="J26">
        <f t="shared" si="3"/>
        <v>1.0821917808219179</v>
      </c>
      <c r="K26">
        <f t="shared" si="0"/>
        <v>1.4794520547945205</v>
      </c>
      <c r="L26">
        <f t="shared" si="1"/>
        <v>0.20547945205479451</v>
      </c>
    </row>
    <row r="27" spans="1:19" x14ac:dyDescent="0.25">
      <c r="A27" s="19">
        <v>27175</v>
      </c>
      <c r="B27" s="19">
        <v>27300</v>
      </c>
      <c r="D27" s="158"/>
      <c r="E27">
        <v>1975</v>
      </c>
      <c r="F27">
        <v>4</v>
      </c>
      <c r="G27">
        <f t="shared" si="2"/>
        <v>1</v>
      </c>
      <c r="H27">
        <v>3</v>
      </c>
      <c r="I27">
        <v>0</v>
      </c>
      <c r="J27">
        <f t="shared" si="3"/>
        <v>1.0821917808219179</v>
      </c>
      <c r="K27">
        <f t="shared" si="0"/>
        <v>1.4794520547945205</v>
      </c>
      <c r="L27">
        <f t="shared" si="1"/>
        <v>0.20547945205479451</v>
      </c>
    </row>
    <row r="28" spans="1:19" x14ac:dyDescent="0.25">
      <c r="A28" s="19">
        <v>27236</v>
      </c>
      <c r="B28" s="19">
        <v>27598</v>
      </c>
      <c r="D28" s="158"/>
      <c r="E28">
        <v>1976</v>
      </c>
      <c r="F28">
        <v>2</v>
      </c>
      <c r="G28">
        <f t="shared" si="2"/>
        <v>0</v>
      </c>
      <c r="H28">
        <v>2</v>
      </c>
      <c r="I28">
        <v>0</v>
      </c>
      <c r="J28">
        <f t="shared" si="3"/>
        <v>1.0821917808219179</v>
      </c>
      <c r="K28">
        <f t="shared" si="0"/>
        <v>1.4794520547945205</v>
      </c>
      <c r="L28">
        <f t="shared" si="1"/>
        <v>0.20547945205479451</v>
      </c>
    </row>
    <row r="29" spans="1:19" x14ac:dyDescent="0.25">
      <c r="A29" s="19">
        <v>27246</v>
      </c>
      <c r="B29" s="19">
        <v>27615</v>
      </c>
      <c r="D29" s="158"/>
      <c r="E29">
        <v>1977</v>
      </c>
      <c r="F29">
        <v>1</v>
      </c>
      <c r="G29">
        <f t="shared" si="2"/>
        <v>0</v>
      </c>
      <c r="H29">
        <v>1</v>
      </c>
      <c r="I29">
        <v>0</v>
      </c>
      <c r="J29">
        <f t="shared" si="3"/>
        <v>1.0821917808219179</v>
      </c>
      <c r="K29">
        <f t="shared" si="0"/>
        <v>1.4794520547945205</v>
      </c>
      <c r="L29">
        <f t="shared" si="1"/>
        <v>0.20547945205479451</v>
      </c>
    </row>
    <row r="30" spans="1:19" x14ac:dyDescent="0.25">
      <c r="A30" s="19">
        <v>27274</v>
      </c>
      <c r="B30" s="19">
        <v>27734</v>
      </c>
      <c r="D30" s="158"/>
      <c r="E30">
        <v>1978</v>
      </c>
      <c r="F30">
        <v>1</v>
      </c>
      <c r="G30">
        <f t="shared" si="2"/>
        <v>0</v>
      </c>
      <c r="H30">
        <v>1</v>
      </c>
      <c r="I30">
        <v>0</v>
      </c>
      <c r="J30">
        <f t="shared" si="3"/>
        <v>1.0821917808219179</v>
      </c>
      <c r="K30">
        <f t="shared" si="0"/>
        <v>1.4794520547945205</v>
      </c>
      <c r="L30">
        <f t="shared" si="1"/>
        <v>0.20547945205479451</v>
      </c>
    </row>
    <row r="31" spans="1:19" x14ac:dyDescent="0.25">
      <c r="A31" s="19">
        <v>27274</v>
      </c>
      <c r="B31" s="19">
        <v>28051</v>
      </c>
      <c r="D31" s="158"/>
      <c r="E31">
        <v>1979</v>
      </c>
      <c r="F31">
        <v>1</v>
      </c>
      <c r="G31">
        <f t="shared" si="2"/>
        <v>1</v>
      </c>
      <c r="H31">
        <v>0</v>
      </c>
      <c r="I31">
        <v>0</v>
      </c>
      <c r="J31">
        <f t="shared" si="3"/>
        <v>1.0821917808219179</v>
      </c>
      <c r="K31">
        <f t="shared" si="0"/>
        <v>1.4794520547945205</v>
      </c>
      <c r="L31">
        <f t="shared" si="1"/>
        <v>0.20547945205479451</v>
      </c>
    </row>
    <row r="32" spans="1:19" x14ac:dyDescent="0.25">
      <c r="A32" s="19">
        <v>27286</v>
      </c>
      <c r="B32" s="19">
        <v>28051</v>
      </c>
      <c r="D32" s="158"/>
      <c r="E32">
        <v>1980</v>
      </c>
      <c r="F32">
        <v>1</v>
      </c>
      <c r="G32">
        <f t="shared" si="2"/>
        <v>1</v>
      </c>
      <c r="H32">
        <v>0</v>
      </c>
      <c r="I32">
        <v>0</v>
      </c>
      <c r="J32">
        <f t="shared" si="3"/>
        <v>1.0821917808219179</v>
      </c>
      <c r="K32">
        <f t="shared" si="0"/>
        <v>1.4794520547945205</v>
      </c>
      <c r="L32">
        <f t="shared" si="1"/>
        <v>0.20547945205479451</v>
      </c>
    </row>
    <row r="33" spans="1:12" x14ac:dyDescent="0.25">
      <c r="A33" s="19">
        <v>27300</v>
      </c>
      <c r="B33" s="19">
        <v>28351</v>
      </c>
      <c r="D33" s="158"/>
      <c r="E33">
        <v>1981</v>
      </c>
      <c r="F33">
        <v>1</v>
      </c>
      <c r="G33">
        <f t="shared" si="2"/>
        <v>0</v>
      </c>
      <c r="H33">
        <v>0</v>
      </c>
      <c r="I33">
        <v>1</v>
      </c>
      <c r="J33">
        <f t="shared" si="3"/>
        <v>1.0821917808219179</v>
      </c>
      <c r="K33">
        <f t="shared" si="0"/>
        <v>1.4794520547945205</v>
      </c>
      <c r="L33">
        <f t="shared" si="1"/>
        <v>0.20547945205479451</v>
      </c>
    </row>
    <row r="34" spans="1:12" x14ac:dyDescent="0.25">
      <c r="A34" s="19">
        <v>27594</v>
      </c>
      <c r="B34" s="80">
        <v>28707</v>
      </c>
      <c r="D34" s="158"/>
      <c r="E34">
        <v>1982</v>
      </c>
      <c r="F34">
        <v>4</v>
      </c>
      <c r="G34">
        <f t="shared" si="2"/>
        <v>1</v>
      </c>
      <c r="H34">
        <v>3</v>
      </c>
      <c r="I34">
        <v>0</v>
      </c>
      <c r="J34">
        <f t="shared" si="3"/>
        <v>1.0821917808219179</v>
      </c>
      <c r="K34">
        <f t="shared" si="0"/>
        <v>1.4794520547945205</v>
      </c>
      <c r="L34">
        <f t="shared" si="1"/>
        <v>0.20547945205479451</v>
      </c>
    </row>
    <row r="35" spans="1:12" x14ac:dyDescent="0.25">
      <c r="A35" s="19">
        <v>27598</v>
      </c>
      <c r="B35" s="19">
        <v>29989</v>
      </c>
      <c r="D35" s="158"/>
      <c r="E35">
        <v>1983</v>
      </c>
      <c r="F35">
        <v>0</v>
      </c>
      <c r="G35">
        <f t="shared" si="2"/>
        <v>0</v>
      </c>
      <c r="H35">
        <v>0</v>
      </c>
      <c r="I35">
        <v>0</v>
      </c>
      <c r="J35">
        <f t="shared" si="3"/>
        <v>1.0821917808219179</v>
      </c>
      <c r="K35">
        <f t="shared" si="0"/>
        <v>1.4794520547945205</v>
      </c>
      <c r="L35">
        <f t="shared" si="1"/>
        <v>0.20547945205479451</v>
      </c>
    </row>
    <row r="36" spans="1:12" x14ac:dyDescent="0.25">
      <c r="A36" s="19">
        <v>27615</v>
      </c>
      <c r="B36" s="19">
        <v>30213</v>
      </c>
      <c r="D36" s="158"/>
      <c r="E36">
        <v>1984</v>
      </c>
      <c r="F36">
        <v>3</v>
      </c>
      <c r="G36">
        <f t="shared" si="2"/>
        <v>0</v>
      </c>
      <c r="H36">
        <v>2</v>
      </c>
      <c r="I36">
        <v>1</v>
      </c>
      <c r="J36">
        <f t="shared" si="3"/>
        <v>1.0821917808219179</v>
      </c>
      <c r="K36">
        <f t="shared" si="0"/>
        <v>1.4794520547945205</v>
      </c>
      <c r="L36">
        <f t="shared" si="1"/>
        <v>0.20547945205479451</v>
      </c>
    </row>
    <row r="37" spans="1:12" x14ac:dyDescent="0.25">
      <c r="A37" s="19">
        <v>27734</v>
      </c>
      <c r="B37" s="19">
        <v>30219</v>
      </c>
      <c r="D37" s="158"/>
      <c r="E37">
        <v>1985</v>
      </c>
      <c r="F37">
        <v>4</v>
      </c>
      <c r="G37">
        <f t="shared" si="2"/>
        <v>1</v>
      </c>
      <c r="H37">
        <v>3</v>
      </c>
      <c r="I37">
        <v>0</v>
      </c>
      <c r="J37">
        <f t="shared" si="3"/>
        <v>1.0821917808219179</v>
      </c>
      <c r="K37">
        <f t="shared" si="0"/>
        <v>1.4794520547945205</v>
      </c>
      <c r="L37">
        <f t="shared" si="1"/>
        <v>0.20547945205479451</v>
      </c>
    </row>
    <row r="38" spans="1:12" x14ac:dyDescent="0.25">
      <c r="A38" s="19">
        <v>28051</v>
      </c>
      <c r="B38" s="80">
        <v>30942</v>
      </c>
      <c r="D38" s="158"/>
      <c r="E38">
        <v>1986</v>
      </c>
      <c r="F38">
        <v>1</v>
      </c>
      <c r="G38">
        <f t="shared" si="2"/>
        <v>0</v>
      </c>
      <c r="H38">
        <v>1</v>
      </c>
      <c r="I38">
        <v>0</v>
      </c>
      <c r="J38">
        <f t="shared" si="3"/>
        <v>1.0821917808219179</v>
      </c>
      <c r="K38">
        <f t="shared" si="0"/>
        <v>1.4794520547945205</v>
      </c>
      <c r="L38">
        <f t="shared" si="1"/>
        <v>0.20547945205479451</v>
      </c>
    </row>
    <row r="39" spans="1:12" x14ac:dyDescent="0.25">
      <c r="A39" s="19">
        <v>28051</v>
      </c>
      <c r="B39" s="19">
        <v>30955</v>
      </c>
      <c r="D39" s="158"/>
      <c r="E39">
        <v>1987</v>
      </c>
      <c r="F39">
        <v>2</v>
      </c>
      <c r="G39">
        <f t="shared" si="2"/>
        <v>0</v>
      </c>
      <c r="H39">
        <v>2</v>
      </c>
      <c r="I39">
        <v>0</v>
      </c>
      <c r="J39">
        <f t="shared" si="3"/>
        <v>1.0821917808219179</v>
      </c>
      <c r="K39">
        <f t="shared" si="0"/>
        <v>1.4794520547945205</v>
      </c>
      <c r="L39">
        <f t="shared" si="1"/>
        <v>0.20547945205479451</v>
      </c>
    </row>
    <row r="40" spans="1:12" x14ac:dyDescent="0.25">
      <c r="A40" s="19">
        <v>28351</v>
      </c>
      <c r="B40" s="19">
        <v>31096</v>
      </c>
      <c r="D40" s="158"/>
      <c r="E40">
        <v>1988</v>
      </c>
      <c r="F40">
        <v>2</v>
      </c>
      <c r="G40">
        <f t="shared" si="2"/>
        <v>0</v>
      </c>
      <c r="H40">
        <v>2</v>
      </c>
      <c r="I40">
        <v>0</v>
      </c>
      <c r="J40">
        <f t="shared" si="3"/>
        <v>1.0821917808219179</v>
      </c>
      <c r="K40">
        <f t="shared" si="0"/>
        <v>1.4794520547945205</v>
      </c>
      <c r="L40">
        <f t="shared" si="1"/>
        <v>0.20547945205479451</v>
      </c>
    </row>
    <row r="41" spans="1:12" x14ac:dyDescent="0.25">
      <c r="A41" s="80">
        <v>28707</v>
      </c>
      <c r="B41" s="80">
        <v>31193</v>
      </c>
      <c r="D41" s="158"/>
      <c r="E41">
        <v>1989</v>
      </c>
      <c r="F41">
        <v>2</v>
      </c>
      <c r="G41">
        <f t="shared" si="2"/>
        <v>0</v>
      </c>
      <c r="H41">
        <v>1</v>
      </c>
      <c r="I41">
        <v>1</v>
      </c>
      <c r="J41">
        <f t="shared" si="3"/>
        <v>1.0821917808219179</v>
      </c>
      <c r="K41">
        <f t="shared" si="0"/>
        <v>1.4794520547945205</v>
      </c>
      <c r="L41">
        <f t="shared" si="1"/>
        <v>0.20547945205479451</v>
      </c>
    </row>
    <row r="42" spans="1:12" x14ac:dyDescent="0.25">
      <c r="A42" s="19">
        <v>28925</v>
      </c>
      <c r="B42" s="80">
        <v>31342</v>
      </c>
      <c r="D42" s="158"/>
      <c r="E42">
        <v>1990</v>
      </c>
      <c r="F42">
        <v>5</v>
      </c>
      <c r="G42">
        <f t="shared" si="2"/>
        <v>2</v>
      </c>
      <c r="H42">
        <v>3</v>
      </c>
      <c r="I42">
        <v>0</v>
      </c>
      <c r="J42">
        <f t="shared" si="3"/>
        <v>1.0821917808219179</v>
      </c>
      <c r="K42">
        <f t="shared" si="0"/>
        <v>1.4794520547945205</v>
      </c>
      <c r="L42">
        <f t="shared" si="1"/>
        <v>0.20547945205479451</v>
      </c>
    </row>
    <row r="43" spans="1:12" x14ac:dyDescent="0.25">
      <c r="A43" s="19">
        <v>29511</v>
      </c>
      <c r="B43" s="19">
        <v>31752</v>
      </c>
      <c r="D43" s="158"/>
      <c r="E43">
        <v>1991</v>
      </c>
      <c r="F43">
        <v>4</v>
      </c>
      <c r="G43">
        <f t="shared" si="2"/>
        <v>2</v>
      </c>
      <c r="H43">
        <v>2</v>
      </c>
      <c r="I43">
        <v>0</v>
      </c>
      <c r="J43">
        <f t="shared" si="3"/>
        <v>1.0821917808219179</v>
      </c>
      <c r="K43">
        <f t="shared" si="0"/>
        <v>1.4794520547945205</v>
      </c>
      <c r="L43">
        <f t="shared" si="1"/>
        <v>0.20547945205479451</v>
      </c>
    </row>
    <row r="44" spans="1:12" x14ac:dyDescent="0.25">
      <c r="A44" s="19">
        <v>29939</v>
      </c>
      <c r="B44" s="19">
        <v>32004</v>
      </c>
      <c r="D44" s="158"/>
      <c r="E44">
        <v>1992</v>
      </c>
      <c r="F44">
        <v>5</v>
      </c>
      <c r="G44">
        <f t="shared" si="2"/>
        <v>2</v>
      </c>
      <c r="H44">
        <v>3</v>
      </c>
      <c r="I44">
        <v>0</v>
      </c>
      <c r="J44">
        <f t="shared" si="3"/>
        <v>1.0821917808219179</v>
      </c>
      <c r="K44">
        <f t="shared" si="0"/>
        <v>1.4794520547945205</v>
      </c>
      <c r="L44">
        <f t="shared" si="1"/>
        <v>0.20547945205479451</v>
      </c>
    </row>
    <row r="45" spans="1:12" x14ac:dyDescent="0.25">
      <c r="A45" s="19">
        <v>29989</v>
      </c>
      <c r="B45" s="19">
        <v>32076</v>
      </c>
      <c r="D45" s="158"/>
      <c r="E45">
        <v>1993</v>
      </c>
      <c r="F45">
        <v>4</v>
      </c>
      <c r="G45">
        <f t="shared" si="2"/>
        <v>2</v>
      </c>
      <c r="H45">
        <v>2</v>
      </c>
      <c r="I45">
        <v>0</v>
      </c>
      <c r="J45">
        <f t="shared" si="3"/>
        <v>1.0821917808219179</v>
      </c>
      <c r="K45">
        <f t="shared" si="0"/>
        <v>1.4794520547945205</v>
      </c>
      <c r="L45">
        <f t="shared" si="1"/>
        <v>0.20547945205479451</v>
      </c>
    </row>
    <row r="46" spans="1:12" x14ac:dyDescent="0.25">
      <c r="A46" s="19">
        <v>30156</v>
      </c>
      <c r="B46" s="19">
        <v>32366</v>
      </c>
      <c r="D46" s="158"/>
      <c r="E46">
        <v>1994</v>
      </c>
      <c r="F46">
        <v>1</v>
      </c>
      <c r="G46">
        <f t="shared" si="2"/>
        <v>0</v>
      </c>
      <c r="H46">
        <v>0</v>
      </c>
      <c r="I46">
        <v>1</v>
      </c>
      <c r="J46">
        <f t="shared" si="3"/>
        <v>1.0821917808219179</v>
      </c>
      <c r="K46">
        <f t="shared" si="0"/>
        <v>1.4794520547945205</v>
      </c>
      <c r="L46">
        <f t="shared" si="1"/>
        <v>0.20547945205479451</v>
      </c>
    </row>
    <row r="47" spans="1:12" x14ac:dyDescent="0.25">
      <c r="A47" s="19">
        <v>30213</v>
      </c>
      <c r="B47" s="19">
        <v>32760</v>
      </c>
      <c r="D47" s="158"/>
      <c r="E47">
        <v>1995</v>
      </c>
      <c r="F47">
        <v>4</v>
      </c>
      <c r="G47">
        <f t="shared" si="2"/>
        <v>0</v>
      </c>
      <c r="H47">
        <v>4</v>
      </c>
      <c r="I47">
        <v>0</v>
      </c>
      <c r="J47">
        <f t="shared" si="3"/>
        <v>1.0821917808219179</v>
      </c>
      <c r="K47">
        <f t="shared" si="0"/>
        <v>1.4794520547945205</v>
      </c>
      <c r="L47">
        <f t="shared" si="1"/>
        <v>0.20547945205479451</v>
      </c>
    </row>
    <row r="48" spans="1:12" x14ac:dyDescent="0.25">
      <c r="A48" s="19">
        <v>30219</v>
      </c>
      <c r="B48" s="19">
        <v>33113</v>
      </c>
      <c r="D48" s="158"/>
      <c r="E48">
        <v>1996</v>
      </c>
      <c r="F48">
        <v>4</v>
      </c>
      <c r="G48">
        <f t="shared" si="2"/>
        <v>1</v>
      </c>
      <c r="H48">
        <v>3</v>
      </c>
      <c r="I48">
        <v>0</v>
      </c>
      <c r="J48">
        <f t="shared" si="3"/>
        <v>1.0821917808219179</v>
      </c>
      <c r="K48">
        <f t="shared" si="0"/>
        <v>1.4794520547945205</v>
      </c>
      <c r="L48">
        <f t="shared" si="1"/>
        <v>0.20547945205479451</v>
      </c>
    </row>
    <row r="49" spans="1:12" x14ac:dyDescent="0.25">
      <c r="A49" s="19">
        <v>30940</v>
      </c>
      <c r="B49" s="19">
        <v>33124</v>
      </c>
      <c r="D49" s="158"/>
      <c r="E49">
        <v>1997</v>
      </c>
      <c r="F49">
        <v>1</v>
      </c>
      <c r="G49">
        <f t="shared" si="2"/>
        <v>0</v>
      </c>
      <c r="H49">
        <v>1</v>
      </c>
      <c r="I49">
        <v>0</v>
      </c>
      <c r="J49">
        <f t="shared" si="3"/>
        <v>1.0821917808219179</v>
      </c>
      <c r="K49">
        <f t="shared" si="0"/>
        <v>1.4794520547945205</v>
      </c>
      <c r="L49">
        <f t="shared" si="1"/>
        <v>0.20547945205479451</v>
      </c>
    </row>
    <row r="50" spans="1:12" x14ac:dyDescent="0.25">
      <c r="A50" s="80">
        <v>30942</v>
      </c>
      <c r="B50" s="19">
        <v>33180</v>
      </c>
      <c r="D50" s="158"/>
      <c r="E50">
        <v>1998</v>
      </c>
      <c r="F50">
        <v>1</v>
      </c>
      <c r="G50">
        <f t="shared" si="2"/>
        <v>1</v>
      </c>
      <c r="H50">
        <v>0</v>
      </c>
      <c r="I50">
        <v>0</v>
      </c>
      <c r="J50">
        <f t="shared" si="3"/>
        <v>1.0821917808219179</v>
      </c>
      <c r="K50">
        <f t="shared" si="0"/>
        <v>1.4794520547945205</v>
      </c>
      <c r="L50">
        <f t="shared" si="1"/>
        <v>0.20547945205479451</v>
      </c>
    </row>
    <row r="51" spans="1:12" x14ac:dyDescent="0.25">
      <c r="A51" s="19">
        <v>30955</v>
      </c>
      <c r="B51" s="19">
        <v>33420</v>
      </c>
      <c r="D51" s="158"/>
      <c r="E51">
        <v>1999</v>
      </c>
      <c r="F51">
        <v>1</v>
      </c>
      <c r="G51">
        <f t="shared" si="2"/>
        <v>1</v>
      </c>
      <c r="H51">
        <v>0</v>
      </c>
      <c r="I51">
        <v>0</v>
      </c>
      <c r="J51">
        <f t="shared" si="3"/>
        <v>1.0821917808219179</v>
      </c>
      <c r="K51">
        <f t="shared" si="0"/>
        <v>1.4794520547945205</v>
      </c>
      <c r="L51">
        <f t="shared" si="1"/>
        <v>0.20547945205479451</v>
      </c>
    </row>
    <row r="52" spans="1:12" x14ac:dyDescent="0.25">
      <c r="A52" s="19">
        <v>31096</v>
      </c>
      <c r="B52" s="19">
        <v>33516</v>
      </c>
      <c r="D52" s="158"/>
      <c r="E52">
        <v>2000</v>
      </c>
      <c r="F52">
        <v>2</v>
      </c>
      <c r="G52">
        <f t="shared" si="2"/>
        <v>1</v>
      </c>
      <c r="H52">
        <v>1</v>
      </c>
      <c r="I52">
        <v>0</v>
      </c>
      <c r="J52">
        <f t="shared" si="3"/>
        <v>1.0821917808219179</v>
      </c>
      <c r="K52">
        <f t="shared" si="0"/>
        <v>1.4794520547945205</v>
      </c>
      <c r="L52">
        <f t="shared" si="1"/>
        <v>0.20547945205479451</v>
      </c>
    </row>
    <row r="53" spans="1:12" x14ac:dyDescent="0.25">
      <c r="A53" s="80">
        <v>31193</v>
      </c>
      <c r="B53" s="19">
        <v>33906</v>
      </c>
      <c r="D53" s="158"/>
      <c r="E53">
        <v>2001</v>
      </c>
      <c r="F53">
        <v>0</v>
      </c>
      <c r="G53">
        <f t="shared" si="2"/>
        <v>0</v>
      </c>
      <c r="H53">
        <v>0</v>
      </c>
      <c r="I53">
        <v>0</v>
      </c>
      <c r="J53">
        <f t="shared" si="3"/>
        <v>1.0821917808219179</v>
      </c>
      <c r="K53">
        <f t="shared" si="0"/>
        <v>1.4794520547945205</v>
      </c>
      <c r="L53">
        <f t="shared" si="1"/>
        <v>0.20547945205479451</v>
      </c>
    </row>
    <row r="54" spans="1:12" x14ac:dyDescent="0.25">
      <c r="A54" s="19">
        <v>31318</v>
      </c>
      <c r="B54" s="80">
        <v>33919</v>
      </c>
      <c r="D54" s="158"/>
      <c r="E54">
        <v>2002</v>
      </c>
      <c r="F54">
        <v>3</v>
      </c>
      <c r="G54">
        <f t="shared" si="2"/>
        <v>1</v>
      </c>
      <c r="H54">
        <v>2</v>
      </c>
      <c r="I54">
        <v>0</v>
      </c>
      <c r="J54">
        <f t="shared" si="3"/>
        <v>1.0821917808219179</v>
      </c>
      <c r="K54">
        <f t="shared" si="0"/>
        <v>1.4794520547945205</v>
      </c>
      <c r="L54">
        <f t="shared" si="1"/>
        <v>0.20547945205479451</v>
      </c>
    </row>
    <row r="55" spans="1:12" x14ac:dyDescent="0.25">
      <c r="A55" s="80">
        <v>31342</v>
      </c>
      <c r="B55" s="80">
        <v>33937</v>
      </c>
      <c r="D55" s="158"/>
      <c r="E55">
        <v>2003</v>
      </c>
      <c r="F55">
        <v>1</v>
      </c>
      <c r="G55">
        <f t="shared" si="2"/>
        <v>0</v>
      </c>
      <c r="H55">
        <v>0</v>
      </c>
      <c r="I55">
        <v>1</v>
      </c>
      <c r="J55">
        <f t="shared" si="3"/>
        <v>1.0821917808219179</v>
      </c>
      <c r="K55">
        <f t="shared" si="0"/>
        <v>1.4794520547945205</v>
      </c>
      <c r="L55">
        <f t="shared" si="1"/>
        <v>0.20547945205479451</v>
      </c>
    </row>
    <row r="56" spans="1:12" x14ac:dyDescent="0.25">
      <c r="A56" s="19">
        <v>31752</v>
      </c>
      <c r="B56" s="19">
        <v>34193</v>
      </c>
      <c r="D56" s="158"/>
      <c r="E56">
        <v>2004</v>
      </c>
      <c r="F56">
        <v>8</v>
      </c>
      <c r="G56">
        <f t="shared" si="2"/>
        <v>4</v>
      </c>
      <c r="H56">
        <v>3</v>
      </c>
      <c r="I56">
        <v>1</v>
      </c>
      <c r="J56">
        <f t="shared" si="3"/>
        <v>1.0821917808219179</v>
      </c>
      <c r="K56">
        <f t="shared" si="0"/>
        <v>1.4794520547945205</v>
      </c>
      <c r="L56">
        <f t="shared" si="1"/>
        <v>0.20547945205479451</v>
      </c>
    </row>
    <row r="57" spans="1:12" x14ac:dyDescent="0.25">
      <c r="A57" s="19">
        <v>32004</v>
      </c>
      <c r="B57" s="19">
        <v>34272</v>
      </c>
      <c r="D57" s="158"/>
      <c r="E57">
        <v>2005</v>
      </c>
      <c r="F57">
        <v>5</v>
      </c>
      <c r="G57">
        <f t="shared" si="2"/>
        <v>2</v>
      </c>
      <c r="H57">
        <v>3</v>
      </c>
      <c r="I57">
        <v>0</v>
      </c>
      <c r="J57">
        <f t="shared" si="3"/>
        <v>1.0821917808219179</v>
      </c>
      <c r="K57">
        <f t="shared" si="0"/>
        <v>1.4794520547945205</v>
      </c>
      <c r="L57">
        <f t="shared" si="1"/>
        <v>0.20547945205479451</v>
      </c>
    </row>
    <row r="58" spans="1:12" x14ac:dyDescent="0.25">
      <c r="A58" s="19">
        <v>32076</v>
      </c>
      <c r="B58" s="19">
        <v>34874</v>
      </c>
      <c r="D58" s="158"/>
      <c r="E58">
        <v>2006</v>
      </c>
      <c r="F58">
        <v>3</v>
      </c>
      <c r="G58">
        <f t="shared" si="2"/>
        <v>2</v>
      </c>
      <c r="H58">
        <v>1</v>
      </c>
      <c r="I58">
        <v>0</v>
      </c>
      <c r="J58">
        <f t="shared" si="3"/>
        <v>1.0821917808219179</v>
      </c>
      <c r="K58">
        <f t="shared" si="0"/>
        <v>1.4794520547945205</v>
      </c>
      <c r="L58">
        <f t="shared" si="1"/>
        <v>0.20547945205479451</v>
      </c>
    </row>
    <row r="59" spans="1:12" x14ac:dyDescent="0.25">
      <c r="A59" s="19">
        <v>32257</v>
      </c>
      <c r="B59" s="19">
        <v>34880</v>
      </c>
      <c r="D59" s="158"/>
      <c r="E59">
        <v>2007</v>
      </c>
      <c r="F59">
        <v>9</v>
      </c>
      <c r="G59">
        <f t="shared" si="2"/>
        <v>4</v>
      </c>
      <c r="H59">
        <v>5</v>
      </c>
      <c r="I59">
        <v>0</v>
      </c>
      <c r="J59">
        <f t="shared" si="3"/>
        <v>1.0821917808219179</v>
      </c>
      <c r="K59">
        <f t="shared" si="0"/>
        <v>1.4794520547945205</v>
      </c>
      <c r="L59">
        <f t="shared" si="1"/>
        <v>0.20547945205479451</v>
      </c>
    </row>
    <row r="60" spans="1:12" x14ac:dyDescent="0.25">
      <c r="A60" s="19">
        <v>32366</v>
      </c>
      <c r="B60" s="19">
        <v>34945</v>
      </c>
      <c r="D60" s="158"/>
      <c r="E60">
        <v>2008</v>
      </c>
      <c r="F60">
        <v>4</v>
      </c>
      <c r="G60">
        <f t="shared" si="2"/>
        <v>3</v>
      </c>
      <c r="H60">
        <v>0</v>
      </c>
      <c r="I60">
        <v>1</v>
      </c>
      <c r="J60">
        <f t="shared" si="3"/>
        <v>1.0821917808219179</v>
      </c>
      <c r="K60">
        <f t="shared" si="0"/>
        <v>1.4794520547945205</v>
      </c>
      <c r="L60">
        <f t="shared" si="1"/>
        <v>0.20547945205479451</v>
      </c>
    </row>
    <row r="61" spans="1:12" x14ac:dyDescent="0.25">
      <c r="A61" s="19">
        <v>32534</v>
      </c>
      <c r="B61" s="19">
        <v>34970</v>
      </c>
      <c r="D61" s="158"/>
      <c r="E61">
        <v>2009</v>
      </c>
      <c r="F61">
        <v>5</v>
      </c>
      <c r="G61">
        <f t="shared" si="2"/>
        <v>3</v>
      </c>
      <c r="H61">
        <v>2</v>
      </c>
      <c r="I61">
        <v>0</v>
      </c>
      <c r="J61">
        <f t="shared" si="3"/>
        <v>1.0821917808219179</v>
      </c>
      <c r="K61">
        <f t="shared" si="0"/>
        <v>1.4794520547945205</v>
      </c>
      <c r="L61">
        <f t="shared" si="1"/>
        <v>0.20547945205479451</v>
      </c>
    </row>
    <row r="62" spans="1:12" x14ac:dyDescent="0.25">
      <c r="A62" s="19">
        <v>32760</v>
      </c>
      <c r="B62" s="19">
        <v>35290</v>
      </c>
      <c r="D62" s="158"/>
      <c r="E62">
        <v>2010</v>
      </c>
      <c r="F62">
        <v>5</v>
      </c>
      <c r="G62">
        <f t="shared" si="2"/>
        <v>3</v>
      </c>
      <c r="H62">
        <v>1</v>
      </c>
      <c r="I62">
        <v>1</v>
      </c>
      <c r="J62">
        <f t="shared" si="3"/>
        <v>1.0821917808219179</v>
      </c>
      <c r="K62">
        <f t="shared" si="0"/>
        <v>1.4794520547945205</v>
      </c>
      <c r="L62">
        <f t="shared" si="1"/>
        <v>0.20547945205479451</v>
      </c>
    </row>
    <row r="63" spans="1:12" x14ac:dyDescent="0.25">
      <c r="A63" s="19">
        <v>32885</v>
      </c>
      <c r="B63" s="19">
        <v>35343</v>
      </c>
      <c r="D63" s="158"/>
      <c r="E63">
        <v>2011</v>
      </c>
      <c r="F63">
        <v>5</v>
      </c>
      <c r="G63">
        <f t="shared" si="2"/>
        <v>4</v>
      </c>
      <c r="H63">
        <v>1</v>
      </c>
      <c r="I63">
        <v>0</v>
      </c>
      <c r="J63">
        <f t="shared" si="3"/>
        <v>1.0821917808219179</v>
      </c>
      <c r="K63">
        <f t="shared" si="0"/>
        <v>1.4794520547945205</v>
      </c>
      <c r="L63">
        <f t="shared" si="1"/>
        <v>0.20547945205479451</v>
      </c>
    </row>
    <row r="64" spans="1:12" x14ac:dyDescent="0.25">
      <c r="A64" s="19">
        <v>33113</v>
      </c>
      <c r="B64" s="19">
        <v>35398</v>
      </c>
      <c r="D64" s="158"/>
      <c r="E64">
        <v>2012</v>
      </c>
      <c r="F64">
        <v>7</v>
      </c>
      <c r="G64">
        <f t="shared" si="2"/>
        <v>4</v>
      </c>
      <c r="H64">
        <v>2</v>
      </c>
      <c r="I64">
        <v>1</v>
      </c>
      <c r="J64">
        <f t="shared" si="3"/>
        <v>1.0821917808219179</v>
      </c>
      <c r="K64">
        <f t="shared" si="0"/>
        <v>1.4794520547945205</v>
      </c>
      <c r="L64">
        <f t="shared" si="1"/>
        <v>0.20547945205479451</v>
      </c>
    </row>
    <row r="65" spans="1:12" x14ac:dyDescent="0.25">
      <c r="A65" s="19">
        <v>33121</v>
      </c>
      <c r="B65" s="19">
        <v>35666</v>
      </c>
      <c r="D65" s="158"/>
      <c r="E65">
        <v>2013</v>
      </c>
      <c r="F65">
        <v>4</v>
      </c>
      <c r="G65">
        <f t="shared" si="2"/>
        <v>2</v>
      </c>
      <c r="H65">
        <v>2</v>
      </c>
      <c r="I65">
        <v>0</v>
      </c>
      <c r="J65">
        <f t="shared" si="3"/>
        <v>1.0821917808219179</v>
      </c>
      <c r="K65">
        <f t="shared" si="0"/>
        <v>1.4794520547945205</v>
      </c>
      <c r="L65">
        <f t="shared" si="1"/>
        <v>0.20547945205479451</v>
      </c>
    </row>
    <row r="66" spans="1:12" x14ac:dyDescent="0.25">
      <c r="A66" s="19">
        <v>33124</v>
      </c>
      <c r="B66" s="19">
        <v>36033</v>
      </c>
      <c r="D66" s="158"/>
      <c r="E66">
        <v>2014</v>
      </c>
      <c r="F66">
        <v>7</v>
      </c>
      <c r="G66">
        <f t="shared" si="2"/>
        <v>5</v>
      </c>
      <c r="H66">
        <v>2</v>
      </c>
      <c r="I66">
        <v>0</v>
      </c>
      <c r="J66">
        <f t="shared" si="3"/>
        <v>1.0821917808219179</v>
      </c>
      <c r="K66">
        <f t="shared" ref="K66:K80" si="5">AVERAGE($H$2:$H$81)</f>
        <v>1.4794520547945205</v>
      </c>
      <c r="L66">
        <f t="shared" ref="L66:L80" si="6">AVERAGE($I$2:$I$81)</f>
        <v>0.20547945205479451</v>
      </c>
    </row>
    <row r="67" spans="1:12" x14ac:dyDescent="0.25">
      <c r="A67" s="19">
        <v>33180</v>
      </c>
      <c r="B67" s="19">
        <v>36834</v>
      </c>
      <c r="D67" s="158"/>
      <c r="E67">
        <v>2015</v>
      </c>
      <c r="F67">
        <v>7</v>
      </c>
      <c r="G67">
        <f t="shared" ref="G67:G74" si="7">F67-(I67+H67)</f>
        <v>4</v>
      </c>
      <c r="H67">
        <v>3</v>
      </c>
      <c r="I67">
        <v>0</v>
      </c>
      <c r="J67">
        <f t="shared" ref="J67:J81" si="8">AVERAGE($G$2:$G$81)</f>
        <v>1.0821917808219179</v>
      </c>
      <c r="K67">
        <f t="shared" si="5"/>
        <v>1.4794520547945205</v>
      </c>
      <c r="L67">
        <f t="shared" si="6"/>
        <v>0.20547945205479451</v>
      </c>
    </row>
    <row r="68" spans="1:12" x14ac:dyDescent="0.25">
      <c r="A68" s="19">
        <v>33420</v>
      </c>
      <c r="B68" s="19">
        <v>37407</v>
      </c>
      <c r="D68" s="158"/>
      <c r="E68">
        <v>2016</v>
      </c>
      <c r="F68">
        <v>3</v>
      </c>
      <c r="G68">
        <f t="shared" si="7"/>
        <v>1</v>
      </c>
      <c r="H68">
        <v>2</v>
      </c>
      <c r="I68">
        <v>0</v>
      </c>
      <c r="J68">
        <f t="shared" si="8"/>
        <v>1.0821917808219179</v>
      </c>
      <c r="K68">
        <f t="shared" si="5"/>
        <v>1.4794520547945205</v>
      </c>
      <c r="L68">
        <f t="shared" si="6"/>
        <v>0.20547945205479451</v>
      </c>
    </row>
    <row r="69" spans="1:12" x14ac:dyDescent="0.25">
      <c r="A69" s="19">
        <v>33516</v>
      </c>
      <c r="B69" s="19">
        <v>37588</v>
      </c>
      <c r="D69" s="158"/>
      <c r="E69">
        <v>2017</v>
      </c>
      <c r="F69">
        <v>8</v>
      </c>
      <c r="G69">
        <f t="shared" si="7"/>
        <v>5</v>
      </c>
      <c r="H69">
        <v>3</v>
      </c>
      <c r="I69">
        <v>0</v>
      </c>
      <c r="J69">
        <f t="shared" si="8"/>
        <v>1.0821917808219179</v>
      </c>
      <c r="K69">
        <f t="shared" si="5"/>
        <v>1.4794520547945205</v>
      </c>
      <c r="L69">
        <f t="shared" si="6"/>
        <v>0.20547945205479451</v>
      </c>
    </row>
    <row r="70" spans="1:12" x14ac:dyDescent="0.25">
      <c r="A70" s="19">
        <v>33520</v>
      </c>
      <c r="B70" s="19">
        <v>38219</v>
      </c>
      <c r="D70" s="158"/>
      <c r="E70">
        <v>2018</v>
      </c>
      <c r="F70">
        <v>4</v>
      </c>
      <c r="G70">
        <f t="shared" si="7"/>
        <v>2</v>
      </c>
      <c r="H70">
        <v>2</v>
      </c>
      <c r="I70">
        <v>0</v>
      </c>
      <c r="J70">
        <f t="shared" si="8"/>
        <v>1.0821917808219179</v>
      </c>
      <c r="K70">
        <f t="shared" si="5"/>
        <v>1.4794520547945205</v>
      </c>
      <c r="L70">
        <f t="shared" si="6"/>
        <v>0.20547945205479451</v>
      </c>
    </row>
    <row r="71" spans="1:12" x14ac:dyDescent="0.25">
      <c r="A71" s="19">
        <v>33576</v>
      </c>
      <c r="B71" s="19">
        <v>38270</v>
      </c>
      <c r="D71" s="158"/>
      <c r="E71">
        <v>2019</v>
      </c>
      <c r="F71">
        <v>5</v>
      </c>
      <c r="G71">
        <f t="shared" si="7"/>
        <v>3</v>
      </c>
      <c r="H71">
        <v>2</v>
      </c>
      <c r="I71">
        <v>0</v>
      </c>
      <c r="J71">
        <f t="shared" si="8"/>
        <v>1.0821917808219179</v>
      </c>
      <c r="K71">
        <f t="shared" si="5"/>
        <v>1.4794520547945205</v>
      </c>
      <c r="L71">
        <f t="shared" si="6"/>
        <v>0.20547945205479451</v>
      </c>
    </row>
    <row r="72" spans="1:12" x14ac:dyDescent="0.25">
      <c r="A72" s="19">
        <v>33834</v>
      </c>
      <c r="B72" s="19">
        <v>38302</v>
      </c>
      <c r="D72" s="158"/>
      <c r="E72">
        <v>2020</v>
      </c>
      <c r="F72">
        <f>COUNTIFS(A:A,"&gt;12/31/2019",A:A,"&lt;01/01/2021")</f>
        <v>8</v>
      </c>
      <c r="G72">
        <f t="shared" si="7"/>
        <v>5</v>
      </c>
      <c r="H72">
        <f>COUNTIFS(B:B,"&gt;12/31/2019",B:B,"&lt;01/01/2021")</f>
        <v>2</v>
      </c>
      <c r="I72">
        <f>COUNTIFS(C:C,"&gt;12/31/2019",C:C,"&lt;01/01/2021")</f>
        <v>1</v>
      </c>
      <c r="J72">
        <f t="shared" si="8"/>
        <v>1.0821917808219179</v>
      </c>
      <c r="K72">
        <f t="shared" si="5"/>
        <v>1.4794520547945205</v>
      </c>
      <c r="L72">
        <f t="shared" si="6"/>
        <v>0.20547945205479451</v>
      </c>
    </row>
    <row r="73" spans="1:12" x14ac:dyDescent="0.25">
      <c r="A73" s="19">
        <v>33906</v>
      </c>
      <c r="B73" s="19">
        <v>38588</v>
      </c>
      <c r="D73" s="158"/>
      <c r="E73">
        <v>2021</v>
      </c>
      <c r="F73">
        <f>COUNTIFS(A:A,"&gt;12/31/2020",A:A,"&lt;01/01/2022")</f>
        <v>7</v>
      </c>
      <c r="G73">
        <f t="shared" si="7"/>
        <v>3</v>
      </c>
      <c r="H73">
        <f>COUNTIFS(B:B,"&gt;12/31/2020",B:B,"&lt;01/01/2022")</f>
        <v>3</v>
      </c>
      <c r="I73">
        <f>COUNTIFS(C:C,"&gt;12/31/2020",C:C,"&lt;01/01/2022")</f>
        <v>1</v>
      </c>
      <c r="J73">
        <f t="shared" si="8"/>
        <v>1.0821917808219179</v>
      </c>
      <c r="K73">
        <f t="shared" si="5"/>
        <v>1.4794520547945205</v>
      </c>
      <c r="L73">
        <f t="shared" si="6"/>
        <v>0.20547945205479451</v>
      </c>
    </row>
    <row r="74" spans="1:12" x14ac:dyDescent="0.25">
      <c r="A74" s="80">
        <v>33919</v>
      </c>
      <c r="B74" s="19">
        <v>38644</v>
      </c>
      <c r="D74" s="158"/>
      <c r="E74">
        <v>2022</v>
      </c>
      <c r="F74">
        <f>COUNTIFS(A:A,"&gt;12/31/2021",A:A,"&lt;01/01/2023")</f>
        <v>1</v>
      </c>
      <c r="G74">
        <f t="shared" si="7"/>
        <v>0</v>
      </c>
      <c r="H74">
        <f>COUNTIFS(B:B,"&gt;12/31/2021",B:B,"&lt;01/01/2023")</f>
        <v>1</v>
      </c>
      <c r="I74">
        <f>COUNTIFS(C:C,"&gt;12/31/2021",C:C,"&lt;01/01/2023")</f>
        <v>0</v>
      </c>
      <c r="J74">
        <f t="shared" si="8"/>
        <v>1.0821917808219179</v>
      </c>
      <c r="K74">
        <f t="shared" si="5"/>
        <v>1.4794520547945205</v>
      </c>
      <c r="L74">
        <f t="shared" si="6"/>
        <v>0.20547945205479451</v>
      </c>
    </row>
    <row r="75" spans="1:12" x14ac:dyDescent="0.25">
      <c r="A75" s="19">
        <v>33922</v>
      </c>
      <c r="B75" s="19">
        <v>38646</v>
      </c>
      <c r="D75" s="158"/>
      <c r="E75">
        <v>2023</v>
      </c>
      <c r="J75">
        <f t="shared" si="8"/>
        <v>1.0821917808219179</v>
      </c>
      <c r="K75">
        <f t="shared" si="5"/>
        <v>1.4794520547945205</v>
      </c>
      <c r="L75">
        <f t="shared" si="6"/>
        <v>0.20547945205479451</v>
      </c>
    </row>
    <row r="76" spans="1:12" x14ac:dyDescent="0.25">
      <c r="A76" s="80">
        <v>33937</v>
      </c>
      <c r="B76" s="19">
        <v>39061</v>
      </c>
      <c r="D76" s="158"/>
      <c r="E76">
        <v>2024</v>
      </c>
      <c r="J76">
        <f t="shared" si="8"/>
        <v>1.0821917808219179</v>
      </c>
      <c r="K76">
        <f t="shared" si="5"/>
        <v>1.4794520547945205</v>
      </c>
      <c r="L76">
        <f t="shared" si="6"/>
        <v>0.20547945205479451</v>
      </c>
    </row>
    <row r="77" spans="1:12" x14ac:dyDescent="0.25">
      <c r="A77" s="19">
        <v>34040</v>
      </c>
      <c r="B77" s="80">
        <v>39263</v>
      </c>
      <c r="D77" s="158"/>
      <c r="E77">
        <v>2025</v>
      </c>
      <c r="J77">
        <f t="shared" si="8"/>
        <v>1.0821917808219179</v>
      </c>
      <c r="K77">
        <f t="shared" si="5"/>
        <v>1.4794520547945205</v>
      </c>
      <c r="L77">
        <f t="shared" si="6"/>
        <v>0.20547945205479451</v>
      </c>
    </row>
    <row r="78" spans="1:12" x14ac:dyDescent="0.25">
      <c r="A78" s="19">
        <v>34193</v>
      </c>
      <c r="B78" s="80">
        <v>39280</v>
      </c>
      <c r="D78" s="158"/>
      <c r="E78">
        <v>2026</v>
      </c>
      <c r="J78">
        <f t="shared" si="8"/>
        <v>1.0821917808219179</v>
      </c>
      <c r="K78">
        <f t="shared" si="5"/>
        <v>1.4794520547945205</v>
      </c>
      <c r="L78">
        <f t="shared" si="6"/>
        <v>0.20547945205479451</v>
      </c>
    </row>
    <row r="79" spans="1:12" x14ac:dyDescent="0.25">
      <c r="A79" s="19">
        <v>34252</v>
      </c>
      <c r="B79" s="19">
        <v>39322</v>
      </c>
      <c r="D79" s="158"/>
      <c r="E79">
        <v>2027</v>
      </c>
      <c r="J79">
        <f t="shared" si="8"/>
        <v>1.0821917808219179</v>
      </c>
      <c r="K79">
        <f t="shared" si="5"/>
        <v>1.4794520547945205</v>
      </c>
      <c r="L79">
        <f t="shared" si="6"/>
        <v>0.20547945205479451</v>
      </c>
    </row>
    <row r="80" spans="1:12" x14ac:dyDescent="0.25">
      <c r="A80" s="19">
        <v>34272</v>
      </c>
      <c r="B80" s="80">
        <v>39355</v>
      </c>
      <c r="D80" s="158"/>
      <c r="E80">
        <v>2028</v>
      </c>
      <c r="J80">
        <f t="shared" si="8"/>
        <v>1.0821917808219179</v>
      </c>
      <c r="K80">
        <f t="shared" si="5"/>
        <v>1.4794520547945205</v>
      </c>
      <c r="L80">
        <f t="shared" si="6"/>
        <v>0.20547945205479451</v>
      </c>
    </row>
    <row r="81" spans="1:12" x14ac:dyDescent="0.25">
      <c r="A81" s="19">
        <v>34677</v>
      </c>
      <c r="B81" s="80">
        <v>39362</v>
      </c>
      <c r="D81" s="158"/>
      <c r="E81">
        <v>2029</v>
      </c>
      <c r="J81">
        <f t="shared" si="8"/>
        <v>1.0821917808219179</v>
      </c>
      <c r="K81">
        <f>AVERAGE($H$2:$H$81)</f>
        <v>1.4794520547945205</v>
      </c>
      <c r="L81">
        <f>AVERAGE($I$2:$I$81)</f>
        <v>0.20547945205479451</v>
      </c>
    </row>
    <row r="82" spans="1:12" x14ac:dyDescent="0.25">
      <c r="A82" s="19">
        <v>34874</v>
      </c>
      <c r="B82" s="19">
        <v>40050</v>
      </c>
      <c r="D82" s="158"/>
      <c r="E82" t="s">
        <v>385</v>
      </c>
      <c r="F82">
        <f>SUM(F2:F81)</f>
        <v>202</v>
      </c>
      <c r="H82">
        <f>SUM(H2:H81)</f>
        <v>108</v>
      </c>
      <c r="I82">
        <f>SUM(I2:I81)</f>
        <v>15</v>
      </c>
    </row>
    <row r="83" spans="1:12" x14ac:dyDescent="0.25">
      <c r="A83" s="19">
        <v>34880</v>
      </c>
      <c r="B83" s="86">
        <v>40110</v>
      </c>
      <c r="E83" t="s">
        <v>444</v>
      </c>
      <c r="F83">
        <f>AVERAGE($F$2:$F$81)</f>
        <v>2.7671232876712328</v>
      </c>
      <c r="H83">
        <f>AVERAGE($H$2:$H$81)</f>
        <v>1.4794520547945205</v>
      </c>
      <c r="I83">
        <f>AVERAGE($I$2:$I$81)</f>
        <v>0.20547945205479451</v>
      </c>
    </row>
    <row r="84" spans="1:12" x14ac:dyDescent="0.25">
      <c r="A84" s="19">
        <v>34945</v>
      </c>
      <c r="B84" s="80">
        <v>40361</v>
      </c>
      <c r="E84" t="s">
        <v>484</v>
      </c>
      <c r="F84">
        <f>AVERAGE(F63:F72)</f>
        <v>5.8</v>
      </c>
      <c r="H84">
        <f>AVERAGE(H63:H72)</f>
        <v>2.1</v>
      </c>
      <c r="I84">
        <f>AVERAGE(I63:I72)</f>
        <v>0.2</v>
      </c>
    </row>
    <row r="85" spans="1:12" x14ac:dyDescent="0.25">
      <c r="A85" s="19">
        <v>34970</v>
      </c>
      <c r="B85" s="19">
        <v>40845</v>
      </c>
      <c r="E85" t="s">
        <v>499</v>
      </c>
      <c r="F85">
        <f>AVERAGE(F53:F72)</f>
        <v>5.05</v>
      </c>
      <c r="H85">
        <f>AVERAGE(H53:H72)</f>
        <v>1.9</v>
      </c>
      <c r="I85">
        <f>AVERAGE(I53:I72)</f>
        <v>0.3</v>
      </c>
    </row>
    <row r="86" spans="1:12" x14ac:dyDescent="0.25">
      <c r="A86" s="19">
        <v>35290</v>
      </c>
      <c r="B86" s="86">
        <v>41121</v>
      </c>
      <c r="E86" t="s">
        <v>498</v>
      </c>
      <c r="F86">
        <f>AVERAGE(F72:F81)</f>
        <v>5.333333333333333</v>
      </c>
      <c r="H86">
        <f>AVERAGE(H72:H81)</f>
        <v>2</v>
      </c>
      <c r="I86">
        <f>AVERAGE(I72:I81)</f>
        <v>0.66666666666666663</v>
      </c>
    </row>
    <row r="87" spans="1:12" x14ac:dyDescent="0.25">
      <c r="A87" s="19">
        <v>35341</v>
      </c>
      <c r="B87" s="19">
        <v>41212</v>
      </c>
      <c r="E87" t="s">
        <v>368</v>
      </c>
      <c r="F87" s="180">
        <f>AVERAGE(F62:F71)</f>
        <v>5.5</v>
      </c>
      <c r="G87" s="180"/>
      <c r="H87" s="180">
        <f>AVERAGE(H62:H71)</f>
        <v>2</v>
      </c>
      <c r="I87" s="180">
        <f>AVERAGE(I62:I71)</f>
        <v>0.2</v>
      </c>
    </row>
    <row r="88" spans="1:12" x14ac:dyDescent="0.25">
      <c r="A88" s="19">
        <v>35343</v>
      </c>
      <c r="B88" s="83">
        <v>41517</v>
      </c>
      <c r="E88" t="s">
        <v>367</v>
      </c>
      <c r="F88" s="180">
        <f>AVERAGE(F52:F61)</f>
        <v>4</v>
      </c>
      <c r="G88" s="180"/>
      <c r="H88" s="180">
        <f t="shared" ref="H88:I88" si="9">AVERAGE(H52:H61)</f>
        <v>1.7</v>
      </c>
      <c r="I88" s="180">
        <f t="shared" si="9"/>
        <v>0.3</v>
      </c>
    </row>
    <row r="89" spans="1:12" x14ac:dyDescent="0.25">
      <c r="A89" s="19">
        <v>35398</v>
      </c>
      <c r="B89" s="29">
        <v>41553</v>
      </c>
      <c r="E89" t="s">
        <v>448</v>
      </c>
      <c r="F89" s="180">
        <f>AVERAGE(F42:F51)</f>
        <v>3</v>
      </c>
      <c r="G89" s="180"/>
      <c r="H89" s="180">
        <f t="shared" ref="H89:I89" si="10">AVERAGE(H42:H51)</f>
        <v>1.8</v>
      </c>
      <c r="I89" s="180">
        <f t="shared" si="10"/>
        <v>0.1</v>
      </c>
    </row>
    <row r="90" spans="1:12" x14ac:dyDescent="0.25">
      <c r="A90" s="19">
        <v>35666</v>
      </c>
      <c r="B90" s="29">
        <v>41914</v>
      </c>
      <c r="E90" t="s">
        <v>449</v>
      </c>
      <c r="F90" s="180">
        <f>AVERAGE(F32:F41)</f>
        <v>2</v>
      </c>
      <c r="G90" s="180"/>
      <c r="H90" s="180">
        <f t="shared" ref="H90:I90" si="11">AVERAGE(H32:H41)</f>
        <v>1.4</v>
      </c>
      <c r="I90" s="180">
        <f t="shared" si="11"/>
        <v>0.3</v>
      </c>
    </row>
    <row r="91" spans="1:12" x14ac:dyDescent="0.25">
      <c r="A91" s="19">
        <v>36033</v>
      </c>
      <c r="B91" s="29">
        <v>42001</v>
      </c>
      <c r="E91" t="s">
        <v>450</v>
      </c>
      <c r="F91" s="180">
        <f>AVERAGE(F22:F31)</f>
        <v>1.9</v>
      </c>
      <c r="G91" s="180"/>
      <c r="H91" s="180">
        <f t="shared" ref="H91:I91" si="12">AVERAGE(H22:H31)</f>
        <v>1.7</v>
      </c>
      <c r="I91" s="180">
        <f t="shared" si="12"/>
        <v>0</v>
      </c>
    </row>
    <row r="92" spans="1:12" x14ac:dyDescent="0.25">
      <c r="A92" s="19">
        <v>36479</v>
      </c>
      <c r="B92" s="83">
        <v>42252</v>
      </c>
      <c r="E92" t="s">
        <v>451</v>
      </c>
      <c r="F92" s="180">
        <f>AVERAGE(F12:F21)</f>
        <v>1</v>
      </c>
      <c r="G92" s="180"/>
      <c r="H92" s="180">
        <f>AVERAGE(H12:H21)</f>
        <v>0.9</v>
      </c>
      <c r="I92" s="180">
        <f>AVERAGE(I12:I21)</f>
        <v>0</v>
      </c>
    </row>
    <row r="93" spans="1:12" x14ac:dyDescent="0.25">
      <c r="A93" s="19">
        <v>36798</v>
      </c>
      <c r="B93" s="83">
        <v>42267</v>
      </c>
      <c r="E93" t="s">
        <v>452</v>
      </c>
      <c r="F93" s="180">
        <f>AVERAGE(F2:F11)</f>
        <v>1.2</v>
      </c>
      <c r="G93" s="180"/>
      <c r="H93" s="180">
        <f t="shared" ref="H93:I93" si="13">AVERAGE(H2:H11)</f>
        <v>0.7</v>
      </c>
      <c r="I93" s="180">
        <f t="shared" si="13"/>
        <v>0.4</v>
      </c>
    </row>
    <row r="94" spans="1:12" x14ac:dyDescent="0.25">
      <c r="A94" s="19">
        <v>36834</v>
      </c>
      <c r="B94" s="29">
        <v>42271</v>
      </c>
    </row>
    <row r="95" spans="1:12" x14ac:dyDescent="0.25">
      <c r="A95" s="19">
        <v>37407</v>
      </c>
      <c r="B95" s="29">
        <v>42519</v>
      </c>
    </row>
    <row r="96" spans="1:12" x14ac:dyDescent="0.25">
      <c r="A96" s="19">
        <v>37520</v>
      </c>
      <c r="B96" s="29">
        <v>42614</v>
      </c>
    </row>
    <row r="97" spans="1:2" x14ac:dyDescent="0.25">
      <c r="A97" s="19">
        <v>37588</v>
      </c>
      <c r="B97" s="29">
        <v>42854</v>
      </c>
    </row>
    <row r="98" spans="1:2" x14ac:dyDescent="0.25">
      <c r="A98" s="19">
        <v>37852</v>
      </c>
      <c r="B98" s="29">
        <v>43063</v>
      </c>
    </row>
    <row r="99" spans="1:2" x14ac:dyDescent="0.25">
      <c r="A99" s="19">
        <v>38135</v>
      </c>
      <c r="B99" s="29">
        <v>43099</v>
      </c>
    </row>
    <row r="100" spans="1:2" x14ac:dyDescent="0.25">
      <c r="A100" s="19">
        <v>38164</v>
      </c>
      <c r="B100" s="100">
        <v>43372</v>
      </c>
    </row>
    <row r="101" spans="1:2" x14ac:dyDescent="0.25">
      <c r="A101" s="19">
        <v>38214</v>
      </c>
      <c r="B101" s="100">
        <v>43396</v>
      </c>
    </row>
    <row r="102" spans="1:2" x14ac:dyDescent="0.25">
      <c r="A102" s="19">
        <v>38219</v>
      </c>
      <c r="B102" s="100">
        <v>43473</v>
      </c>
    </row>
    <row r="103" spans="1:2" x14ac:dyDescent="0.25">
      <c r="A103" s="19">
        <v>38261</v>
      </c>
      <c r="B103" s="95">
        <v>43820</v>
      </c>
    </row>
    <row r="104" spans="1:2" x14ac:dyDescent="0.25">
      <c r="A104" s="19">
        <v>38262</v>
      </c>
      <c r="B104" s="95">
        <v>43952</v>
      </c>
    </row>
    <row r="105" spans="1:2" x14ac:dyDescent="0.25">
      <c r="A105" s="19">
        <v>38270</v>
      </c>
      <c r="B105" s="95">
        <v>44055</v>
      </c>
    </row>
    <row r="106" spans="1:2" x14ac:dyDescent="0.25">
      <c r="A106" s="19">
        <v>38302</v>
      </c>
      <c r="B106" s="95">
        <v>44373</v>
      </c>
    </row>
    <row r="107" spans="1:2" x14ac:dyDescent="0.25">
      <c r="A107" s="19">
        <v>38588</v>
      </c>
      <c r="B107" s="95">
        <v>44377</v>
      </c>
    </row>
    <row r="108" spans="1:2" x14ac:dyDescent="0.25">
      <c r="A108" s="19">
        <v>38644</v>
      </c>
      <c r="B108" s="95">
        <v>44472</v>
      </c>
    </row>
    <row r="109" spans="1:2" x14ac:dyDescent="0.25">
      <c r="A109" s="19">
        <v>38646</v>
      </c>
      <c r="B109" s="95">
        <v>44618</v>
      </c>
    </row>
    <row r="110" spans="1:2" x14ac:dyDescent="0.25">
      <c r="A110" s="19">
        <v>38658</v>
      </c>
    </row>
    <row r="111" spans="1:2" x14ac:dyDescent="0.25">
      <c r="A111" s="19">
        <v>38658</v>
      </c>
    </row>
    <row r="112" spans="1:2" x14ac:dyDescent="0.25">
      <c r="A112" s="19">
        <v>38735</v>
      </c>
    </row>
    <row r="113" spans="1:1" x14ac:dyDescent="0.25">
      <c r="A113" s="19">
        <v>38885</v>
      </c>
    </row>
    <row r="114" spans="1:1" x14ac:dyDescent="0.25">
      <c r="A114" s="19">
        <v>39061</v>
      </c>
    </row>
    <row r="115" spans="1:1" x14ac:dyDescent="0.25">
      <c r="A115" s="80">
        <v>39263</v>
      </c>
    </row>
    <row r="116" spans="1:1" x14ac:dyDescent="0.25">
      <c r="A116" s="80">
        <v>39280</v>
      </c>
    </row>
    <row r="117" spans="1:1" x14ac:dyDescent="0.25">
      <c r="A117" s="19">
        <v>39284</v>
      </c>
    </row>
    <row r="118" spans="1:1" x14ac:dyDescent="0.25">
      <c r="A118" s="25">
        <v>39285</v>
      </c>
    </row>
    <row r="119" spans="1:1" x14ac:dyDescent="0.25">
      <c r="A119" s="86">
        <v>39291</v>
      </c>
    </row>
    <row r="120" spans="1:1" x14ac:dyDescent="0.25">
      <c r="A120" s="19">
        <v>39322</v>
      </c>
    </row>
    <row r="121" spans="1:1" x14ac:dyDescent="0.25">
      <c r="A121" s="19">
        <v>39352</v>
      </c>
    </row>
    <row r="122" spans="1:1" x14ac:dyDescent="0.25">
      <c r="A122" s="80">
        <v>39355</v>
      </c>
    </row>
    <row r="123" spans="1:1" x14ac:dyDescent="0.25">
      <c r="A123" s="80">
        <v>39362</v>
      </c>
    </row>
    <row r="124" spans="1:1" x14ac:dyDescent="0.25">
      <c r="A124" s="19">
        <v>39514</v>
      </c>
    </row>
    <row r="125" spans="1:1" x14ac:dyDescent="0.25">
      <c r="A125" s="19">
        <v>39563</v>
      </c>
    </row>
    <row r="126" spans="1:1" x14ac:dyDescent="0.25">
      <c r="A126" s="19">
        <v>39620</v>
      </c>
    </row>
    <row r="127" spans="1:1" x14ac:dyDescent="0.25">
      <c r="A127" s="19">
        <v>39699</v>
      </c>
    </row>
    <row r="128" spans="1:1" x14ac:dyDescent="0.25">
      <c r="A128" s="19">
        <v>39909</v>
      </c>
    </row>
    <row r="129" spans="1:1" x14ac:dyDescent="0.25">
      <c r="A129" s="19">
        <v>40050</v>
      </c>
    </row>
    <row r="130" spans="1:1" x14ac:dyDescent="0.25">
      <c r="A130" s="19">
        <v>40055</v>
      </c>
    </row>
    <row r="131" spans="1:1" x14ac:dyDescent="0.25">
      <c r="A131" s="86">
        <v>40110</v>
      </c>
    </row>
    <row r="132" spans="1:1" x14ac:dyDescent="0.25">
      <c r="A132" s="19">
        <v>40122</v>
      </c>
    </row>
    <row r="133" spans="1:1" x14ac:dyDescent="0.25">
      <c r="A133" s="19">
        <v>40361</v>
      </c>
    </row>
    <row r="134" spans="1:1" x14ac:dyDescent="0.25">
      <c r="A134" s="80">
        <v>40361</v>
      </c>
    </row>
    <row r="135" spans="1:1" x14ac:dyDescent="0.25">
      <c r="A135" s="19">
        <v>40392</v>
      </c>
    </row>
    <row r="136" spans="1:1" x14ac:dyDescent="0.25">
      <c r="A136" s="19">
        <v>40404</v>
      </c>
    </row>
    <row r="137" spans="1:1" x14ac:dyDescent="0.25">
      <c r="A137" s="19">
        <v>40473</v>
      </c>
    </row>
    <row r="138" spans="1:1" x14ac:dyDescent="0.25">
      <c r="A138" s="80">
        <v>40700</v>
      </c>
    </row>
    <row r="139" spans="1:1" x14ac:dyDescent="0.25">
      <c r="A139" s="19">
        <v>40718</v>
      </c>
    </row>
    <row r="140" spans="1:1" x14ac:dyDescent="0.25">
      <c r="A140" s="19">
        <v>40797</v>
      </c>
    </row>
    <row r="141" spans="1:1" x14ac:dyDescent="0.25">
      <c r="A141" s="19">
        <v>40845</v>
      </c>
    </row>
    <row r="142" spans="1:1" x14ac:dyDescent="0.25">
      <c r="A142" s="19">
        <v>40869</v>
      </c>
    </row>
    <row r="143" spans="1:1" x14ac:dyDescent="0.25">
      <c r="A143" s="19">
        <v>41035</v>
      </c>
    </row>
    <row r="144" spans="1:1" x14ac:dyDescent="0.25">
      <c r="A144" s="19">
        <v>41041</v>
      </c>
    </row>
    <row r="145" spans="1:1" x14ac:dyDescent="0.25">
      <c r="A145" s="19">
        <v>41097</v>
      </c>
    </row>
    <row r="146" spans="1:1" x14ac:dyDescent="0.25">
      <c r="A146" s="86">
        <v>41121</v>
      </c>
    </row>
    <row r="147" spans="1:1" x14ac:dyDescent="0.25">
      <c r="A147" s="19">
        <v>41189</v>
      </c>
    </row>
    <row r="148" spans="1:1" x14ac:dyDescent="0.25">
      <c r="A148" s="19">
        <v>41205</v>
      </c>
    </row>
    <row r="149" spans="1:1" x14ac:dyDescent="0.25">
      <c r="A149" s="19">
        <v>41212</v>
      </c>
    </row>
    <row r="150" spans="1:1" x14ac:dyDescent="0.25">
      <c r="A150" s="29">
        <v>41450</v>
      </c>
    </row>
    <row r="151" spans="1:1" x14ac:dyDescent="0.25">
      <c r="A151" s="29">
        <v>41503</v>
      </c>
    </row>
    <row r="152" spans="1:1" x14ac:dyDescent="0.25">
      <c r="A152" s="83">
        <v>41517</v>
      </c>
    </row>
    <row r="153" spans="1:1" x14ac:dyDescent="0.25">
      <c r="A153" s="29">
        <v>41553</v>
      </c>
    </row>
    <row r="154" spans="1:1" x14ac:dyDescent="0.25">
      <c r="A154" s="29">
        <v>41825</v>
      </c>
    </row>
    <row r="155" spans="1:1" x14ac:dyDescent="0.25">
      <c r="A155" s="29">
        <v>41895</v>
      </c>
    </row>
    <row r="156" spans="1:1" x14ac:dyDescent="0.25">
      <c r="A156" s="29">
        <v>41914</v>
      </c>
    </row>
    <row r="157" spans="1:1" x14ac:dyDescent="0.25">
      <c r="A157" s="29">
        <v>41915</v>
      </c>
    </row>
    <row r="158" spans="1:1" x14ac:dyDescent="0.25">
      <c r="A158" s="29">
        <v>41915</v>
      </c>
    </row>
    <row r="159" spans="1:1" x14ac:dyDescent="0.25">
      <c r="A159" s="29">
        <v>41931</v>
      </c>
    </row>
    <row r="160" spans="1:1" x14ac:dyDescent="0.25">
      <c r="A160" s="29">
        <v>42001</v>
      </c>
    </row>
    <row r="161" spans="1:1" x14ac:dyDescent="0.25">
      <c r="A161" s="29">
        <v>42195</v>
      </c>
    </row>
    <row r="162" spans="1:1" x14ac:dyDescent="0.25">
      <c r="A162" s="29">
        <v>42234</v>
      </c>
    </row>
    <row r="163" spans="1:1" x14ac:dyDescent="0.25">
      <c r="A163" s="29">
        <v>42245</v>
      </c>
    </row>
    <row r="164" spans="1:1" x14ac:dyDescent="0.25">
      <c r="A164" s="83">
        <v>42252</v>
      </c>
    </row>
    <row r="165" spans="1:1" x14ac:dyDescent="0.25">
      <c r="A165" s="83">
        <v>42267</v>
      </c>
    </row>
    <row r="166" spans="1:1" x14ac:dyDescent="0.25">
      <c r="A166" s="29">
        <v>42253</v>
      </c>
    </row>
    <row r="167" spans="1:1" x14ac:dyDescent="0.25">
      <c r="A167" s="29">
        <v>42271</v>
      </c>
    </row>
    <row r="168" spans="1:1" x14ac:dyDescent="0.25">
      <c r="A168" s="29">
        <v>42519</v>
      </c>
    </row>
    <row r="169" spans="1:1" x14ac:dyDescent="0.25">
      <c r="A169" s="29">
        <v>42614</v>
      </c>
    </row>
    <row r="170" spans="1:1" x14ac:dyDescent="0.25">
      <c r="A170" s="29">
        <v>42630</v>
      </c>
    </row>
    <row r="171" spans="1:1" x14ac:dyDescent="0.25">
      <c r="A171" s="29">
        <v>42812</v>
      </c>
    </row>
    <row r="172" spans="1:1" x14ac:dyDescent="0.25">
      <c r="A172" s="29">
        <v>42854</v>
      </c>
    </row>
    <row r="173" spans="1:1" x14ac:dyDescent="0.25">
      <c r="A173" s="29">
        <v>42927</v>
      </c>
    </row>
    <row r="174" spans="1:1" x14ac:dyDescent="0.25">
      <c r="A174" s="29">
        <v>42936</v>
      </c>
    </row>
    <row r="175" spans="1:1" x14ac:dyDescent="0.25">
      <c r="A175" s="29">
        <v>42936</v>
      </c>
    </row>
    <row r="176" spans="1:1" x14ac:dyDescent="0.25">
      <c r="A176" s="29">
        <v>42948</v>
      </c>
    </row>
    <row r="177" spans="1:1" x14ac:dyDescent="0.25">
      <c r="A177" s="29">
        <v>43063</v>
      </c>
    </row>
    <row r="178" spans="1:1" x14ac:dyDescent="0.25">
      <c r="A178" s="29">
        <v>43099</v>
      </c>
    </row>
    <row r="179" spans="1:1" x14ac:dyDescent="0.25">
      <c r="A179" s="29">
        <v>43276</v>
      </c>
    </row>
    <row r="180" spans="1:1" x14ac:dyDescent="0.25">
      <c r="A180" s="100">
        <v>43336</v>
      </c>
    </row>
    <row r="181" spans="1:1" x14ac:dyDescent="0.25">
      <c r="A181" s="100">
        <v>43372</v>
      </c>
    </row>
    <row r="182" spans="1:1" x14ac:dyDescent="0.25">
      <c r="A182" s="100">
        <v>43396</v>
      </c>
    </row>
    <row r="183" spans="1:1" x14ac:dyDescent="0.25">
      <c r="A183" s="100">
        <v>43473</v>
      </c>
    </row>
    <row r="184" spans="1:1" x14ac:dyDescent="0.25">
      <c r="A184" s="95">
        <v>43592</v>
      </c>
    </row>
    <row r="185" spans="1:1" x14ac:dyDescent="0.25">
      <c r="A185" s="112">
        <v>43709</v>
      </c>
    </row>
    <row r="186" spans="1:1" x14ac:dyDescent="0.25">
      <c r="A186" s="95">
        <v>43743</v>
      </c>
    </row>
    <row r="187" spans="1:1" x14ac:dyDescent="0.25">
      <c r="A187" s="95">
        <v>43820</v>
      </c>
    </row>
    <row r="188" spans="1:1" x14ac:dyDescent="0.25">
      <c r="A188" s="95">
        <v>43917</v>
      </c>
    </row>
    <row r="189" spans="1:1" x14ac:dyDescent="0.25">
      <c r="A189" s="95">
        <v>43952</v>
      </c>
    </row>
    <row r="190" spans="1:1" x14ac:dyDescent="0.25">
      <c r="A190" s="120">
        <v>43960</v>
      </c>
    </row>
    <row r="191" spans="1:1" x14ac:dyDescent="0.25">
      <c r="A191" s="120">
        <v>43976</v>
      </c>
    </row>
    <row r="192" spans="1:1" x14ac:dyDescent="0.25">
      <c r="A192" s="95">
        <v>44001</v>
      </c>
    </row>
    <row r="193" spans="1:1" x14ac:dyDescent="0.25">
      <c r="A193" s="120">
        <v>44055</v>
      </c>
    </row>
    <row r="194" spans="1:1" x14ac:dyDescent="0.25">
      <c r="A194" s="95">
        <v>44071</v>
      </c>
    </row>
    <row r="195" spans="1:1" x14ac:dyDescent="0.25">
      <c r="A195" s="120">
        <v>44195</v>
      </c>
    </row>
    <row r="196" spans="1:1" x14ac:dyDescent="0.25">
      <c r="A196" s="95">
        <v>44373</v>
      </c>
    </row>
    <row r="197" spans="1:1" x14ac:dyDescent="0.25">
      <c r="A197" s="120">
        <v>44377</v>
      </c>
    </row>
    <row r="198" spans="1:1" x14ac:dyDescent="0.25">
      <c r="A198" s="120">
        <v>44382</v>
      </c>
    </row>
    <row r="199" spans="1:1" x14ac:dyDescent="0.25">
      <c r="A199" s="120">
        <v>44399</v>
      </c>
    </row>
    <row r="200" spans="1:1" x14ac:dyDescent="0.25">
      <c r="A200" s="120">
        <v>44472</v>
      </c>
    </row>
    <row r="201" spans="1:1" x14ac:dyDescent="0.25">
      <c r="A201" s="95">
        <v>44552</v>
      </c>
    </row>
    <row r="202" spans="1:1" x14ac:dyDescent="0.25">
      <c r="A202" s="95">
        <v>44554</v>
      </c>
    </row>
    <row r="203" spans="1:1" x14ac:dyDescent="0.25">
      <c r="A203" s="120">
        <v>44618</v>
      </c>
    </row>
  </sheetData>
  <pageMargins left="0.7" right="0.7" top="0.75" bottom="0.75" header="0.3" footer="0.3"/>
  <pageSetup orientation="portrait" verticalDpi="90" r:id="rId1"/>
  <ignoredErrors>
    <ignoredError sqref="O3:Q5 P7:Q7 P6:Q6 O2 Q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03"/>
  <sheetViews>
    <sheetView workbookViewId="0">
      <selection activeCell="D25" sqref="D25:F25"/>
    </sheetView>
  </sheetViews>
  <sheetFormatPr defaultRowHeight="15.75" x14ac:dyDescent="0.25"/>
  <cols>
    <col min="1" max="1" width="42.7109375" bestFit="1" customWidth="1"/>
    <col min="4" max="4" width="15.28515625" style="11" bestFit="1" customWidth="1"/>
    <col min="5" max="5" width="15.140625" style="11" customWidth="1"/>
    <col min="6" max="6" width="15" style="11" bestFit="1" customWidth="1"/>
  </cols>
  <sheetData>
    <row r="1" spans="1:6" x14ac:dyDescent="0.25">
      <c r="A1" s="61" t="s">
        <v>6</v>
      </c>
      <c r="B1" s="61" t="s">
        <v>386</v>
      </c>
      <c r="D1" s="14" t="s">
        <v>440</v>
      </c>
      <c r="E1" s="15" t="s">
        <v>0</v>
      </c>
      <c r="F1" s="16" t="s">
        <v>6</v>
      </c>
    </row>
    <row r="2" spans="1:6" x14ac:dyDescent="0.25">
      <c r="A2" t="s">
        <v>387</v>
      </c>
      <c r="B2">
        <f>COUNTIF(F:F,"White")</f>
        <v>179</v>
      </c>
      <c r="D2" s="18">
        <v>12</v>
      </c>
      <c r="E2" s="80">
        <v>21864</v>
      </c>
      <c r="F2" s="81" t="s">
        <v>48</v>
      </c>
    </row>
    <row r="3" spans="1:6" x14ac:dyDescent="0.25">
      <c r="A3" t="s">
        <v>48</v>
      </c>
      <c r="B3">
        <f>COUNTIF(F:F,"Blue")</f>
        <v>2</v>
      </c>
      <c r="D3" s="18">
        <v>51</v>
      </c>
      <c r="E3" s="80">
        <v>30942</v>
      </c>
      <c r="F3" s="81" t="s">
        <v>48</v>
      </c>
    </row>
    <row r="4" spans="1:6" x14ac:dyDescent="0.25">
      <c r="A4" t="s">
        <v>40</v>
      </c>
      <c r="B4">
        <f>COUNTIF(F:F,"Hammerhead")</f>
        <v>3</v>
      </c>
      <c r="D4" s="18">
        <v>10</v>
      </c>
      <c r="E4" s="82">
        <v>21759</v>
      </c>
      <c r="F4" s="81" t="s">
        <v>40</v>
      </c>
    </row>
    <row r="5" spans="1:6" x14ac:dyDescent="0.25">
      <c r="A5" t="s">
        <v>388</v>
      </c>
      <c r="B5">
        <f>(COUNTIF(F:F,"Leopard")+(COUNTIF(F:F,"Salmon")+(COUNTIF(F:F,"Sevengill")+(COUNTIF(F:F,"Thresher")+(COUNTIF(F:F,"Unknown"))))))</f>
        <v>18</v>
      </c>
      <c r="D5" s="18">
        <v>166</v>
      </c>
      <c r="E5" s="83">
        <v>42252</v>
      </c>
      <c r="F5" s="81" t="s">
        <v>40</v>
      </c>
    </row>
    <row r="6" spans="1:6" x14ac:dyDescent="0.25">
      <c r="A6" t="s">
        <v>361</v>
      </c>
      <c r="B6">
        <f>SUM(B2:B5)</f>
        <v>202</v>
      </c>
      <c r="D6" s="18">
        <v>168</v>
      </c>
      <c r="E6" s="143">
        <v>42267</v>
      </c>
      <c r="F6" s="7" t="s">
        <v>40</v>
      </c>
    </row>
    <row r="7" spans="1:6" x14ac:dyDescent="0.25">
      <c r="A7" t="s">
        <v>389</v>
      </c>
      <c r="D7" s="18">
        <v>125</v>
      </c>
      <c r="E7" s="80">
        <v>39362</v>
      </c>
      <c r="F7" s="81" t="s">
        <v>260</v>
      </c>
    </row>
    <row r="8" spans="1:6" x14ac:dyDescent="0.25">
      <c r="D8" s="18">
        <v>136</v>
      </c>
      <c r="E8" s="80">
        <v>40361</v>
      </c>
      <c r="F8" s="84" t="s">
        <v>260</v>
      </c>
    </row>
    <row r="9" spans="1:6" x14ac:dyDescent="0.25">
      <c r="D9" s="18">
        <v>154</v>
      </c>
      <c r="E9" s="83">
        <v>41517</v>
      </c>
      <c r="F9" s="81" t="s">
        <v>318</v>
      </c>
    </row>
    <row r="10" spans="1:6" x14ac:dyDescent="0.25">
      <c r="D10" s="18">
        <v>140</v>
      </c>
      <c r="E10" s="80">
        <v>40700</v>
      </c>
      <c r="F10" s="81" t="s">
        <v>292</v>
      </c>
    </row>
    <row r="11" spans="1:6" x14ac:dyDescent="0.25">
      <c r="D11" s="18">
        <v>187</v>
      </c>
      <c r="E11" s="86">
        <v>43709</v>
      </c>
      <c r="F11" s="7" t="s">
        <v>488</v>
      </c>
    </row>
    <row r="12" spans="1:6" x14ac:dyDescent="0.25">
      <c r="D12" s="18">
        <v>42</v>
      </c>
      <c r="E12" s="80">
        <v>28707</v>
      </c>
      <c r="F12" s="81" t="s">
        <v>102</v>
      </c>
    </row>
    <row r="13" spans="1:6" x14ac:dyDescent="0.25">
      <c r="D13" s="18">
        <v>54</v>
      </c>
      <c r="E13" s="80">
        <v>31193</v>
      </c>
      <c r="F13" s="81" t="s">
        <v>102</v>
      </c>
    </row>
    <row r="14" spans="1:6" x14ac:dyDescent="0.25">
      <c r="D14" s="18">
        <v>56</v>
      </c>
      <c r="E14" s="80">
        <v>31342</v>
      </c>
      <c r="F14" s="85" t="s">
        <v>102</v>
      </c>
    </row>
    <row r="15" spans="1:6" x14ac:dyDescent="0.25">
      <c r="D15" s="18">
        <v>75</v>
      </c>
      <c r="E15" s="80">
        <v>33919</v>
      </c>
      <c r="F15" s="85" t="s">
        <v>102</v>
      </c>
    </row>
    <row r="16" spans="1:6" x14ac:dyDescent="0.25">
      <c r="D16" s="18">
        <v>77</v>
      </c>
      <c r="E16" s="80">
        <v>33937</v>
      </c>
      <c r="F16" s="81" t="s">
        <v>102</v>
      </c>
    </row>
    <row r="17" spans="4:7" x14ac:dyDescent="0.25">
      <c r="D17" s="18">
        <v>117</v>
      </c>
      <c r="E17" s="80">
        <v>39263</v>
      </c>
      <c r="F17" s="81" t="s">
        <v>102</v>
      </c>
    </row>
    <row r="18" spans="4:7" x14ac:dyDescent="0.25">
      <c r="D18" s="18">
        <v>118</v>
      </c>
      <c r="E18" s="80">
        <v>39280</v>
      </c>
      <c r="F18" s="81" t="s">
        <v>102</v>
      </c>
    </row>
    <row r="19" spans="4:7" x14ac:dyDescent="0.25">
      <c r="D19" s="18">
        <v>121</v>
      </c>
      <c r="E19" s="86">
        <v>39291</v>
      </c>
      <c r="F19" s="7" t="s">
        <v>102</v>
      </c>
    </row>
    <row r="20" spans="4:7" x14ac:dyDescent="0.25">
      <c r="D20" s="18">
        <v>124</v>
      </c>
      <c r="E20" s="80">
        <v>39355</v>
      </c>
      <c r="F20" s="81" t="s">
        <v>102</v>
      </c>
    </row>
    <row r="21" spans="4:7" x14ac:dyDescent="0.25">
      <c r="D21" s="18">
        <v>133</v>
      </c>
      <c r="E21" s="86">
        <v>40110</v>
      </c>
      <c r="F21" s="7" t="s">
        <v>102</v>
      </c>
    </row>
    <row r="22" spans="4:7" x14ac:dyDescent="0.25">
      <c r="D22" s="18">
        <v>148</v>
      </c>
      <c r="E22" s="86">
        <v>41121</v>
      </c>
      <c r="F22" s="7" t="s">
        <v>102</v>
      </c>
      <c r="G22" t="s">
        <v>464</v>
      </c>
    </row>
    <row r="23" spans="4:7" x14ac:dyDescent="0.25">
      <c r="D23" s="18">
        <v>181</v>
      </c>
      <c r="E23" s="86">
        <v>43276</v>
      </c>
      <c r="F23" s="7" t="s">
        <v>102</v>
      </c>
    </row>
    <row r="24" spans="4:7" x14ac:dyDescent="0.25">
      <c r="D24" s="98">
        <v>201</v>
      </c>
      <c r="E24" s="178">
        <v>44399</v>
      </c>
      <c r="F24" s="177" t="s">
        <v>102</v>
      </c>
    </row>
    <row r="25" spans="4:7" x14ac:dyDescent="0.25">
      <c r="D25" s="18">
        <v>1</v>
      </c>
      <c r="E25" s="19">
        <v>18544</v>
      </c>
      <c r="F25" s="3" t="s">
        <v>16</v>
      </c>
    </row>
    <row r="26" spans="4:7" x14ac:dyDescent="0.25">
      <c r="D26" s="18">
        <v>2</v>
      </c>
      <c r="E26" s="19">
        <v>19141</v>
      </c>
      <c r="F26" s="3" t="s">
        <v>16</v>
      </c>
    </row>
    <row r="27" spans="4:7" x14ac:dyDescent="0.25">
      <c r="D27" s="18">
        <v>3</v>
      </c>
      <c r="E27" s="19">
        <v>19335</v>
      </c>
      <c r="F27" s="3" t="s">
        <v>16</v>
      </c>
    </row>
    <row r="28" spans="4:7" x14ac:dyDescent="0.25">
      <c r="D28" s="18">
        <v>4</v>
      </c>
      <c r="E28" s="19">
        <v>20126</v>
      </c>
      <c r="F28" s="3" t="s">
        <v>16</v>
      </c>
    </row>
    <row r="29" spans="4:7" x14ac:dyDescent="0.25">
      <c r="D29" s="18">
        <v>5</v>
      </c>
      <c r="E29" s="19">
        <v>20681</v>
      </c>
      <c r="F29" s="3" t="s">
        <v>16</v>
      </c>
    </row>
    <row r="30" spans="4:7" x14ac:dyDescent="0.25">
      <c r="D30" s="18">
        <v>6</v>
      </c>
      <c r="E30" s="19">
        <v>20938</v>
      </c>
      <c r="F30" s="3" t="s">
        <v>16</v>
      </c>
    </row>
    <row r="31" spans="4:7" x14ac:dyDescent="0.25">
      <c r="D31" s="18">
        <v>7</v>
      </c>
      <c r="E31" s="19">
        <v>21470</v>
      </c>
      <c r="F31" s="3" t="s">
        <v>16</v>
      </c>
    </row>
    <row r="32" spans="4:7" x14ac:dyDescent="0.25">
      <c r="D32" s="18">
        <v>8</v>
      </c>
      <c r="E32" s="19">
        <v>21677</v>
      </c>
      <c r="F32" s="3" t="s">
        <v>16</v>
      </c>
    </row>
    <row r="33" spans="4:6" x14ac:dyDescent="0.25">
      <c r="D33" s="18">
        <v>9</v>
      </c>
      <c r="E33" s="19">
        <v>21715</v>
      </c>
      <c r="F33" s="3" t="s">
        <v>16</v>
      </c>
    </row>
    <row r="34" spans="4:6" x14ac:dyDescent="0.25">
      <c r="D34" s="18">
        <v>11</v>
      </c>
      <c r="E34" s="19">
        <v>21827</v>
      </c>
      <c r="F34" s="3" t="s">
        <v>16</v>
      </c>
    </row>
    <row r="35" spans="4:6" x14ac:dyDescent="0.25">
      <c r="D35" s="18">
        <v>13</v>
      </c>
      <c r="E35" s="19">
        <v>22030</v>
      </c>
      <c r="F35" s="3" t="s">
        <v>16</v>
      </c>
    </row>
    <row r="36" spans="4:6" x14ac:dyDescent="0.25">
      <c r="D36" s="18">
        <v>14</v>
      </c>
      <c r="E36" s="19">
        <v>22055</v>
      </c>
      <c r="F36" s="3" t="s">
        <v>16</v>
      </c>
    </row>
    <row r="37" spans="4:6" x14ac:dyDescent="0.25">
      <c r="D37" s="18">
        <v>15</v>
      </c>
      <c r="E37" s="19">
        <v>22422</v>
      </c>
      <c r="F37" s="3" t="s">
        <v>16</v>
      </c>
    </row>
    <row r="38" spans="4:6" x14ac:dyDescent="0.25">
      <c r="D38" s="18">
        <v>16</v>
      </c>
      <c r="E38" s="19">
        <v>22513</v>
      </c>
      <c r="F38" s="3" t="s">
        <v>16</v>
      </c>
    </row>
    <row r="39" spans="4:6" x14ac:dyDescent="0.25">
      <c r="D39" s="18">
        <v>17</v>
      </c>
      <c r="E39" s="19">
        <v>22660</v>
      </c>
      <c r="F39" s="3" t="s">
        <v>16</v>
      </c>
    </row>
    <row r="40" spans="4:6" x14ac:dyDescent="0.25">
      <c r="D40" s="18">
        <v>18</v>
      </c>
      <c r="E40" s="19">
        <v>22961</v>
      </c>
      <c r="F40" s="3" t="s">
        <v>16</v>
      </c>
    </row>
    <row r="41" spans="4:6" x14ac:dyDescent="0.25">
      <c r="D41" s="18">
        <v>19</v>
      </c>
      <c r="E41" s="19">
        <v>23387</v>
      </c>
      <c r="F41" s="3" t="s">
        <v>16</v>
      </c>
    </row>
    <row r="42" spans="4:6" x14ac:dyDescent="0.25">
      <c r="D42" s="18">
        <v>20</v>
      </c>
      <c r="E42" s="19">
        <v>24129</v>
      </c>
      <c r="F42" s="3" t="s">
        <v>16</v>
      </c>
    </row>
    <row r="43" spans="4:6" x14ac:dyDescent="0.25">
      <c r="D43" s="18">
        <v>21</v>
      </c>
      <c r="E43" s="19">
        <v>25046</v>
      </c>
      <c r="F43" s="3" t="s">
        <v>16</v>
      </c>
    </row>
    <row r="44" spans="4:6" x14ac:dyDescent="0.25">
      <c r="D44" s="18">
        <v>23</v>
      </c>
      <c r="E44" s="19">
        <v>25452</v>
      </c>
      <c r="F44" s="3" t="s">
        <v>16</v>
      </c>
    </row>
    <row r="45" spans="4:6" x14ac:dyDescent="0.25">
      <c r="D45" s="18">
        <v>24</v>
      </c>
      <c r="E45" s="19">
        <v>26133</v>
      </c>
      <c r="F45" s="3" t="s">
        <v>16</v>
      </c>
    </row>
    <row r="46" spans="4:6" x14ac:dyDescent="0.25">
      <c r="D46" s="18">
        <v>25</v>
      </c>
      <c r="E46" s="19">
        <v>26208</v>
      </c>
      <c r="F46" s="3" t="s">
        <v>16</v>
      </c>
    </row>
    <row r="47" spans="4:6" x14ac:dyDescent="0.25">
      <c r="D47" s="18">
        <v>26</v>
      </c>
      <c r="E47" s="19">
        <v>26447</v>
      </c>
      <c r="F47" s="3" t="s">
        <v>16</v>
      </c>
    </row>
    <row r="48" spans="4:6" x14ac:dyDescent="0.25">
      <c r="D48" s="18">
        <v>28</v>
      </c>
      <c r="E48" s="19">
        <v>27175</v>
      </c>
      <c r="F48" s="3" t="s">
        <v>16</v>
      </c>
    </row>
    <row r="49" spans="4:6" x14ac:dyDescent="0.25">
      <c r="D49" s="18">
        <v>29</v>
      </c>
      <c r="E49" s="19">
        <v>27236</v>
      </c>
      <c r="F49" s="3" t="s">
        <v>16</v>
      </c>
    </row>
    <row r="50" spans="4:6" x14ac:dyDescent="0.25">
      <c r="D50" s="18">
        <v>30</v>
      </c>
      <c r="E50" s="19">
        <v>27246</v>
      </c>
      <c r="F50" s="3" t="s">
        <v>16</v>
      </c>
    </row>
    <row r="51" spans="4:6" x14ac:dyDescent="0.25">
      <c r="D51" s="18">
        <v>31</v>
      </c>
      <c r="E51" s="19">
        <v>27274</v>
      </c>
      <c r="F51" s="3" t="s">
        <v>16</v>
      </c>
    </row>
    <row r="52" spans="4:6" x14ac:dyDescent="0.25">
      <c r="D52" s="18">
        <v>32</v>
      </c>
      <c r="E52" s="19">
        <v>27274</v>
      </c>
      <c r="F52" s="3" t="s">
        <v>16</v>
      </c>
    </row>
    <row r="53" spans="4:6" x14ac:dyDescent="0.25">
      <c r="D53" s="18">
        <v>33</v>
      </c>
      <c r="E53" s="19">
        <v>27286</v>
      </c>
      <c r="F53" s="3" t="s">
        <v>16</v>
      </c>
    </row>
    <row r="54" spans="4:6" x14ac:dyDescent="0.25">
      <c r="D54" s="18">
        <v>34</v>
      </c>
      <c r="E54" s="19">
        <v>27300</v>
      </c>
      <c r="F54" s="3" t="s">
        <v>16</v>
      </c>
    </row>
    <row r="55" spans="4:6" x14ac:dyDescent="0.25">
      <c r="D55" s="18">
        <v>35</v>
      </c>
      <c r="E55" s="19">
        <v>27594</v>
      </c>
      <c r="F55" s="3" t="s">
        <v>16</v>
      </c>
    </row>
    <row r="56" spans="4:6" x14ac:dyDescent="0.25">
      <c r="D56" s="18">
        <v>36</v>
      </c>
      <c r="E56" s="19">
        <v>27598</v>
      </c>
      <c r="F56" s="3" t="s">
        <v>16</v>
      </c>
    </row>
    <row r="57" spans="4:6" x14ac:dyDescent="0.25">
      <c r="D57" s="18">
        <v>37</v>
      </c>
      <c r="E57" s="19">
        <v>27615</v>
      </c>
      <c r="F57" s="3" t="s">
        <v>16</v>
      </c>
    </row>
    <row r="58" spans="4:6" x14ac:dyDescent="0.25">
      <c r="D58" s="18">
        <v>38</v>
      </c>
      <c r="E58" s="19">
        <v>27734</v>
      </c>
      <c r="F58" s="3" t="s">
        <v>16</v>
      </c>
    </row>
    <row r="59" spans="4:6" x14ac:dyDescent="0.25">
      <c r="D59" s="18">
        <v>39</v>
      </c>
      <c r="E59" s="19">
        <v>28051</v>
      </c>
      <c r="F59" s="3" t="s">
        <v>16</v>
      </c>
    </row>
    <row r="60" spans="4:6" x14ac:dyDescent="0.25">
      <c r="D60" s="18">
        <v>40</v>
      </c>
      <c r="E60" s="19">
        <v>28051</v>
      </c>
      <c r="F60" s="3" t="s">
        <v>16</v>
      </c>
    </row>
    <row r="61" spans="4:6" x14ac:dyDescent="0.25">
      <c r="D61" s="18">
        <v>41</v>
      </c>
      <c r="E61" s="19">
        <v>28351</v>
      </c>
      <c r="F61" s="3" t="s">
        <v>16</v>
      </c>
    </row>
    <row r="62" spans="4:6" x14ac:dyDescent="0.25">
      <c r="D62" s="18">
        <v>43</v>
      </c>
      <c r="E62" s="19">
        <v>28925</v>
      </c>
      <c r="F62" s="3" t="s">
        <v>16</v>
      </c>
    </row>
    <row r="63" spans="4:6" x14ac:dyDescent="0.25">
      <c r="D63" s="18">
        <v>44</v>
      </c>
      <c r="E63" s="19">
        <v>29511</v>
      </c>
      <c r="F63" s="3" t="s">
        <v>16</v>
      </c>
    </row>
    <row r="64" spans="4:6" x14ac:dyDescent="0.25">
      <c r="D64" s="18">
        <v>45</v>
      </c>
      <c r="E64" s="19">
        <v>29939</v>
      </c>
      <c r="F64" s="3" t="s">
        <v>16</v>
      </c>
    </row>
    <row r="65" spans="4:6" x14ac:dyDescent="0.25">
      <c r="D65" s="18">
        <v>46</v>
      </c>
      <c r="E65" s="19">
        <v>29989</v>
      </c>
      <c r="F65" s="3" t="s">
        <v>16</v>
      </c>
    </row>
    <row r="66" spans="4:6" x14ac:dyDescent="0.25">
      <c r="D66" s="18">
        <v>47</v>
      </c>
      <c r="E66" s="19">
        <v>30156</v>
      </c>
      <c r="F66" s="3" t="s">
        <v>16</v>
      </c>
    </row>
    <row r="67" spans="4:6" x14ac:dyDescent="0.25">
      <c r="D67" s="18">
        <v>48</v>
      </c>
      <c r="E67" s="19">
        <v>30213</v>
      </c>
      <c r="F67" s="3" t="s">
        <v>16</v>
      </c>
    </row>
    <row r="68" spans="4:6" x14ac:dyDescent="0.25">
      <c r="D68" s="18">
        <v>49</v>
      </c>
      <c r="E68" s="19">
        <v>30219</v>
      </c>
      <c r="F68" s="3" t="s">
        <v>16</v>
      </c>
    </row>
    <row r="69" spans="4:6" x14ac:dyDescent="0.25">
      <c r="D69" s="18">
        <v>50</v>
      </c>
      <c r="E69" s="19">
        <v>30940</v>
      </c>
      <c r="F69" s="3" t="s">
        <v>16</v>
      </c>
    </row>
    <row r="70" spans="4:6" x14ac:dyDescent="0.25">
      <c r="D70" s="18">
        <v>52</v>
      </c>
      <c r="E70" s="19">
        <v>30955</v>
      </c>
      <c r="F70" s="3" t="s">
        <v>16</v>
      </c>
    </row>
    <row r="71" spans="4:6" x14ac:dyDescent="0.25">
      <c r="D71" s="18">
        <v>53</v>
      </c>
      <c r="E71" s="19">
        <v>31096</v>
      </c>
      <c r="F71" s="3" t="s">
        <v>16</v>
      </c>
    </row>
    <row r="72" spans="4:6" x14ac:dyDescent="0.25">
      <c r="D72" s="18">
        <v>55</v>
      </c>
      <c r="E72" s="19">
        <v>31318</v>
      </c>
      <c r="F72" s="3" t="s">
        <v>16</v>
      </c>
    </row>
    <row r="73" spans="4:6" x14ac:dyDescent="0.25">
      <c r="D73" s="18">
        <v>57</v>
      </c>
      <c r="E73" s="19">
        <v>31752</v>
      </c>
      <c r="F73" s="3" t="s">
        <v>16</v>
      </c>
    </row>
    <row r="74" spans="4:6" x14ac:dyDescent="0.25">
      <c r="D74" s="18">
        <v>58</v>
      </c>
      <c r="E74" s="19">
        <v>32004</v>
      </c>
      <c r="F74" s="3" t="s">
        <v>16</v>
      </c>
    </row>
    <row r="75" spans="4:6" x14ac:dyDescent="0.25">
      <c r="D75" s="18">
        <v>59</v>
      </c>
      <c r="E75" s="19">
        <v>32076</v>
      </c>
      <c r="F75" s="3" t="s">
        <v>16</v>
      </c>
    </row>
    <row r="76" spans="4:6" x14ac:dyDescent="0.25">
      <c r="D76" s="18">
        <v>60</v>
      </c>
      <c r="E76" s="19">
        <v>32257</v>
      </c>
      <c r="F76" s="3" t="s">
        <v>16</v>
      </c>
    </row>
    <row r="77" spans="4:6" x14ac:dyDescent="0.25">
      <c r="D77" s="18">
        <v>61</v>
      </c>
      <c r="E77" s="19">
        <v>32366</v>
      </c>
      <c r="F77" s="3" t="s">
        <v>16</v>
      </c>
    </row>
    <row r="78" spans="4:6" x14ac:dyDescent="0.25">
      <c r="D78" s="18">
        <v>62</v>
      </c>
      <c r="E78" s="19">
        <v>32534</v>
      </c>
      <c r="F78" s="3" t="s">
        <v>16</v>
      </c>
    </row>
    <row r="79" spans="4:6" x14ac:dyDescent="0.25">
      <c r="D79" s="18">
        <v>63</v>
      </c>
      <c r="E79" s="19">
        <v>32760</v>
      </c>
      <c r="F79" s="3" t="s">
        <v>16</v>
      </c>
    </row>
    <row r="80" spans="4:6" x14ac:dyDescent="0.25">
      <c r="D80" s="18">
        <v>64</v>
      </c>
      <c r="E80" s="19">
        <v>32885</v>
      </c>
      <c r="F80" s="3" t="s">
        <v>16</v>
      </c>
    </row>
    <row r="81" spans="4:6" x14ac:dyDescent="0.25">
      <c r="D81" s="18">
        <v>65</v>
      </c>
      <c r="E81" s="19">
        <v>33113</v>
      </c>
      <c r="F81" s="3" t="s">
        <v>16</v>
      </c>
    </row>
    <row r="82" spans="4:6" x14ac:dyDescent="0.25">
      <c r="D82" s="18">
        <v>66</v>
      </c>
      <c r="E82" s="19">
        <v>33121</v>
      </c>
      <c r="F82" s="3" t="s">
        <v>16</v>
      </c>
    </row>
    <row r="83" spans="4:6" x14ac:dyDescent="0.25">
      <c r="D83" s="18">
        <v>67</v>
      </c>
      <c r="E83" s="19">
        <v>33124</v>
      </c>
      <c r="F83" s="3" t="s">
        <v>16</v>
      </c>
    </row>
    <row r="84" spans="4:6" x14ac:dyDescent="0.25">
      <c r="D84" s="18">
        <v>68</v>
      </c>
      <c r="E84" s="19">
        <v>33180</v>
      </c>
      <c r="F84" s="3" t="s">
        <v>16</v>
      </c>
    </row>
    <row r="85" spans="4:6" x14ac:dyDescent="0.25">
      <c r="D85" s="18">
        <v>69</v>
      </c>
      <c r="E85" s="19">
        <v>33420</v>
      </c>
      <c r="F85" s="3" t="s">
        <v>16</v>
      </c>
    </row>
    <row r="86" spans="4:6" x14ac:dyDescent="0.25">
      <c r="D86" s="18">
        <v>70</v>
      </c>
      <c r="E86" s="19">
        <v>33516</v>
      </c>
      <c r="F86" s="3" t="s">
        <v>16</v>
      </c>
    </row>
    <row r="87" spans="4:6" x14ac:dyDescent="0.25">
      <c r="D87" s="18">
        <v>71</v>
      </c>
      <c r="E87" s="19">
        <v>33520</v>
      </c>
      <c r="F87" s="3" t="s">
        <v>16</v>
      </c>
    </row>
    <row r="88" spans="4:6" x14ac:dyDescent="0.25">
      <c r="D88" s="18">
        <v>72</v>
      </c>
      <c r="E88" s="19">
        <v>33576</v>
      </c>
      <c r="F88" s="3" t="s">
        <v>16</v>
      </c>
    </row>
    <row r="89" spans="4:6" x14ac:dyDescent="0.25">
      <c r="D89" s="18">
        <v>73</v>
      </c>
      <c r="E89" s="19">
        <v>33834</v>
      </c>
      <c r="F89" s="3" t="s">
        <v>16</v>
      </c>
    </row>
    <row r="90" spans="4:6" x14ac:dyDescent="0.25">
      <c r="D90" s="18">
        <v>74</v>
      </c>
      <c r="E90" s="19">
        <v>33906</v>
      </c>
      <c r="F90" s="3" t="s">
        <v>16</v>
      </c>
    </row>
    <row r="91" spans="4:6" x14ac:dyDescent="0.25">
      <c r="D91" s="18">
        <v>76</v>
      </c>
      <c r="E91" s="19">
        <v>33922</v>
      </c>
      <c r="F91" s="3" t="s">
        <v>16</v>
      </c>
    </row>
    <row r="92" spans="4:6" x14ac:dyDescent="0.25">
      <c r="D92" s="18">
        <v>78</v>
      </c>
      <c r="E92" s="19">
        <v>34040</v>
      </c>
      <c r="F92" s="3" t="s">
        <v>16</v>
      </c>
    </row>
    <row r="93" spans="4:6" x14ac:dyDescent="0.25">
      <c r="D93" s="18">
        <v>79</v>
      </c>
      <c r="E93" s="19">
        <v>34193</v>
      </c>
      <c r="F93" s="3" t="s">
        <v>16</v>
      </c>
    </row>
    <row r="94" spans="4:6" x14ac:dyDescent="0.25">
      <c r="D94" s="18">
        <v>80</v>
      </c>
      <c r="E94" s="19">
        <v>34252</v>
      </c>
      <c r="F94" s="3" t="s">
        <v>16</v>
      </c>
    </row>
    <row r="95" spans="4:6" x14ac:dyDescent="0.25">
      <c r="D95" s="18">
        <v>81</v>
      </c>
      <c r="E95" s="19">
        <v>34272</v>
      </c>
      <c r="F95" s="3" t="s">
        <v>16</v>
      </c>
    </row>
    <row r="96" spans="4:6" x14ac:dyDescent="0.25">
      <c r="D96" s="18">
        <v>82</v>
      </c>
      <c r="E96" s="19">
        <v>34677</v>
      </c>
      <c r="F96" s="3" t="s">
        <v>16</v>
      </c>
    </row>
    <row r="97" spans="4:6" x14ac:dyDescent="0.25">
      <c r="D97" s="18">
        <v>83</v>
      </c>
      <c r="E97" s="19">
        <v>34874</v>
      </c>
      <c r="F97" s="3" t="s">
        <v>16</v>
      </c>
    </row>
    <row r="98" spans="4:6" x14ac:dyDescent="0.25">
      <c r="D98" s="18">
        <v>84</v>
      </c>
      <c r="E98" s="19">
        <v>34880</v>
      </c>
      <c r="F98" s="3" t="s">
        <v>16</v>
      </c>
    </row>
    <row r="99" spans="4:6" x14ac:dyDescent="0.25">
      <c r="D99" s="18">
        <v>85</v>
      </c>
      <c r="E99" s="19">
        <v>34945</v>
      </c>
      <c r="F99" s="3" t="s">
        <v>16</v>
      </c>
    </row>
    <row r="100" spans="4:6" x14ac:dyDescent="0.25">
      <c r="D100" s="18">
        <v>86</v>
      </c>
      <c r="E100" s="19">
        <v>34970</v>
      </c>
      <c r="F100" s="3" t="s">
        <v>16</v>
      </c>
    </row>
    <row r="101" spans="4:6" x14ac:dyDescent="0.25">
      <c r="D101" s="18">
        <v>87</v>
      </c>
      <c r="E101" s="19">
        <v>35290</v>
      </c>
      <c r="F101" s="3" t="s">
        <v>16</v>
      </c>
    </row>
    <row r="102" spans="4:6" x14ac:dyDescent="0.25">
      <c r="D102" s="18">
        <v>88</v>
      </c>
      <c r="E102" s="19">
        <v>35341</v>
      </c>
      <c r="F102" s="3" t="s">
        <v>16</v>
      </c>
    </row>
    <row r="103" spans="4:6" x14ac:dyDescent="0.25">
      <c r="D103" s="18">
        <v>89</v>
      </c>
      <c r="E103" s="19">
        <v>35343</v>
      </c>
      <c r="F103" s="3" t="s">
        <v>16</v>
      </c>
    </row>
    <row r="104" spans="4:6" x14ac:dyDescent="0.25">
      <c r="D104" s="18">
        <v>90</v>
      </c>
      <c r="E104" s="19">
        <v>35398</v>
      </c>
      <c r="F104" s="3" t="s">
        <v>16</v>
      </c>
    </row>
    <row r="105" spans="4:6" x14ac:dyDescent="0.25">
      <c r="D105" s="18">
        <v>91</v>
      </c>
      <c r="E105" s="19">
        <v>35666</v>
      </c>
      <c r="F105" s="3" t="s">
        <v>16</v>
      </c>
    </row>
    <row r="106" spans="4:6" x14ac:dyDescent="0.25">
      <c r="D106" s="18">
        <v>92</v>
      </c>
      <c r="E106" s="19">
        <v>36033</v>
      </c>
      <c r="F106" s="3" t="s">
        <v>16</v>
      </c>
    </row>
    <row r="107" spans="4:6" x14ac:dyDescent="0.25">
      <c r="D107" s="18">
        <v>93</v>
      </c>
      <c r="E107" s="19">
        <v>36479</v>
      </c>
      <c r="F107" s="3" t="s">
        <v>16</v>
      </c>
    </row>
    <row r="108" spans="4:6" x14ac:dyDescent="0.25">
      <c r="D108" s="18">
        <v>94</v>
      </c>
      <c r="E108" s="19">
        <v>36798</v>
      </c>
      <c r="F108" s="3" t="s">
        <v>16</v>
      </c>
    </row>
    <row r="109" spans="4:6" x14ac:dyDescent="0.25">
      <c r="D109" s="18">
        <v>95</v>
      </c>
      <c r="E109" s="19">
        <v>36834</v>
      </c>
      <c r="F109" s="3" t="s">
        <v>16</v>
      </c>
    </row>
    <row r="110" spans="4:6" x14ac:dyDescent="0.25">
      <c r="D110" s="18">
        <v>97</v>
      </c>
      <c r="E110" s="19">
        <v>37407</v>
      </c>
      <c r="F110" s="3" t="s">
        <v>16</v>
      </c>
    </row>
    <row r="111" spans="4:6" x14ac:dyDescent="0.25">
      <c r="D111" s="18">
        <v>98</v>
      </c>
      <c r="E111" s="19">
        <v>37520</v>
      </c>
      <c r="F111" s="3" t="s">
        <v>16</v>
      </c>
    </row>
    <row r="112" spans="4:6" x14ac:dyDescent="0.25">
      <c r="D112" s="18">
        <v>99</v>
      </c>
      <c r="E112" s="19">
        <v>37588</v>
      </c>
      <c r="F112" s="3" t="s">
        <v>16</v>
      </c>
    </row>
    <row r="113" spans="4:6" x14ac:dyDescent="0.25">
      <c r="D113" s="18">
        <v>100</v>
      </c>
      <c r="E113" s="19">
        <v>37852</v>
      </c>
      <c r="F113" s="3" t="s">
        <v>16</v>
      </c>
    </row>
    <row r="114" spans="4:6" x14ac:dyDescent="0.25">
      <c r="D114" s="18">
        <v>101</v>
      </c>
      <c r="E114" s="19">
        <v>38135</v>
      </c>
      <c r="F114" s="3" t="s">
        <v>16</v>
      </c>
    </row>
    <row r="115" spans="4:6" x14ac:dyDescent="0.25">
      <c r="D115" s="18">
        <v>102</v>
      </c>
      <c r="E115" s="19">
        <v>38164</v>
      </c>
      <c r="F115" s="3" t="s">
        <v>16</v>
      </c>
    </row>
    <row r="116" spans="4:6" x14ac:dyDescent="0.25">
      <c r="D116" s="18">
        <v>103</v>
      </c>
      <c r="E116" s="19">
        <v>38214</v>
      </c>
      <c r="F116" s="3" t="s">
        <v>16</v>
      </c>
    </row>
    <row r="117" spans="4:6" x14ac:dyDescent="0.25">
      <c r="D117" s="18">
        <v>104</v>
      </c>
      <c r="E117" s="19">
        <v>38219</v>
      </c>
      <c r="F117" s="3" t="s">
        <v>16</v>
      </c>
    </row>
    <row r="118" spans="4:6" x14ac:dyDescent="0.25">
      <c r="D118" s="18">
        <v>105</v>
      </c>
      <c r="E118" s="19">
        <v>38261</v>
      </c>
      <c r="F118" s="3" t="s">
        <v>16</v>
      </c>
    </row>
    <row r="119" spans="4:6" x14ac:dyDescent="0.25">
      <c r="D119" s="18">
        <v>106</v>
      </c>
      <c r="E119" s="19">
        <v>38262</v>
      </c>
      <c r="F119" s="3" t="s">
        <v>16</v>
      </c>
    </row>
    <row r="120" spans="4:6" x14ac:dyDescent="0.25">
      <c r="D120" s="18">
        <v>107</v>
      </c>
      <c r="E120" s="19">
        <v>38270</v>
      </c>
      <c r="F120" s="3" t="s">
        <v>16</v>
      </c>
    </row>
    <row r="121" spans="4:6" x14ac:dyDescent="0.25">
      <c r="D121" s="18">
        <v>108</v>
      </c>
      <c r="E121" s="19">
        <v>38302</v>
      </c>
      <c r="F121" s="3" t="s">
        <v>16</v>
      </c>
    </row>
    <row r="122" spans="4:6" x14ac:dyDescent="0.25">
      <c r="D122" s="18">
        <v>109</v>
      </c>
      <c r="E122" s="19">
        <v>38588</v>
      </c>
      <c r="F122" s="3" t="s">
        <v>16</v>
      </c>
    </row>
    <row r="123" spans="4:6" x14ac:dyDescent="0.25">
      <c r="D123" s="18">
        <v>110</v>
      </c>
      <c r="E123" s="19">
        <v>38644</v>
      </c>
      <c r="F123" s="3" t="s">
        <v>16</v>
      </c>
    </row>
    <row r="124" spans="4:6" x14ac:dyDescent="0.25">
      <c r="D124" s="18">
        <v>111</v>
      </c>
      <c r="E124" s="19">
        <v>38646</v>
      </c>
      <c r="F124" s="3" t="s">
        <v>16</v>
      </c>
    </row>
    <row r="125" spans="4:6" x14ac:dyDescent="0.25">
      <c r="D125" s="18">
        <v>112</v>
      </c>
      <c r="E125" s="19">
        <v>38658</v>
      </c>
      <c r="F125" s="3" t="s">
        <v>16</v>
      </c>
    </row>
    <row r="126" spans="4:6" x14ac:dyDescent="0.25">
      <c r="D126" s="18">
        <v>113</v>
      </c>
      <c r="E126" s="19">
        <v>38658</v>
      </c>
      <c r="F126" s="3" t="s">
        <v>16</v>
      </c>
    </row>
    <row r="127" spans="4:6" x14ac:dyDescent="0.25">
      <c r="D127" s="18">
        <v>114</v>
      </c>
      <c r="E127" s="19">
        <v>38735</v>
      </c>
      <c r="F127" s="3" t="s">
        <v>16</v>
      </c>
    </row>
    <row r="128" spans="4:6" x14ac:dyDescent="0.25">
      <c r="D128" s="18">
        <v>115</v>
      </c>
      <c r="E128" s="19">
        <v>38885</v>
      </c>
      <c r="F128" s="3" t="s">
        <v>16</v>
      </c>
    </row>
    <row r="129" spans="4:6" x14ac:dyDescent="0.25">
      <c r="D129" s="18">
        <v>116</v>
      </c>
      <c r="E129" s="19">
        <v>39061</v>
      </c>
      <c r="F129" s="3" t="s">
        <v>16</v>
      </c>
    </row>
    <row r="130" spans="4:6" x14ac:dyDescent="0.25">
      <c r="D130" s="18">
        <v>119</v>
      </c>
      <c r="E130" s="19">
        <v>39284</v>
      </c>
      <c r="F130" s="3" t="s">
        <v>16</v>
      </c>
    </row>
    <row r="131" spans="4:6" x14ac:dyDescent="0.25">
      <c r="D131" s="18">
        <v>120</v>
      </c>
      <c r="E131" s="25">
        <v>39285</v>
      </c>
      <c r="F131" s="26" t="s">
        <v>16</v>
      </c>
    </row>
    <row r="132" spans="4:6" x14ac:dyDescent="0.25">
      <c r="D132" s="18">
        <v>122</v>
      </c>
      <c r="E132" s="19">
        <v>39322</v>
      </c>
      <c r="F132" s="3" t="s">
        <v>16</v>
      </c>
    </row>
    <row r="133" spans="4:6" x14ac:dyDescent="0.25">
      <c r="D133" s="18">
        <v>123</v>
      </c>
      <c r="E133" s="19">
        <v>39352</v>
      </c>
      <c r="F133" s="3" t="s">
        <v>16</v>
      </c>
    </row>
    <row r="134" spans="4:6" x14ac:dyDescent="0.25">
      <c r="D134" s="18">
        <v>126</v>
      </c>
      <c r="E134" s="19">
        <v>39514</v>
      </c>
      <c r="F134" s="3" t="s">
        <v>16</v>
      </c>
    </row>
    <row r="135" spans="4:6" x14ac:dyDescent="0.25">
      <c r="D135" s="18">
        <v>127</v>
      </c>
      <c r="E135" s="19">
        <v>39563</v>
      </c>
      <c r="F135" s="3" t="s">
        <v>16</v>
      </c>
    </row>
    <row r="136" spans="4:6" x14ac:dyDescent="0.25">
      <c r="D136" s="18">
        <v>128</v>
      </c>
      <c r="E136" s="19">
        <v>39620</v>
      </c>
      <c r="F136" s="3" t="s">
        <v>16</v>
      </c>
    </row>
    <row r="137" spans="4:6" x14ac:dyDescent="0.25">
      <c r="D137" s="18">
        <v>129</v>
      </c>
      <c r="E137" s="19">
        <v>39699</v>
      </c>
      <c r="F137" s="3" t="s">
        <v>16</v>
      </c>
    </row>
    <row r="138" spans="4:6" x14ac:dyDescent="0.25">
      <c r="D138" s="18">
        <v>130</v>
      </c>
      <c r="E138" s="19">
        <v>39909</v>
      </c>
      <c r="F138" s="3" t="s">
        <v>16</v>
      </c>
    </row>
    <row r="139" spans="4:6" x14ac:dyDescent="0.25">
      <c r="D139" s="18">
        <v>131</v>
      </c>
      <c r="E139" s="19">
        <v>40050</v>
      </c>
      <c r="F139" s="3" t="s">
        <v>16</v>
      </c>
    </row>
    <row r="140" spans="4:6" x14ac:dyDescent="0.25">
      <c r="D140" s="18">
        <v>132</v>
      </c>
      <c r="E140" s="19">
        <v>40055</v>
      </c>
      <c r="F140" s="3" t="s">
        <v>16</v>
      </c>
    </row>
    <row r="141" spans="4:6" x14ac:dyDescent="0.25">
      <c r="D141" s="18">
        <v>134</v>
      </c>
      <c r="E141" s="19">
        <v>40122</v>
      </c>
      <c r="F141" s="3" t="s">
        <v>16</v>
      </c>
    </row>
    <row r="142" spans="4:6" x14ac:dyDescent="0.25">
      <c r="D142" s="18">
        <v>135</v>
      </c>
      <c r="E142" s="19">
        <v>40361</v>
      </c>
      <c r="F142" s="3" t="s">
        <v>16</v>
      </c>
    </row>
    <row r="143" spans="4:6" x14ac:dyDescent="0.25">
      <c r="D143" s="18">
        <v>137</v>
      </c>
      <c r="E143" s="19">
        <v>40392</v>
      </c>
      <c r="F143" s="3" t="s">
        <v>16</v>
      </c>
    </row>
    <row r="144" spans="4:6" x14ac:dyDescent="0.25">
      <c r="D144" s="18">
        <v>138</v>
      </c>
      <c r="E144" s="19">
        <v>40404</v>
      </c>
      <c r="F144" s="3" t="s">
        <v>16</v>
      </c>
    </row>
    <row r="145" spans="4:6" x14ac:dyDescent="0.25">
      <c r="D145" s="18">
        <v>139</v>
      </c>
      <c r="E145" s="19">
        <v>40473</v>
      </c>
      <c r="F145" s="3" t="s">
        <v>16</v>
      </c>
    </row>
    <row r="146" spans="4:6" x14ac:dyDescent="0.25">
      <c r="D146" s="18">
        <v>141</v>
      </c>
      <c r="E146" s="19">
        <v>40718</v>
      </c>
      <c r="F146" s="3" t="s">
        <v>16</v>
      </c>
    </row>
    <row r="147" spans="4:6" x14ac:dyDescent="0.25">
      <c r="D147" s="18">
        <v>142</v>
      </c>
      <c r="E147" s="19">
        <v>40797</v>
      </c>
      <c r="F147" s="3" t="s">
        <v>16</v>
      </c>
    </row>
    <row r="148" spans="4:6" x14ac:dyDescent="0.25">
      <c r="D148" s="18">
        <v>143</v>
      </c>
      <c r="E148" s="19">
        <v>40845</v>
      </c>
      <c r="F148" s="3" t="s">
        <v>16</v>
      </c>
    </row>
    <row r="149" spans="4:6" x14ac:dyDescent="0.25">
      <c r="D149" s="18">
        <v>144</v>
      </c>
      <c r="E149" s="19">
        <v>40869</v>
      </c>
      <c r="F149" s="3" t="s">
        <v>16</v>
      </c>
    </row>
    <row r="150" spans="4:6" x14ac:dyDescent="0.25">
      <c r="D150" s="18">
        <v>145</v>
      </c>
      <c r="E150" s="19">
        <v>41035</v>
      </c>
      <c r="F150" s="3" t="s">
        <v>16</v>
      </c>
    </row>
    <row r="151" spans="4:6" x14ac:dyDescent="0.25">
      <c r="D151" s="18">
        <v>146</v>
      </c>
      <c r="E151" s="19">
        <v>41041</v>
      </c>
      <c r="F151" s="3" t="s">
        <v>16</v>
      </c>
    </row>
    <row r="152" spans="4:6" x14ac:dyDescent="0.25">
      <c r="D152" s="18">
        <v>147</v>
      </c>
      <c r="E152" s="19">
        <v>41097</v>
      </c>
      <c r="F152" s="3" t="s">
        <v>16</v>
      </c>
    </row>
    <row r="153" spans="4:6" x14ac:dyDescent="0.25">
      <c r="D153" s="18">
        <v>149</v>
      </c>
      <c r="E153" s="19">
        <v>41189</v>
      </c>
      <c r="F153" s="3" t="s">
        <v>16</v>
      </c>
    </row>
    <row r="154" spans="4:6" x14ac:dyDescent="0.25">
      <c r="D154" s="18">
        <v>150</v>
      </c>
      <c r="E154" s="19">
        <v>41205</v>
      </c>
      <c r="F154" s="3" t="s">
        <v>16</v>
      </c>
    </row>
    <row r="155" spans="4:6" x14ac:dyDescent="0.25">
      <c r="D155" s="18">
        <v>151</v>
      </c>
      <c r="E155" s="19">
        <v>41212</v>
      </c>
      <c r="F155" s="3" t="s">
        <v>16</v>
      </c>
    </row>
    <row r="156" spans="4:6" x14ac:dyDescent="0.25">
      <c r="D156" s="18">
        <v>152</v>
      </c>
      <c r="E156" s="29">
        <v>41450</v>
      </c>
      <c r="F156" s="3" t="s">
        <v>16</v>
      </c>
    </row>
    <row r="157" spans="4:6" x14ac:dyDescent="0.25">
      <c r="D157" s="18">
        <v>153</v>
      </c>
      <c r="E157" s="29">
        <v>41503</v>
      </c>
      <c r="F157" s="3" t="s">
        <v>16</v>
      </c>
    </row>
    <row r="158" spans="4:6" x14ac:dyDescent="0.25">
      <c r="D158" s="18">
        <v>155</v>
      </c>
      <c r="E158" s="29">
        <v>41553</v>
      </c>
      <c r="F158" s="3" t="s">
        <v>16</v>
      </c>
    </row>
    <row r="159" spans="4:6" x14ac:dyDescent="0.25">
      <c r="D159" s="18">
        <v>156</v>
      </c>
      <c r="E159" s="29">
        <v>41825</v>
      </c>
      <c r="F159" s="3" t="s">
        <v>16</v>
      </c>
    </row>
    <row r="160" spans="4:6" x14ac:dyDescent="0.25">
      <c r="D160" s="18">
        <v>157</v>
      </c>
      <c r="E160" s="29">
        <v>41895</v>
      </c>
      <c r="F160" s="3" t="s">
        <v>16</v>
      </c>
    </row>
    <row r="161" spans="4:6" x14ac:dyDescent="0.25">
      <c r="D161" s="18">
        <v>158</v>
      </c>
      <c r="E161" s="29">
        <v>41914</v>
      </c>
      <c r="F161" s="3" t="s">
        <v>16</v>
      </c>
    </row>
    <row r="162" spans="4:6" x14ac:dyDescent="0.25">
      <c r="D162" s="18">
        <v>159</v>
      </c>
      <c r="E162" s="29">
        <v>41915</v>
      </c>
      <c r="F162" s="3" t="s">
        <v>16</v>
      </c>
    </row>
    <row r="163" spans="4:6" x14ac:dyDescent="0.25">
      <c r="D163" s="18">
        <v>160</v>
      </c>
      <c r="E163" s="29">
        <v>41915</v>
      </c>
      <c r="F163" s="3" t="s">
        <v>16</v>
      </c>
    </row>
    <row r="164" spans="4:6" x14ac:dyDescent="0.25">
      <c r="D164" s="18">
        <v>161</v>
      </c>
      <c r="E164" s="29">
        <v>41931</v>
      </c>
      <c r="F164" s="3" t="s">
        <v>16</v>
      </c>
    </row>
    <row r="165" spans="4:6" x14ac:dyDescent="0.25">
      <c r="D165" s="18">
        <v>162</v>
      </c>
      <c r="E165" s="29">
        <v>42001</v>
      </c>
      <c r="F165" s="3" t="s">
        <v>16</v>
      </c>
    </row>
    <row r="166" spans="4:6" x14ac:dyDescent="0.25">
      <c r="D166" s="18">
        <v>163</v>
      </c>
      <c r="E166" s="29">
        <v>42195</v>
      </c>
      <c r="F166" s="3" t="s">
        <v>16</v>
      </c>
    </row>
    <row r="167" spans="4:6" x14ac:dyDescent="0.25">
      <c r="D167" s="18">
        <v>164</v>
      </c>
      <c r="E167" s="29">
        <v>42234</v>
      </c>
      <c r="F167" s="3" t="s">
        <v>16</v>
      </c>
    </row>
    <row r="168" spans="4:6" x14ac:dyDescent="0.25">
      <c r="D168" s="18">
        <v>165</v>
      </c>
      <c r="E168" s="29">
        <v>42245</v>
      </c>
      <c r="F168" s="3" t="s">
        <v>16</v>
      </c>
    </row>
    <row r="169" spans="4:6" x14ac:dyDescent="0.25">
      <c r="D169" s="18">
        <v>167</v>
      </c>
      <c r="E169" s="29">
        <v>42253</v>
      </c>
      <c r="F169" s="3" t="s">
        <v>16</v>
      </c>
    </row>
    <row r="170" spans="4:6" x14ac:dyDescent="0.25">
      <c r="D170" s="18">
        <v>169</v>
      </c>
      <c r="E170" s="29">
        <v>42271</v>
      </c>
      <c r="F170" s="3" t="s">
        <v>16</v>
      </c>
    </row>
    <row r="171" spans="4:6" x14ac:dyDescent="0.25">
      <c r="D171" s="18">
        <v>170</v>
      </c>
      <c r="E171" s="29">
        <v>42519</v>
      </c>
      <c r="F171" s="3" t="s">
        <v>16</v>
      </c>
    </row>
    <row r="172" spans="4:6" x14ac:dyDescent="0.25">
      <c r="D172" s="18">
        <v>171</v>
      </c>
      <c r="E172" s="29">
        <v>42614</v>
      </c>
      <c r="F172" s="3" t="s">
        <v>16</v>
      </c>
    </row>
    <row r="173" spans="4:6" x14ac:dyDescent="0.25">
      <c r="D173" s="18">
        <v>172</v>
      </c>
      <c r="E173" s="29">
        <v>42630</v>
      </c>
      <c r="F173" s="3" t="s">
        <v>16</v>
      </c>
    </row>
    <row r="174" spans="4:6" x14ac:dyDescent="0.25">
      <c r="D174" s="18">
        <v>173</v>
      </c>
      <c r="E174" s="29">
        <v>42812</v>
      </c>
      <c r="F174" s="3" t="s">
        <v>16</v>
      </c>
    </row>
    <row r="175" spans="4:6" x14ac:dyDescent="0.25">
      <c r="D175" s="18">
        <v>174</v>
      </c>
      <c r="E175" s="29">
        <v>42854</v>
      </c>
      <c r="F175" s="3" t="s">
        <v>16</v>
      </c>
    </row>
    <row r="176" spans="4:6" x14ac:dyDescent="0.25">
      <c r="D176" s="18">
        <v>175</v>
      </c>
      <c r="E176" s="29">
        <v>42927</v>
      </c>
      <c r="F176" s="3" t="s">
        <v>16</v>
      </c>
    </row>
    <row r="177" spans="4:6" x14ac:dyDescent="0.25">
      <c r="D177" s="18">
        <v>176</v>
      </c>
      <c r="E177" s="29">
        <v>42936</v>
      </c>
      <c r="F177" s="3" t="s">
        <v>16</v>
      </c>
    </row>
    <row r="178" spans="4:6" x14ac:dyDescent="0.25">
      <c r="D178" s="18">
        <v>177</v>
      </c>
      <c r="E178" s="29">
        <v>42936</v>
      </c>
      <c r="F178" s="3" t="s">
        <v>16</v>
      </c>
    </row>
    <row r="179" spans="4:6" x14ac:dyDescent="0.25">
      <c r="D179" s="18">
        <v>178</v>
      </c>
      <c r="E179" s="29">
        <v>42948</v>
      </c>
      <c r="F179" s="3" t="s">
        <v>16</v>
      </c>
    </row>
    <row r="180" spans="4:6" x14ac:dyDescent="0.25">
      <c r="D180" s="18">
        <v>179</v>
      </c>
      <c r="E180" s="95">
        <v>43063</v>
      </c>
      <c r="F180" s="3" t="s">
        <v>16</v>
      </c>
    </row>
    <row r="181" spans="4:6" x14ac:dyDescent="0.25">
      <c r="D181" s="18">
        <v>180</v>
      </c>
      <c r="E181" s="95">
        <v>43099</v>
      </c>
      <c r="F181" s="3" t="s">
        <v>16</v>
      </c>
    </row>
    <row r="182" spans="4:6" x14ac:dyDescent="0.25">
      <c r="D182" s="18">
        <v>182</v>
      </c>
      <c r="E182" s="95">
        <v>43336</v>
      </c>
      <c r="F182" s="3" t="s">
        <v>16</v>
      </c>
    </row>
    <row r="183" spans="4:6" x14ac:dyDescent="0.25">
      <c r="D183" s="98">
        <v>183</v>
      </c>
      <c r="E183" s="95">
        <v>43372</v>
      </c>
      <c r="F183" s="98" t="s">
        <v>16</v>
      </c>
    </row>
    <row r="184" spans="4:6" x14ac:dyDescent="0.25">
      <c r="D184" s="98">
        <v>184</v>
      </c>
      <c r="E184" s="95">
        <v>43396</v>
      </c>
      <c r="F184" s="98" t="s">
        <v>16</v>
      </c>
    </row>
    <row r="185" spans="4:6" x14ac:dyDescent="0.25">
      <c r="D185" s="98">
        <v>185</v>
      </c>
      <c r="E185" s="95">
        <v>43473</v>
      </c>
      <c r="F185" s="98" t="s">
        <v>16</v>
      </c>
    </row>
    <row r="186" spans="4:6" x14ac:dyDescent="0.25">
      <c r="D186" s="98">
        <v>186</v>
      </c>
      <c r="E186" s="95">
        <v>43592</v>
      </c>
      <c r="F186" s="98" t="s">
        <v>16</v>
      </c>
    </row>
    <row r="187" spans="4:6" x14ac:dyDescent="0.25">
      <c r="D187" s="98">
        <v>188</v>
      </c>
      <c r="E187" s="95">
        <v>43743</v>
      </c>
      <c r="F187" s="98" t="s">
        <v>16</v>
      </c>
    </row>
    <row r="188" spans="4:6" x14ac:dyDescent="0.25">
      <c r="D188" s="98">
        <v>189</v>
      </c>
      <c r="E188" s="95">
        <v>43820</v>
      </c>
      <c r="F188" s="98" t="s">
        <v>16</v>
      </c>
    </row>
    <row r="189" spans="4:6" x14ac:dyDescent="0.25">
      <c r="D189" s="98">
        <v>190</v>
      </c>
      <c r="E189" s="95">
        <v>43917</v>
      </c>
      <c r="F189" s="98" t="s">
        <v>16</v>
      </c>
    </row>
    <row r="190" spans="4:6" x14ac:dyDescent="0.25">
      <c r="D190" s="98">
        <v>191</v>
      </c>
      <c r="E190" s="95">
        <v>43952</v>
      </c>
      <c r="F190" s="98" t="s">
        <v>16</v>
      </c>
    </row>
    <row r="191" spans="4:6" x14ac:dyDescent="0.25">
      <c r="D191" s="98">
        <v>192</v>
      </c>
      <c r="E191" s="95">
        <v>43960</v>
      </c>
      <c r="F191" s="98" t="s">
        <v>16</v>
      </c>
    </row>
    <row r="192" spans="4:6" x14ac:dyDescent="0.25">
      <c r="D192" s="98">
        <v>193</v>
      </c>
      <c r="E192" s="95">
        <v>43976</v>
      </c>
      <c r="F192" s="98" t="s">
        <v>16</v>
      </c>
    </row>
    <row r="193" spans="4:6" x14ac:dyDescent="0.25">
      <c r="D193" s="98">
        <v>194</v>
      </c>
      <c r="E193" s="95">
        <v>44001</v>
      </c>
      <c r="F193" s="98" t="s">
        <v>16</v>
      </c>
    </row>
    <row r="194" spans="4:6" x14ac:dyDescent="0.25">
      <c r="D194" s="98">
        <v>195</v>
      </c>
      <c r="E194" s="95">
        <v>44055</v>
      </c>
      <c r="F194" s="98" t="s">
        <v>16</v>
      </c>
    </row>
    <row r="195" spans="4:6" x14ac:dyDescent="0.25">
      <c r="D195" s="98">
        <v>196</v>
      </c>
      <c r="E195" s="95">
        <v>44071</v>
      </c>
      <c r="F195" s="98" t="s">
        <v>16</v>
      </c>
    </row>
    <row r="196" spans="4:6" x14ac:dyDescent="0.25">
      <c r="D196" s="98">
        <v>197</v>
      </c>
      <c r="E196" s="95">
        <v>44195</v>
      </c>
      <c r="F196" s="98" t="s">
        <v>16</v>
      </c>
    </row>
    <row r="197" spans="4:6" x14ac:dyDescent="0.25">
      <c r="D197" s="98">
        <v>198</v>
      </c>
      <c r="E197" s="95">
        <v>44373</v>
      </c>
      <c r="F197" s="98" t="s">
        <v>16</v>
      </c>
    </row>
    <row r="198" spans="4:6" x14ac:dyDescent="0.25">
      <c r="D198" s="98">
        <v>199</v>
      </c>
      <c r="E198" s="95">
        <v>44377</v>
      </c>
      <c r="F198" s="98" t="s">
        <v>16</v>
      </c>
    </row>
    <row r="199" spans="4:6" x14ac:dyDescent="0.25">
      <c r="D199" s="98">
        <v>200</v>
      </c>
      <c r="E199" s="95">
        <v>44382</v>
      </c>
      <c r="F199" s="98" t="s">
        <v>16</v>
      </c>
    </row>
    <row r="200" spans="4:6" x14ac:dyDescent="0.25">
      <c r="D200" s="98">
        <v>202</v>
      </c>
      <c r="E200" s="95">
        <v>44472</v>
      </c>
      <c r="F200" s="98" t="s">
        <v>16</v>
      </c>
    </row>
    <row r="201" spans="4:6" x14ac:dyDescent="0.25">
      <c r="D201" s="98">
        <v>203</v>
      </c>
      <c r="E201" s="95">
        <v>44552</v>
      </c>
      <c r="F201" s="98" t="s">
        <v>16</v>
      </c>
    </row>
    <row r="202" spans="4:6" x14ac:dyDescent="0.25">
      <c r="D202" s="98">
        <v>204</v>
      </c>
      <c r="E202" s="95">
        <v>44554</v>
      </c>
      <c r="F202" s="98" t="s">
        <v>16</v>
      </c>
    </row>
    <row r="203" spans="4:6" x14ac:dyDescent="0.25">
      <c r="D203" s="98">
        <v>205</v>
      </c>
      <c r="E203" s="100">
        <v>44618</v>
      </c>
      <c r="F203" s="99" t="s">
        <v>16</v>
      </c>
    </row>
  </sheetData>
  <sortState xmlns:xlrd2="http://schemas.microsoft.com/office/spreadsheetml/2017/richdata2" ref="D2:F196">
    <sortCondition ref="F2:F196"/>
  </sortState>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03"/>
  <sheetViews>
    <sheetView workbookViewId="0">
      <selection activeCell="E12" sqref="E12"/>
    </sheetView>
  </sheetViews>
  <sheetFormatPr defaultRowHeight="15.75" x14ac:dyDescent="0.25"/>
  <cols>
    <col min="1" max="1" width="15.28515625" style="11" bestFit="1" customWidth="1"/>
    <col min="2" max="2" width="15.140625" style="11" customWidth="1"/>
    <col min="3" max="3" width="22.42578125" style="11" bestFit="1" customWidth="1"/>
    <col min="5" max="5" width="19.42578125" bestFit="1" customWidth="1"/>
    <col min="6" max="6" width="10" bestFit="1" customWidth="1"/>
  </cols>
  <sheetData>
    <row r="1" spans="1:6" x14ac:dyDescent="0.25">
      <c r="A1" s="14" t="s">
        <v>440</v>
      </c>
      <c r="B1" s="15" t="s">
        <v>0</v>
      </c>
      <c r="C1" s="16" t="s">
        <v>3</v>
      </c>
      <c r="D1" s="37"/>
      <c r="E1" s="1" t="s">
        <v>390</v>
      </c>
      <c r="F1" s="1" t="s">
        <v>386</v>
      </c>
    </row>
    <row r="2" spans="1:6" x14ac:dyDescent="0.25">
      <c r="A2" s="18">
        <v>1</v>
      </c>
      <c r="B2" s="19">
        <v>18544</v>
      </c>
      <c r="C2" s="3" t="s">
        <v>13</v>
      </c>
      <c r="D2" s="13"/>
      <c r="E2" s="48" t="s">
        <v>76</v>
      </c>
      <c r="F2" s="62">
        <f>COUNTIF(C:C,"Surfing / Boarding")</f>
        <v>80</v>
      </c>
    </row>
    <row r="3" spans="1:6" x14ac:dyDescent="0.25">
      <c r="A3" s="18">
        <v>2</v>
      </c>
      <c r="B3" s="19">
        <v>19141</v>
      </c>
      <c r="C3" s="3" t="s">
        <v>13</v>
      </c>
      <c r="D3" s="13"/>
      <c r="E3" s="46" t="s">
        <v>26</v>
      </c>
      <c r="F3" s="63">
        <f>COUNTIF(C:C,"Freediving")</f>
        <v>35</v>
      </c>
    </row>
    <row r="4" spans="1:6" x14ac:dyDescent="0.25">
      <c r="A4" s="18">
        <v>3</v>
      </c>
      <c r="B4" s="19">
        <v>19335</v>
      </c>
      <c r="C4" s="3" t="s">
        <v>13</v>
      </c>
      <c r="D4" s="13"/>
      <c r="E4" s="48" t="s">
        <v>391</v>
      </c>
      <c r="F4" s="62">
        <f>COUNTIF(C:C,"Kayaking / Canoeing")</f>
        <v>29</v>
      </c>
    </row>
    <row r="5" spans="1:6" x14ac:dyDescent="0.25">
      <c r="A5" s="18">
        <v>4</v>
      </c>
      <c r="B5" s="19">
        <v>20126</v>
      </c>
      <c r="C5" s="3" t="s">
        <v>26</v>
      </c>
      <c r="D5" s="13"/>
      <c r="E5" s="41" t="s">
        <v>13</v>
      </c>
      <c r="F5" s="64">
        <f>COUNTIF(C:C,"Swimming")</f>
        <v>22</v>
      </c>
    </row>
    <row r="6" spans="1:6" x14ac:dyDescent="0.25">
      <c r="A6" s="18">
        <v>5</v>
      </c>
      <c r="B6" s="19">
        <v>20681</v>
      </c>
      <c r="C6" s="3" t="s">
        <v>13</v>
      </c>
      <c r="D6" s="13"/>
      <c r="E6" s="41" t="s">
        <v>60</v>
      </c>
      <c r="F6" s="64">
        <f>COUNTIF(C:C,"Scuba Diving")</f>
        <v>19</v>
      </c>
    </row>
    <row r="7" spans="1:6" x14ac:dyDescent="0.25">
      <c r="A7" s="18">
        <v>6</v>
      </c>
      <c r="B7" s="19">
        <v>20938</v>
      </c>
      <c r="C7" s="3" t="s">
        <v>13</v>
      </c>
      <c r="D7" s="13"/>
      <c r="E7" s="41" t="s">
        <v>71</v>
      </c>
      <c r="F7" s="64">
        <f>COUNTIF(C:C,"Hookah Diving")</f>
        <v>10</v>
      </c>
    </row>
    <row r="8" spans="1:6" x14ac:dyDescent="0.25">
      <c r="A8" s="18">
        <v>7</v>
      </c>
      <c r="B8" s="19">
        <v>21470</v>
      </c>
      <c r="C8" s="3" t="s">
        <v>13</v>
      </c>
      <c r="D8" s="13"/>
      <c r="E8" s="48" t="s">
        <v>112</v>
      </c>
      <c r="F8" s="62">
        <f>COUNTIF(C:C,"Paddleboarding")</f>
        <v>7</v>
      </c>
    </row>
    <row r="9" spans="1:6" x14ac:dyDescent="0.25">
      <c r="A9" s="18">
        <v>8</v>
      </c>
      <c r="B9" s="19">
        <v>21677</v>
      </c>
      <c r="C9" s="3" t="s">
        <v>13</v>
      </c>
      <c r="D9" s="13"/>
      <c r="E9" s="44" t="s">
        <v>361</v>
      </c>
      <c r="F9">
        <f>SUM(F2:F8)</f>
        <v>202</v>
      </c>
    </row>
    <row r="10" spans="1:6" x14ac:dyDescent="0.25">
      <c r="A10" s="18">
        <v>9</v>
      </c>
      <c r="B10" s="19">
        <v>21715</v>
      </c>
      <c r="C10" s="3" t="s">
        <v>26</v>
      </c>
      <c r="D10" s="13"/>
    </row>
    <row r="11" spans="1:6" x14ac:dyDescent="0.25">
      <c r="A11" s="89">
        <v>10</v>
      </c>
      <c r="B11" s="82">
        <v>21759</v>
      </c>
      <c r="C11" s="81" t="s">
        <v>26</v>
      </c>
      <c r="D11" s="13"/>
    </row>
    <row r="12" spans="1:6" x14ac:dyDescent="0.25">
      <c r="A12" s="18">
        <v>11</v>
      </c>
      <c r="B12" s="19">
        <v>21827</v>
      </c>
      <c r="C12" s="3" t="s">
        <v>26</v>
      </c>
      <c r="D12" s="13"/>
    </row>
    <row r="13" spans="1:6" x14ac:dyDescent="0.25">
      <c r="A13" s="89">
        <v>12</v>
      </c>
      <c r="B13" s="80">
        <v>21864</v>
      </c>
      <c r="C13" s="81" t="s">
        <v>26</v>
      </c>
      <c r="D13" s="13"/>
    </row>
    <row r="14" spans="1:6" x14ac:dyDescent="0.25">
      <c r="A14" s="18">
        <v>13</v>
      </c>
      <c r="B14" s="19">
        <v>22030</v>
      </c>
      <c r="C14" s="3" t="s">
        <v>26</v>
      </c>
      <c r="D14" s="13"/>
    </row>
    <row r="15" spans="1:6" x14ac:dyDescent="0.25">
      <c r="A15" s="18">
        <v>14</v>
      </c>
      <c r="B15" s="19">
        <v>22055</v>
      </c>
      <c r="C15" s="3" t="s">
        <v>13</v>
      </c>
      <c r="D15" s="13"/>
    </row>
    <row r="16" spans="1:6" x14ac:dyDescent="0.25">
      <c r="A16" s="18">
        <v>15</v>
      </c>
      <c r="B16" s="19">
        <v>22422</v>
      </c>
      <c r="C16" s="3" t="s">
        <v>26</v>
      </c>
      <c r="D16" s="13"/>
      <c r="E16" s="45"/>
      <c r="F16" s="45"/>
    </row>
    <row r="17" spans="1:5" x14ac:dyDescent="0.25">
      <c r="A17" s="18">
        <v>16</v>
      </c>
      <c r="B17" s="19">
        <v>22513</v>
      </c>
      <c r="C17" s="3" t="s">
        <v>13</v>
      </c>
      <c r="D17" s="13"/>
    </row>
    <row r="18" spans="1:5" x14ac:dyDescent="0.25">
      <c r="A18" s="18">
        <v>17</v>
      </c>
      <c r="B18" s="19">
        <v>22660</v>
      </c>
      <c r="C18" s="3" t="s">
        <v>60</v>
      </c>
      <c r="D18" s="13"/>
    </row>
    <row r="19" spans="1:5" x14ac:dyDescent="0.25">
      <c r="A19" s="18">
        <v>18</v>
      </c>
      <c r="B19" s="19">
        <v>22961</v>
      </c>
      <c r="C19" s="3" t="s">
        <v>60</v>
      </c>
      <c r="D19" s="13"/>
    </row>
    <row r="20" spans="1:5" x14ac:dyDescent="0.25">
      <c r="A20" s="18">
        <v>19</v>
      </c>
      <c r="B20" s="19">
        <v>23387</v>
      </c>
      <c r="C20" s="3" t="s">
        <v>60</v>
      </c>
      <c r="D20" s="13"/>
    </row>
    <row r="21" spans="1:5" x14ac:dyDescent="0.25">
      <c r="A21" s="18">
        <v>20</v>
      </c>
      <c r="B21" s="19">
        <v>24129</v>
      </c>
      <c r="C21" s="3" t="s">
        <v>26</v>
      </c>
      <c r="D21" s="13"/>
    </row>
    <row r="22" spans="1:5" x14ac:dyDescent="0.25">
      <c r="A22" s="18">
        <v>21</v>
      </c>
      <c r="B22" s="19">
        <v>25046</v>
      </c>
      <c r="C22" s="3" t="s">
        <v>26</v>
      </c>
      <c r="D22" s="13"/>
    </row>
    <row r="23" spans="1:5" x14ac:dyDescent="0.25">
      <c r="A23" s="18">
        <v>23</v>
      </c>
      <c r="B23" s="19">
        <v>25452</v>
      </c>
      <c r="C23" s="3" t="s">
        <v>26</v>
      </c>
      <c r="D23" s="13"/>
    </row>
    <row r="24" spans="1:5" x14ac:dyDescent="0.25">
      <c r="A24" s="18">
        <v>24</v>
      </c>
      <c r="B24" s="19">
        <v>26133</v>
      </c>
      <c r="C24" s="3" t="s">
        <v>71</v>
      </c>
      <c r="E24" s="40"/>
    </row>
    <row r="25" spans="1:5" x14ac:dyDescent="0.25">
      <c r="A25" s="18">
        <v>25</v>
      </c>
      <c r="B25" s="19">
        <v>26208</v>
      </c>
      <c r="C25" s="3" t="s">
        <v>60</v>
      </c>
      <c r="D25" s="13"/>
    </row>
    <row r="26" spans="1:5" x14ac:dyDescent="0.25">
      <c r="A26" s="18">
        <v>26</v>
      </c>
      <c r="B26" s="19">
        <v>26447</v>
      </c>
      <c r="C26" s="3" t="s">
        <v>26</v>
      </c>
      <c r="D26" s="13"/>
    </row>
    <row r="27" spans="1:5" x14ac:dyDescent="0.25">
      <c r="A27" s="18">
        <v>28</v>
      </c>
      <c r="B27" s="19">
        <v>27175</v>
      </c>
      <c r="C27" s="3" t="s">
        <v>26</v>
      </c>
      <c r="D27" s="13"/>
    </row>
    <row r="28" spans="1:5" x14ac:dyDescent="0.25">
      <c r="A28" s="18">
        <v>29</v>
      </c>
      <c r="B28" s="19">
        <v>27236</v>
      </c>
      <c r="C28" s="3" t="s">
        <v>26</v>
      </c>
      <c r="D28" s="13"/>
    </row>
    <row r="29" spans="1:5" x14ac:dyDescent="0.25">
      <c r="A29" s="18">
        <v>30</v>
      </c>
      <c r="B29" s="19">
        <v>27246</v>
      </c>
      <c r="C29" s="3" t="s">
        <v>76</v>
      </c>
      <c r="D29" s="13"/>
    </row>
    <row r="30" spans="1:5" x14ac:dyDescent="0.25">
      <c r="A30" s="18">
        <v>31</v>
      </c>
      <c r="B30" s="19">
        <v>27274</v>
      </c>
      <c r="C30" s="3" t="s">
        <v>60</v>
      </c>
      <c r="D30" s="13"/>
    </row>
    <row r="31" spans="1:5" x14ac:dyDescent="0.25">
      <c r="A31" s="18">
        <v>32</v>
      </c>
      <c r="B31" s="19">
        <v>27274</v>
      </c>
      <c r="C31" s="5" t="s">
        <v>60</v>
      </c>
      <c r="D31" s="13"/>
    </row>
    <row r="32" spans="1:5" x14ac:dyDescent="0.25">
      <c r="A32" s="18">
        <v>33</v>
      </c>
      <c r="B32" s="19">
        <v>27286</v>
      </c>
      <c r="C32" s="3" t="s">
        <v>71</v>
      </c>
      <c r="D32" s="13"/>
    </row>
    <row r="33" spans="1:5" x14ac:dyDescent="0.25">
      <c r="A33" s="18">
        <v>34</v>
      </c>
      <c r="B33" s="19">
        <v>27300</v>
      </c>
      <c r="C33" s="3" t="s">
        <v>76</v>
      </c>
      <c r="D33" s="13"/>
    </row>
    <row r="34" spans="1:5" x14ac:dyDescent="0.25">
      <c r="A34" s="18">
        <v>35</v>
      </c>
      <c r="B34" s="19">
        <v>27594</v>
      </c>
      <c r="C34" s="3" t="s">
        <v>71</v>
      </c>
      <c r="D34" s="13"/>
    </row>
    <row r="35" spans="1:5" x14ac:dyDescent="0.25">
      <c r="A35" s="18">
        <v>36</v>
      </c>
      <c r="B35" s="19">
        <v>27598</v>
      </c>
      <c r="C35" s="3" t="s">
        <v>60</v>
      </c>
      <c r="D35" s="13"/>
    </row>
    <row r="36" spans="1:5" x14ac:dyDescent="0.25">
      <c r="A36" s="18">
        <v>37</v>
      </c>
      <c r="B36" s="19">
        <v>27615</v>
      </c>
      <c r="C36" s="3" t="s">
        <v>26</v>
      </c>
      <c r="D36" s="65"/>
    </row>
    <row r="37" spans="1:5" x14ac:dyDescent="0.25">
      <c r="A37" s="18">
        <v>38</v>
      </c>
      <c r="B37" s="19">
        <v>27734</v>
      </c>
      <c r="C37" s="3" t="s">
        <v>60</v>
      </c>
      <c r="D37" s="13"/>
    </row>
    <row r="38" spans="1:5" x14ac:dyDescent="0.25">
      <c r="A38" s="18">
        <v>39</v>
      </c>
      <c r="B38" s="19">
        <v>28051</v>
      </c>
      <c r="C38" s="3" t="s">
        <v>76</v>
      </c>
      <c r="D38" s="13"/>
    </row>
    <row r="39" spans="1:5" x14ac:dyDescent="0.25">
      <c r="A39" s="18">
        <v>40</v>
      </c>
      <c r="B39" s="19">
        <v>28051</v>
      </c>
      <c r="C39" s="3" t="s">
        <v>71</v>
      </c>
      <c r="D39" s="13"/>
    </row>
    <row r="40" spans="1:5" x14ac:dyDescent="0.25">
      <c r="A40" s="18">
        <v>41</v>
      </c>
      <c r="B40" s="19">
        <v>28351</v>
      </c>
      <c r="C40" s="3" t="s">
        <v>26</v>
      </c>
      <c r="D40" s="13"/>
    </row>
    <row r="41" spans="1:5" x14ac:dyDescent="0.25">
      <c r="A41" s="89">
        <v>42</v>
      </c>
      <c r="B41" s="80">
        <v>28707</v>
      </c>
      <c r="C41" s="81" t="s">
        <v>13</v>
      </c>
      <c r="E41" s="40"/>
    </row>
    <row r="42" spans="1:5" x14ac:dyDescent="0.25">
      <c r="A42" s="18">
        <v>43</v>
      </c>
      <c r="B42" s="19">
        <v>28925</v>
      </c>
      <c r="C42" s="3" t="s">
        <v>60</v>
      </c>
      <c r="D42" s="13"/>
    </row>
    <row r="43" spans="1:5" x14ac:dyDescent="0.25">
      <c r="A43" s="18">
        <v>44</v>
      </c>
      <c r="B43" s="19">
        <v>29511</v>
      </c>
      <c r="C43" s="3" t="s">
        <v>76</v>
      </c>
      <c r="D43" s="13"/>
    </row>
    <row r="44" spans="1:5" x14ac:dyDescent="0.25">
      <c r="A44" s="18">
        <v>45</v>
      </c>
      <c r="B44" s="19">
        <v>29939</v>
      </c>
      <c r="C44" s="3" t="s">
        <v>76</v>
      </c>
      <c r="D44" s="13"/>
    </row>
    <row r="45" spans="1:5" x14ac:dyDescent="0.25">
      <c r="A45" s="18">
        <v>46</v>
      </c>
      <c r="B45" s="19">
        <v>29989</v>
      </c>
      <c r="C45" s="3" t="s">
        <v>60</v>
      </c>
      <c r="D45" s="13"/>
    </row>
    <row r="46" spans="1:5" x14ac:dyDescent="0.25">
      <c r="A46" s="18">
        <v>47</v>
      </c>
      <c r="B46" s="19">
        <v>30156</v>
      </c>
      <c r="C46" s="3" t="s">
        <v>112</v>
      </c>
      <c r="D46" s="13"/>
    </row>
    <row r="47" spans="1:5" x14ac:dyDescent="0.25">
      <c r="A47" s="18">
        <v>48</v>
      </c>
      <c r="B47" s="19">
        <v>30213</v>
      </c>
      <c r="C47" s="3" t="s">
        <v>26</v>
      </c>
      <c r="D47" s="13"/>
    </row>
    <row r="48" spans="1:5" x14ac:dyDescent="0.25">
      <c r="A48" s="18">
        <v>49</v>
      </c>
      <c r="B48" s="19">
        <v>30219</v>
      </c>
      <c r="C48" s="3" t="s">
        <v>60</v>
      </c>
      <c r="D48" s="13"/>
    </row>
    <row r="49" spans="1:6" x14ac:dyDescent="0.25">
      <c r="A49" s="18">
        <v>50</v>
      </c>
      <c r="B49" s="19">
        <v>30940</v>
      </c>
      <c r="C49" s="3" t="s">
        <v>26</v>
      </c>
      <c r="D49" s="13"/>
      <c r="F49" s="40"/>
    </row>
    <row r="50" spans="1:6" x14ac:dyDescent="0.25">
      <c r="A50" s="89">
        <v>51</v>
      </c>
      <c r="B50" s="80">
        <v>30942</v>
      </c>
      <c r="C50" s="81" t="s">
        <v>13</v>
      </c>
      <c r="D50" s="13"/>
    </row>
    <row r="51" spans="1:6" x14ac:dyDescent="0.25">
      <c r="A51" s="18">
        <v>52</v>
      </c>
      <c r="B51" s="19">
        <v>30955</v>
      </c>
      <c r="C51" s="3" t="s">
        <v>26</v>
      </c>
      <c r="D51" s="13"/>
      <c r="E51" s="40"/>
    </row>
    <row r="52" spans="1:6" x14ac:dyDescent="0.25">
      <c r="A52" s="18">
        <v>53</v>
      </c>
      <c r="B52" s="19">
        <v>31096</v>
      </c>
      <c r="C52" s="3" t="s">
        <v>60</v>
      </c>
      <c r="D52" s="13"/>
      <c r="F52" s="45"/>
    </row>
    <row r="53" spans="1:6" x14ac:dyDescent="0.25">
      <c r="A53" s="89">
        <v>54</v>
      </c>
      <c r="B53" s="80">
        <v>31193</v>
      </c>
      <c r="C53" s="81" t="s">
        <v>76</v>
      </c>
      <c r="D53" s="13"/>
    </row>
    <row r="54" spans="1:6" x14ac:dyDescent="0.25">
      <c r="A54" s="18">
        <v>55</v>
      </c>
      <c r="B54" s="19">
        <v>31318</v>
      </c>
      <c r="C54" s="3" t="s">
        <v>26</v>
      </c>
      <c r="D54" s="13"/>
      <c r="E54" s="45"/>
    </row>
    <row r="55" spans="1:6" x14ac:dyDescent="0.25">
      <c r="A55" s="89">
        <v>56</v>
      </c>
      <c r="B55" s="80">
        <v>31342</v>
      </c>
      <c r="C55" s="81" t="s">
        <v>71</v>
      </c>
      <c r="D55" s="13"/>
    </row>
    <row r="56" spans="1:6" x14ac:dyDescent="0.25">
      <c r="A56" s="18">
        <v>57</v>
      </c>
      <c r="B56" s="19">
        <v>31752</v>
      </c>
      <c r="C56" s="3" t="s">
        <v>26</v>
      </c>
      <c r="D56" s="13"/>
    </row>
    <row r="57" spans="1:6" x14ac:dyDescent="0.25">
      <c r="A57" s="18">
        <v>58</v>
      </c>
      <c r="B57" s="19">
        <v>32004</v>
      </c>
      <c r="C57" s="3" t="s">
        <v>76</v>
      </c>
      <c r="D57" s="13"/>
    </row>
    <row r="58" spans="1:6" x14ac:dyDescent="0.25">
      <c r="A58" s="18">
        <v>59</v>
      </c>
      <c r="B58" s="19">
        <v>32076</v>
      </c>
      <c r="C58" s="3" t="s">
        <v>76</v>
      </c>
      <c r="D58" s="13"/>
      <c r="F58" s="54"/>
    </row>
    <row r="59" spans="1:6" x14ac:dyDescent="0.25">
      <c r="A59" s="18">
        <v>60</v>
      </c>
      <c r="B59" s="19">
        <v>32257</v>
      </c>
      <c r="C59" s="3" t="s">
        <v>76</v>
      </c>
      <c r="D59" s="13"/>
      <c r="F59" s="54"/>
    </row>
    <row r="60" spans="1:6" x14ac:dyDescent="0.25">
      <c r="A60" s="18">
        <v>61</v>
      </c>
      <c r="B60" s="19">
        <v>32366</v>
      </c>
      <c r="C60" s="3" t="s">
        <v>76</v>
      </c>
      <c r="D60" s="13"/>
      <c r="E60" s="54"/>
    </row>
    <row r="61" spans="1:6" x14ac:dyDescent="0.25">
      <c r="A61" s="18">
        <v>62</v>
      </c>
      <c r="B61" s="19">
        <v>32534</v>
      </c>
      <c r="C61" s="3" t="s">
        <v>140</v>
      </c>
      <c r="D61" s="13"/>
      <c r="E61" s="54"/>
    </row>
    <row r="62" spans="1:6" x14ac:dyDescent="0.25">
      <c r="A62" s="18">
        <v>63</v>
      </c>
      <c r="B62" s="19">
        <v>32760</v>
      </c>
      <c r="C62" s="3" t="s">
        <v>71</v>
      </c>
      <c r="D62" s="13"/>
      <c r="F62" s="45"/>
    </row>
    <row r="63" spans="1:6" x14ac:dyDescent="0.25">
      <c r="A63" s="18">
        <v>64</v>
      </c>
      <c r="B63" s="19">
        <v>32885</v>
      </c>
      <c r="C63" s="3" t="s">
        <v>76</v>
      </c>
      <c r="D63" s="13"/>
    </row>
    <row r="64" spans="1:6" x14ac:dyDescent="0.25">
      <c r="A64" s="18">
        <v>65</v>
      </c>
      <c r="B64" s="19">
        <v>33113</v>
      </c>
      <c r="C64" s="3" t="s">
        <v>76</v>
      </c>
      <c r="D64" s="13"/>
      <c r="E64" s="45"/>
    </row>
    <row r="65" spans="1:6" x14ac:dyDescent="0.25">
      <c r="A65" s="18">
        <v>66</v>
      </c>
      <c r="B65" s="19">
        <v>33121</v>
      </c>
      <c r="C65" s="3" t="s">
        <v>140</v>
      </c>
      <c r="D65" s="13"/>
    </row>
    <row r="66" spans="1:6" x14ac:dyDescent="0.25">
      <c r="A66" s="18">
        <v>67</v>
      </c>
      <c r="B66" s="19">
        <v>33124</v>
      </c>
      <c r="C66" s="3" t="s">
        <v>26</v>
      </c>
      <c r="D66" s="13"/>
    </row>
    <row r="67" spans="1:6" x14ac:dyDescent="0.25">
      <c r="A67" s="18">
        <v>68</v>
      </c>
      <c r="B67" s="19">
        <v>33180</v>
      </c>
      <c r="C67" s="3" t="s">
        <v>60</v>
      </c>
    </row>
    <row r="68" spans="1:6" x14ac:dyDescent="0.25">
      <c r="A68" s="18">
        <v>69</v>
      </c>
      <c r="B68" s="19">
        <v>33420</v>
      </c>
      <c r="C68" s="3" t="s">
        <v>76</v>
      </c>
      <c r="D68" s="13"/>
    </row>
    <row r="69" spans="1:6" x14ac:dyDescent="0.25">
      <c r="A69" s="18">
        <v>70</v>
      </c>
      <c r="B69" s="19">
        <v>33516</v>
      </c>
      <c r="C69" s="3" t="s">
        <v>76</v>
      </c>
      <c r="D69" s="13"/>
    </row>
    <row r="70" spans="1:6" x14ac:dyDescent="0.25">
      <c r="A70" s="18">
        <v>71</v>
      </c>
      <c r="B70" s="19">
        <v>33520</v>
      </c>
      <c r="C70" s="3" t="s">
        <v>71</v>
      </c>
      <c r="D70" s="13"/>
    </row>
    <row r="71" spans="1:6" x14ac:dyDescent="0.25">
      <c r="A71" s="18">
        <v>72</v>
      </c>
      <c r="B71" s="19">
        <v>33576</v>
      </c>
      <c r="C71" s="3" t="s">
        <v>71</v>
      </c>
    </row>
    <row r="72" spans="1:6" x14ac:dyDescent="0.25">
      <c r="A72" s="18">
        <v>73</v>
      </c>
      <c r="B72" s="19">
        <v>33834</v>
      </c>
      <c r="C72" s="3" t="s">
        <v>76</v>
      </c>
      <c r="D72" s="13"/>
    </row>
    <row r="73" spans="1:6" x14ac:dyDescent="0.25">
      <c r="A73" s="18">
        <v>74</v>
      </c>
      <c r="B73" s="19">
        <v>33906</v>
      </c>
      <c r="C73" s="3" t="s">
        <v>71</v>
      </c>
      <c r="D73" s="13"/>
    </row>
    <row r="74" spans="1:6" x14ac:dyDescent="0.25">
      <c r="A74" s="89">
        <v>75</v>
      </c>
      <c r="B74" s="80">
        <v>33919</v>
      </c>
      <c r="C74" s="81" t="s">
        <v>60</v>
      </c>
    </row>
    <row r="75" spans="1:6" x14ac:dyDescent="0.25">
      <c r="A75" s="18">
        <v>76</v>
      </c>
      <c r="B75" s="19">
        <v>33922</v>
      </c>
      <c r="C75" s="3" t="s">
        <v>140</v>
      </c>
    </row>
    <row r="76" spans="1:6" x14ac:dyDescent="0.25">
      <c r="A76" s="89">
        <v>77</v>
      </c>
      <c r="B76" s="80">
        <v>33937</v>
      </c>
      <c r="C76" s="81" t="s">
        <v>26</v>
      </c>
      <c r="D76" s="13"/>
    </row>
    <row r="77" spans="1:6" x14ac:dyDescent="0.25">
      <c r="A77" s="18">
        <v>78</v>
      </c>
      <c r="B77" s="19">
        <v>34040</v>
      </c>
      <c r="C77" s="3" t="s">
        <v>26</v>
      </c>
      <c r="D77" s="12"/>
      <c r="E77" s="45"/>
      <c r="F77" s="45"/>
    </row>
    <row r="78" spans="1:6" x14ac:dyDescent="0.25">
      <c r="A78" s="18">
        <v>79</v>
      </c>
      <c r="B78" s="19">
        <v>34193</v>
      </c>
      <c r="C78" s="3" t="s">
        <v>26</v>
      </c>
      <c r="D78" s="13"/>
      <c r="F78" s="54"/>
    </row>
    <row r="79" spans="1:6" x14ac:dyDescent="0.25">
      <c r="A79" s="18">
        <v>80</v>
      </c>
      <c r="B79" s="19">
        <v>34252</v>
      </c>
      <c r="C79" s="3" t="s">
        <v>140</v>
      </c>
      <c r="D79" s="13"/>
      <c r="F79" s="40"/>
    </row>
    <row r="80" spans="1:6" x14ac:dyDescent="0.25">
      <c r="A80" s="18">
        <v>81</v>
      </c>
      <c r="B80" s="19">
        <v>34272</v>
      </c>
      <c r="C80" s="3" t="s">
        <v>76</v>
      </c>
      <c r="D80" s="13"/>
      <c r="F80" s="40"/>
    </row>
    <row r="81" spans="1:6" x14ac:dyDescent="0.25">
      <c r="A81" s="18">
        <v>82</v>
      </c>
      <c r="B81" s="19">
        <v>34677</v>
      </c>
      <c r="C81" s="3" t="s">
        <v>71</v>
      </c>
      <c r="D81" s="13"/>
    </row>
    <row r="82" spans="1:6" x14ac:dyDescent="0.25">
      <c r="A82" s="18">
        <v>83</v>
      </c>
      <c r="B82" s="19">
        <v>34874</v>
      </c>
      <c r="C82" s="3" t="s">
        <v>140</v>
      </c>
      <c r="D82" s="13"/>
      <c r="E82" s="54"/>
    </row>
    <row r="83" spans="1:6" x14ac:dyDescent="0.25">
      <c r="A83" s="18">
        <v>84</v>
      </c>
      <c r="B83" s="19">
        <v>34880</v>
      </c>
      <c r="C83" s="3" t="s">
        <v>60</v>
      </c>
      <c r="D83" s="13"/>
      <c r="E83" s="40"/>
    </row>
    <row r="84" spans="1:6" x14ac:dyDescent="0.25">
      <c r="A84" s="18">
        <v>85</v>
      </c>
      <c r="B84" s="19">
        <v>34945</v>
      </c>
      <c r="C84" s="3" t="s">
        <v>26</v>
      </c>
      <c r="D84" s="13"/>
      <c r="E84" s="40"/>
    </row>
    <row r="85" spans="1:6" x14ac:dyDescent="0.25">
      <c r="A85" s="18">
        <v>86</v>
      </c>
      <c r="B85" s="19">
        <v>34970</v>
      </c>
      <c r="C85" s="3" t="s">
        <v>76</v>
      </c>
      <c r="D85" s="13"/>
      <c r="F85" s="45"/>
    </row>
    <row r="86" spans="1:6" x14ac:dyDescent="0.25">
      <c r="A86" s="18">
        <v>87</v>
      </c>
      <c r="B86" s="19">
        <v>35290</v>
      </c>
      <c r="C86" s="3" t="s">
        <v>26</v>
      </c>
      <c r="D86" s="13"/>
    </row>
    <row r="87" spans="1:6" x14ac:dyDescent="0.25">
      <c r="A87" s="18">
        <v>88</v>
      </c>
      <c r="B87" s="19">
        <v>35341</v>
      </c>
      <c r="C87" s="3" t="s">
        <v>76</v>
      </c>
      <c r="D87" s="13"/>
    </row>
    <row r="88" spans="1:6" x14ac:dyDescent="0.25">
      <c r="A88" s="18">
        <v>89</v>
      </c>
      <c r="B88" s="19">
        <v>35343</v>
      </c>
      <c r="C88" s="3" t="s">
        <v>76</v>
      </c>
      <c r="D88" s="13"/>
    </row>
    <row r="89" spans="1:6" x14ac:dyDescent="0.25">
      <c r="A89" s="18">
        <v>90</v>
      </c>
      <c r="B89" s="19">
        <v>35398</v>
      </c>
      <c r="C89" s="3" t="s">
        <v>76</v>
      </c>
      <c r="D89" s="13"/>
      <c r="E89" s="45"/>
    </row>
    <row r="90" spans="1:6" x14ac:dyDescent="0.25">
      <c r="A90" s="18">
        <v>91</v>
      </c>
      <c r="B90" s="19">
        <v>35666</v>
      </c>
      <c r="C90" s="3" t="s">
        <v>76</v>
      </c>
      <c r="D90" s="13"/>
    </row>
    <row r="91" spans="1:6" x14ac:dyDescent="0.25">
      <c r="A91" s="18">
        <v>92</v>
      </c>
      <c r="B91" s="19">
        <v>36033</v>
      </c>
      <c r="C91" s="3" t="s">
        <v>76</v>
      </c>
      <c r="D91" s="13"/>
      <c r="F91" s="45"/>
    </row>
    <row r="92" spans="1:6" x14ac:dyDescent="0.25">
      <c r="A92" s="18">
        <v>93</v>
      </c>
      <c r="B92" s="19">
        <v>36479</v>
      </c>
      <c r="C92" s="3" t="s">
        <v>76</v>
      </c>
      <c r="D92" s="13"/>
      <c r="F92" s="54"/>
    </row>
    <row r="93" spans="1:6" x14ac:dyDescent="0.25">
      <c r="A93" s="18">
        <v>94</v>
      </c>
      <c r="B93" s="19">
        <v>36798</v>
      </c>
      <c r="C93" s="3" t="s">
        <v>76</v>
      </c>
      <c r="D93" s="13"/>
      <c r="F93" s="40"/>
    </row>
    <row r="94" spans="1:6" x14ac:dyDescent="0.25">
      <c r="A94" s="18">
        <v>95</v>
      </c>
      <c r="B94" s="19">
        <v>36834</v>
      </c>
      <c r="C94" s="3" t="s">
        <v>76</v>
      </c>
      <c r="D94" s="13"/>
    </row>
    <row r="95" spans="1:6" x14ac:dyDescent="0.25">
      <c r="A95" s="18">
        <v>97</v>
      </c>
      <c r="B95" s="19">
        <v>37407</v>
      </c>
      <c r="C95" s="5" t="s">
        <v>76</v>
      </c>
      <c r="D95" s="13"/>
      <c r="E95" s="45"/>
    </row>
    <row r="96" spans="1:6" x14ac:dyDescent="0.25">
      <c r="A96" s="18">
        <v>98</v>
      </c>
      <c r="B96" s="19">
        <v>37520</v>
      </c>
      <c r="C96" s="5" t="s">
        <v>76</v>
      </c>
      <c r="D96" s="13"/>
      <c r="E96" s="54"/>
    </row>
    <row r="97" spans="1:6" x14ac:dyDescent="0.25">
      <c r="A97" s="18">
        <v>99</v>
      </c>
      <c r="B97" s="19">
        <v>37588</v>
      </c>
      <c r="C97" s="3" t="s">
        <v>76</v>
      </c>
      <c r="D97" s="13"/>
      <c r="E97" s="40"/>
    </row>
    <row r="98" spans="1:6" x14ac:dyDescent="0.25">
      <c r="A98" s="18">
        <v>100</v>
      </c>
      <c r="B98" s="19">
        <v>37852</v>
      </c>
      <c r="C98" s="3" t="s">
        <v>13</v>
      </c>
      <c r="D98" s="13"/>
    </row>
    <row r="99" spans="1:6" x14ac:dyDescent="0.25">
      <c r="A99" s="18">
        <v>101</v>
      </c>
      <c r="B99" s="19">
        <v>38135</v>
      </c>
      <c r="C99" s="3" t="s">
        <v>76</v>
      </c>
      <c r="D99" s="13"/>
      <c r="F99" s="54"/>
    </row>
    <row r="100" spans="1:6" x14ac:dyDescent="0.25">
      <c r="A100" s="18">
        <v>102</v>
      </c>
      <c r="B100" s="19">
        <v>38164</v>
      </c>
      <c r="C100" s="3" t="s">
        <v>76</v>
      </c>
      <c r="D100" s="13"/>
      <c r="F100" s="54"/>
    </row>
    <row r="101" spans="1:6" x14ac:dyDescent="0.25">
      <c r="A101" s="18">
        <v>103</v>
      </c>
      <c r="B101" s="19">
        <v>38214</v>
      </c>
      <c r="C101" s="3" t="s">
        <v>26</v>
      </c>
      <c r="D101" s="13"/>
      <c r="F101" s="40"/>
    </row>
    <row r="102" spans="1:6" x14ac:dyDescent="0.25">
      <c r="A102" s="18">
        <v>104</v>
      </c>
      <c r="B102" s="19">
        <v>38219</v>
      </c>
      <c r="C102" s="3" t="s">
        <v>76</v>
      </c>
      <c r="D102" s="13"/>
      <c r="F102" s="45"/>
    </row>
    <row r="103" spans="1:6" x14ac:dyDescent="0.25">
      <c r="A103" s="18">
        <v>105</v>
      </c>
      <c r="B103" s="19">
        <v>38261</v>
      </c>
      <c r="C103" s="3" t="s">
        <v>76</v>
      </c>
      <c r="D103" s="13"/>
      <c r="E103" s="54"/>
    </row>
    <row r="104" spans="1:6" x14ac:dyDescent="0.25">
      <c r="A104" s="18">
        <v>106</v>
      </c>
      <c r="B104" s="19">
        <v>38262</v>
      </c>
      <c r="C104" s="3" t="s">
        <v>76</v>
      </c>
      <c r="D104" s="13"/>
      <c r="E104" s="54"/>
      <c r="F104" s="45"/>
    </row>
    <row r="105" spans="1:6" x14ac:dyDescent="0.25">
      <c r="A105" s="18">
        <v>107</v>
      </c>
      <c r="B105" s="19">
        <v>38270</v>
      </c>
      <c r="C105" s="3" t="s">
        <v>76</v>
      </c>
      <c r="D105" s="65"/>
      <c r="E105" s="40"/>
      <c r="F105" s="54"/>
    </row>
    <row r="106" spans="1:6" x14ac:dyDescent="0.25">
      <c r="A106" s="18">
        <v>108</v>
      </c>
      <c r="B106" s="19">
        <v>38302</v>
      </c>
      <c r="C106" s="3" t="s">
        <v>76</v>
      </c>
      <c r="D106" s="65"/>
      <c r="E106" s="45"/>
      <c r="F106" s="54"/>
    </row>
    <row r="107" spans="1:6" x14ac:dyDescent="0.25">
      <c r="A107" s="18">
        <v>109</v>
      </c>
      <c r="B107" s="19">
        <v>38588</v>
      </c>
      <c r="C107" s="3" t="s">
        <v>76</v>
      </c>
      <c r="D107" s="13"/>
      <c r="F107" s="40"/>
    </row>
    <row r="108" spans="1:6" x14ac:dyDescent="0.25">
      <c r="A108" s="18">
        <v>110</v>
      </c>
      <c r="B108" s="19">
        <v>38644</v>
      </c>
      <c r="C108" s="3" t="s">
        <v>76</v>
      </c>
      <c r="D108" s="13"/>
      <c r="E108" s="45"/>
      <c r="F108" s="54"/>
    </row>
    <row r="109" spans="1:6" x14ac:dyDescent="0.25">
      <c r="A109" s="18">
        <v>111</v>
      </c>
      <c r="B109" s="19">
        <v>38646</v>
      </c>
      <c r="C109" s="3" t="s">
        <v>76</v>
      </c>
      <c r="D109" s="13"/>
      <c r="E109" s="54"/>
      <c r="F109" s="55"/>
    </row>
    <row r="110" spans="1:6" x14ac:dyDescent="0.25">
      <c r="A110" s="18">
        <v>112</v>
      </c>
      <c r="B110" s="19">
        <v>38658</v>
      </c>
      <c r="C110" s="3" t="s">
        <v>76</v>
      </c>
      <c r="D110" s="13"/>
      <c r="E110" s="54"/>
      <c r="F110" s="54"/>
    </row>
    <row r="111" spans="1:6" x14ac:dyDescent="0.25">
      <c r="A111" s="18">
        <v>113</v>
      </c>
      <c r="B111" s="19">
        <v>38658</v>
      </c>
      <c r="C111" s="3" t="s">
        <v>76</v>
      </c>
      <c r="D111" s="13"/>
      <c r="E111" s="40"/>
      <c r="F111" s="55"/>
    </row>
    <row r="112" spans="1:6" x14ac:dyDescent="0.25">
      <c r="A112" s="18">
        <v>114</v>
      </c>
      <c r="B112" s="19">
        <v>38735</v>
      </c>
      <c r="C112" s="3" t="s">
        <v>76</v>
      </c>
      <c r="D112" s="13"/>
      <c r="E112" s="54"/>
      <c r="F112" s="54"/>
    </row>
    <row r="113" spans="1:6" x14ac:dyDescent="0.25">
      <c r="A113" s="18">
        <v>115</v>
      </c>
      <c r="B113" s="19">
        <v>38885</v>
      </c>
      <c r="C113" s="3" t="s">
        <v>60</v>
      </c>
      <c r="D113" s="13"/>
      <c r="E113" s="55"/>
      <c r="F113" s="45"/>
    </row>
    <row r="114" spans="1:6" x14ac:dyDescent="0.25">
      <c r="A114" s="18">
        <v>116</v>
      </c>
      <c r="B114" s="19">
        <v>39061</v>
      </c>
      <c r="C114" s="3" t="s">
        <v>76</v>
      </c>
      <c r="D114" s="13"/>
      <c r="E114" s="54"/>
      <c r="F114" s="55"/>
    </row>
    <row r="115" spans="1:6" x14ac:dyDescent="0.25">
      <c r="A115" s="89">
        <v>117</v>
      </c>
      <c r="B115" s="80">
        <v>39263</v>
      </c>
      <c r="C115" s="81" t="s">
        <v>13</v>
      </c>
      <c r="D115" s="13"/>
      <c r="E115" s="55"/>
      <c r="F115" s="54"/>
    </row>
    <row r="116" spans="1:6" x14ac:dyDescent="0.25">
      <c r="A116" s="89">
        <v>118</v>
      </c>
      <c r="B116" s="80">
        <v>39280</v>
      </c>
      <c r="C116" s="81" t="s">
        <v>13</v>
      </c>
      <c r="D116" s="13"/>
      <c r="E116" s="54"/>
      <c r="F116" s="54"/>
    </row>
    <row r="117" spans="1:6" x14ac:dyDescent="0.25">
      <c r="A117" s="18">
        <v>119</v>
      </c>
      <c r="B117" s="19">
        <v>39284</v>
      </c>
      <c r="C117" s="3" t="s">
        <v>140</v>
      </c>
      <c r="D117" s="13"/>
      <c r="E117" s="54"/>
      <c r="F117" s="54"/>
    </row>
    <row r="118" spans="1:6" x14ac:dyDescent="0.25">
      <c r="A118" s="18">
        <v>120</v>
      </c>
      <c r="B118" s="25">
        <v>39285</v>
      </c>
      <c r="C118" s="26" t="s">
        <v>112</v>
      </c>
      <c r="D118" s="13"/>
      <c r="E118" s="66"/>
      <c r="F118" s="55"/>
    </row>
    <row r="119" spans="1:6" x14ac:dyDescent="0.25">
      <c r="A119" s="89">
        <v>121</v>
      </c>
      <c r="B119" s="86">
        <v>39291</v>
      </c>
      <c r="C119" s="7" t="s">
        <v>76</v>
      </c>
      <c r="D119" s="13"/>
      <c r="E119" s="54"/>
      <c r="F119" s="54"/>
    </row>
    <row r="120" spans="1:6" x14ac:dyDescent="0.25">
      <c r="A120" s="18">
        <v>122</v>
      </c>
      <c r="B120" s="19">
        <v>39322</v>
      </c>
      <c r="C120" s="3" t="s">
        <v>76</v>
      </c>
      <c r="D120" s="13"/>
      <c r="E120" s="54"/>
      <c r="F120" s="54"/>
    </row>
    <row r="121" spans="1:6" x14ac:dyDescent="0.25">
      <c r="A121" s="18">
        <v>123</v>
      </c>
      <c r="B121" s="19">
        <v>39352</v>
      </c>
      <c r="C121" s="3" t="s">
        <v>76</v>
      </c>
      <c r="D121" s="13"/>
      <c r="E121" s="54"/>
      <c r="F121" s="54"/>
    </row>
    <row r="122" spans="1:6" x14ac:dyDescent="0.25">
      <c r="A122" s="89">
        <v>124</v>
      </c>
      <c r="B122" s="80">
        <v>39355</v>
      </c>
      <c r="C122" s="81" t="s">
        <v>76</v>
      </c>
      <c r="D122" s="13"/>
      <c r="E122" s="55"/>
      <c r="F122" s="54"/>
    </row>
    <row r="123" spans="1:6" x14ac:dyDescent="0.25">
      <c r="A123" s="89">
        <v>125</v>
      </c>
      <c r="B123" s="80">
        <v>39362</v>
      </c>
      <c r="C123" s="81" t="s">
        <v>76</v>
      </c>
      <c r="D123" s="13"/>
      <c r="E123" s="54"/>
      <c r="F123" s="55"/>
    </row>
    <row r="124" spans="1:6" x14ac:dyDescent="0.25">
      <c r="A124" s="18">
        <v>126</v>
      </c>
      <c r="B124" s="19">
        <v>39514</v>
      </c>
      <c r="C124" s="3" t="s">
        <v>76</v>
      </c>
      <c r="D124" s="13"/>
      <c r="E124" s="54"/>
      <c r="F124" s="58"/>
    </row>
    <row r="125" spans="1:6" x14ac:dyDescent="0.25">
      <c r="A125" s="18">
        <v>127</v>
      </c>
      <c r="B125" s="19">
        <v>39563</v>
      </c>
      <c r="C125" s="5" t="s">
        <v>13</v>
      </c>
      <c r="D125" s="13"/>
      <c r="E125" s="54"/>
      <c r="F125" s="55"/>
    </row>
    <row r="126" spans="1:6" x14ac:dyDescent="0.25">
      <c r="A126" s="18">
        <v>128</v>
      </c>
      <c r="B126" s="19">
        <v>39620</v>
      </c>
      <c r="C126" s="5" t="s">
        <v>140</v>
      </c>
      <c r="D126" s="13"/>
      <c r="E126" s="54"/>
      <c r="F126" s="58"/>
    </row>
    <row r="127" spans="1:6" x14ac:dyDescent="0.25">
      <c r="A127" s="18">
        <v>129</v>
      </c>
      <c r="B127" s="19">
        <v>39699</v>
      </c>
      <c r="C127" s="5" t="s">
        <v>76</v>
      </c>
      <c r="D127" s="13"/>
      <c r="E127" s="55"/>
      <c r="F127" s="40"/>
    </row>
    <row r="128" spans="1:6" x14ac:dyDescent="0.25">
      <c r="A128" s="18">
        <v>130</v>
      </c>
      <c r="B128" s="19">
        <v>39909</v>
      </c>
      <c r="C128" s="5" t="s">
        <v>26</v>
      </c>
      <c r="D128" s="13"/>
      <c r="E128" s="58"/>
      <c r="F128" s="54"/>
    </row>
    <row r="129" spans="1:6" x14ac:dyDescent="0.25">
      <c r="A129" s="18">
        <v>131</v>
      </c>
      <c r="B129" s="19">
        <v>40050</v>
      </c>
      <c r="C129" s="5" t="s">
        <v>13</v>
      </c>
      <c r="D129" s="13"/>
      <c r="E129" s="55"/>
      <c r="F129" s="40"/>
    </row>
    <row r="130" spans="1:6" x14ac:dyDescent="0.25">
      <c r="A130" s="18">
        <v>132</v>
      </c>
      <c r="B130" s="19">
        <v>40055</v>
      </c>
      <c r="C130" s="5" t="s">
        <v>76</v>
      </c>
      <c r="D130" s="13"/>
      <c r="E130" s="58"/>
      <c r="F130" s="54"/>
    </row>
    <row r="131" spans="1:6" x14ac:dyDescent="0.25">
      <c r="A131" s="89">
        <v>133</v>
      </c>
      <c r="B131" s="86">
        <v>40110</v>
      </c>
      <c r="C131" s="10" t="s">
        <v>76</v>
      </c>
      <c r="D131" s="13"/>
      <c r="E131" s="40"/>
      <c r="F131" s="54"/>
    </row>
    <row r="132" spans="1:6" x14ac:dyDescent="0.25">
      <c r="A132" s="18">
        <v>134</v>
      </c>
      <c r="B132" s="19">
        <v>40122</v>
      </c>
      <c r="C132" s="5" t="s">
        <v>76</v>
      </c>
      <c r="D132" s="13"/>
      <c r="E132" s="54"/>
      <c r="F132" s="45"/>
    </row>
    <row r="133" spans="1:6" x14ac:dyDescent="0.25">
      <c r="A133" s="18">
        <v>135</v>
      </c>
      <c r="B133" s="19">
        <v>40361</v>
      </c>
      <c r="C133" s="5" t="s">
        <v>112</v>
      </c>
      <c r="D133" s="65"/>
      <c r="E133" s="40"/>
      <c r="F133" s="54"/>
    </row>
    <row r="134" spans="1:6" x14ac:dyDescent="0.25">
      <c r="A134" s="89">
        <v>136</v>
      </c>
      <c r="B134" s="80">
        <v>40361</v>
      </c>
      <c r="C134" s="84" t="s">
        <v>76</v>
      </c>
      <c r="D134" s="65"/>
      <c r="E134" s="54"/>
      <c r="F134" s="54"/>
    </row>
    <row r="135" spans="1:6" x14ac:dyDescent="0.25">
      <c r="A135" s="18">
        <v>137</v>
      </c>
      <c r="B135" s="19">
        <v>40392</v>
      </c>
      <c r="C135" s="5" t="s">
        <v>140</v>
      </c>
      <c r="D135" s="54"/>
      <c r="E135" s="45"/>
      <c r="F135" s="54"/>
    </row>
    <row r="136" spans="1:6" x14ac:dyDescent="0.25">
      <c r="A136" s="18">
        <v>138</v>
      </c>
      <c r="B136" s="19">
        <v>40404</v>
      </c>
      <c r="C136" s="5" t="s">
        <v>140</v>
      </c>
      <c r="D136" s="65"/>
      <c r="E136" s="54"/>
      <c r="F136" s="54"/>
    </row>
    <row r="137" spans="1:6" x14ac:dyDescent="0.25">
      <c r="A137" s="18">
        <v>139</v>
      </c>
      <c r="B137" s="19">
        <v>40473</v>
      </c>
      <c r="C137" s="3" t="s">
        <v>76</v>
      </c>
      <c r="D137" s="65"/>
      <c r="E137" s="54"/>
      <c r="F137" s="54"/>
    </row>
    <row r="138" spans="1:6" x14ac:dyDescent="0.25">
      <c r="A138" s="89">
        <v>140</v>
      </c>
      <c r="B138" s="80">
        <v>40700</v>
      </c>
      <c r="C138" s="81" t="s">
        <v>26</v>
      </c>
      <c r="D138" s="65"/>
      <c r="E138" s="54"/>
      <c r="F138" s="40"/>
    </row>
    <row r="139" spans="1:6" x14ac:dyDescent="0.25">
      <c r="A139" s="18">
        <v>141</v>
      </c>
      <c r="B139" s="19">
        <v>40718</v>
      </c>
      <c r="C139" s="3" t="s">
        <v>76</v>
      </c>
      <c r="D139" s="65"/>
      <c r="E139" s="54"/>
      <c r="F139" s="54"/>
    </row>
    <row r="140" spans="1:6" x14ac:dyDescent="0.25">
      <c r="A140" s="18">
        <v>142</v>
      </c>
      <c r="B140" s="19">
        <v>40797</v>
      </c>
      <c r="C140" s="3" t="s">
        <v>76</v>
      </c>
      <c r="D140" s="65"/>
      <c r="E140" s="54"/>
      <c r="F140" s="54"/>
    </row>
    <row r="141" spans="1:6" x14ac:dyDescent="0.25">
      <c r="A141" s="18">
        <v>143</v>
      </c>
      <c r="B141" s="19">
        <v>40845</v>
      </c>
      <c r="C141" s="3" t="s">
        <v>76</v>
      </c>
      <c r="D141" s="65"/>
      <c r="E141" s="54"/>
      <c r="F141" s="40"/>
    </row>
    <row r="142" spans="1:6" x14ac:dyDescent="0.25">
      <c r="A142" s="18">
        <v>144</v>
      </c>
      <c r="B142" s="19">
        <v>40869</v>
      </c>
      <c r="C142" s="3" t="s">
        <v>140</v>
      </c>
      <c r="D142" s="65"/>
      <c r="E142" s="54"/>
      <c r="F142" s="55"/>
    </row>
    <row r="143" spans="1:6" x14ac:dyDescent="0.25">
      <c r="A143" s="18">
        <v>145</v>
      </c>
      <c r="B143" s="19">
        <v>41035</v>
      </c>
      <c r="C143" s="3" t="s">
        <v>112</v>
      </c>
      <c r="D143" s="65"/>
      <c r="E143" s="40"/>
      <c r="F143" s="55"/>
    </row>
    <row r="144" spans="1:6" x14ac:dyDescent="0.25">
      <c r="A144" s="18">
        <v>146</v>
      </c>
      <c r="B144" s="19">
        <v>41041</v>
      </c>
      <c r="C144" s="3" t="s">
        <v>140</v>
      </c>
      <c r="D144" s="65"/>
      <c r="E144" s="54"/>
      <c r="F144" s="54"/>
    </row>
    <row r="145" spans="1:6" x14ac:dyDescent="0.25">
      <c r="A145" s="18">
        <v>147</v>
      </c>
      <c r="B145" s="19">
        <v>41097</v>
      </c>
      <c r="C145" s="3" t="s">
        <v>140</v>
      </c>
      <c r="D145" s="65"/>
      <c r="E145" s="54"/>
      <c r="F145" s="54"/>
    </row>
    <row r="146" spans="1:6" x14ac:dyDescent="0.25">
      <c r="A146" s="89">
        <v>148</v>
      </c>
      <c r="B146" s="86">
        <v>41121</v>
      </c>
      <c r="C146" s="7" t="s">
        <v>76</v>
      </c>
      <c r="D146" s="13"/>
      <c r="E146" s="40"/>
      <c r="F146" s="54"/>
    </row>
    <row r="147" spans="1:6" x14ac:dyDescent="0.25">
      <c r="A147" s="18">
        <v>149</v>
      </c>
      <c r="B147" s="19">
        <v>41189</v>
      </c>
      <c r="C147" s="3" t="s">
        <v>76</v>
      </c>
      <c r="D147" s="13"/>
      <c r="E147" s="55"/>
      <c r="F147" s="54"/>
    </row>
    <row r="148" spans="1:6" x14ac:dyDescent="0.25">
      <c r="A148" s="18">
        <v>150</v>
      </c>
      <c r="B148" s="19">
        <v>41205</v>
      </c>
      <c r="C148" s="3" t="s">
        <v>76</v>
      </c>
      <c r="D148" s="13"/>
      <c r="E148" s="55"/>
      <c r="F148" s="40"/>
    </row>
    <row r="149" spans="1:6" x14ac:dyDescent="0.25">
      <c r="A149" s="18">
        <v>151</v>
      </c>
      <c r="B149" s="19">
        <v>41212</v>
      </c>
      <c r="C149" s="3" t="s">
        <v>76</v>
      </c>
      <c r="D149" s="13"/>
      <c r="E149" s="54"/>
    </row>
    <row r="150" spans="1:6" x14ac:dyDescent="0.25">
      <c r="A150" s="18">
        <v>152</v>
      </c>
      <c r="B150" s="29">
        <v>41450</v>
      </c>
      <c r="C150" s="30" t="s">
        <v>140</v>
      </c>
      <c r="D150" s="13"/>
      <c r="E150" s="54"/>
      <c r="F150" s="45"/>
    </row>
    <row r="151" spans="1:6" x14ac:dyDescent="0.25">
      <c r="A151" s="18">
        <v>153</v>
      </c>
      <c r="B151" s="29">
        <v>41503</v>
      </c>
      <c r="C151" s="30" t="s">
        <v>76</v>
      </c>
      <c r="D151" s="13"/>
      <c r="E151" s="54"/>
      <c r="F151" s="45"/>
    </row>
    <row r="152" spans="1:6" x14ac:dyDescent="0.25">
      <c r="A152" s="89">
        <v>154</v>
      </c>
      <c r="B152" s="83">
        <v>41517</v>
      </c>
      <c r="C152" s="88" t="s">
        <v>13</v>
      </c>
      <c r="D152" s="13"/>
      <c r="E152" s="54"/>
    </row>
    <row r="153" spans="1:6" x14ac:dyDescent="0.25">
      <c r="A153" s="18">
        <v>155</v>
      </c>
      <c r="B153" s="29">
        <v>41553</v>
      </c>
      <c r="C153" s="30" t="s">
        <v>76</v>
      </c>
      <c r="D153" s="13"/>
      <c r="E153" s="40"/>
    </row>
    <row r="154" spans="1:6" x14ac:dyDescent="0.25">
      <c r="A154" s="18">
        <v>156</v>
      </c>
      <c r="B154" s="29">
        <v>41825</v>
      </c>
      <c r="C154" s="30" t="s">
        <v>76</v>
      </c>
      <c r="D154" s="13"/>
      <c r="F154" s="45"/>
    </row>
    <row r="155" spans="1:6" x14ac:dyDescent="0.25">
      <c r="A155" s="18">
        <v>157</v>
      </c>
      <c r="B155" s="29">
        <v>41895</v>
      </c>
      <c r="C155" s="30" t="s">
        <v>76</v>
      </c>
      <c r="D155" s="13"/>
      <c r="E155" s="45"/>
      <c r="F155" s="45"/>
    </row>
    <row r="156" spans="1:6" x14ac:dyDescent="0.25">
      <c r="A156" s="18">
        <v>158</v>
      </c>
      <c r="B156" s="29">
        <v>41914</v>
      </c>
      <c r="C156" s="30" t="s">
        <v>76</v>
      </c>
      <c r="D156" s="13"/>
      <c r="E156" s="45"/>
    </row>
    <row r="157" spans="1:6" x14ac:dyDescent="0.25">
      <c r="A157" s="18">
        <v>159</v>
      </c>
      <c r="B157" s="29">
        <v>41915</v>
      </c>
      <c r="C157" s="30" t="s">
        <v>140</v>
      </c>
      <c r="D157" s="13"/>
    </row>
    <row r="158" spans="1:6" x14ac:dyDescent="0.25">
      <c r="A158" s="18">
        <v>160</v>
      </c>
      <c r="B158" s="29">
        <v>41915</v>
      </c>
      <c r="C158" s="30" t="s">
        <v>140</v>
      </c>
      <c r="D158" s="13"/>
      <c r="F158" s="45"/>
    </row>
    <row r="159" spans="1:6" x14ac:dyDescent="0.25">
      <c r="A159" s="18">
        <v>161</v>
      </c>
      <c r="B159" s="29">
        <v>41931</v>
      </c>
      <c r="C159" s="30" t="s">
        <v>140</v>
      </c>
      <c r="D159" s="12"/>
      <c r="E159" s="45"/>
      <c r="F159" s="45"/>
    </row>
    <row r="160" spans="1:6" x14ac:dyDescent="0.25">
      <c r="A160" s="18">
        <v>162</v>
      </c>
      <c r="B160" s="29">
        <v>42001</v>
      </c>
      <c r="C160" s="30" t="s">
        <v>76</v>
      </c>
      <c r="D160" s="12"/>
      <c r="E160" s="45"/>
      <c r="F160" s="45"/>
    </row>
    <row r="161" spans="1:6" x14ac:dyDescent="0.25">
      <c r="A161" s="18">
        <v>163</v>
      </c>
      <c r="B161" s="29">
        <v>42195</v>
      </c>
      <c r="C161" s="30" t="s">
        <v>76</v>
      </c>
      <c r="D161" s="12"/>
      <c r="F161" s="45"/>
    </row>
    <row r="162" spans="1:6" x14ac:dyDescent="0.25">
      <c r="A162" s="18">
        <v>164</v>
      </c>
      <c r="B162" s="29">
        <v>42234</v>
      </c>
      <c r="C162" s="30" t="s">
        <v>140</v>
      </c>
      <c r="D162" s="12"/>
      <c r="F162" s="45"/>
    </row>
    <row r="163" spans="1:6" x14ac:dyDescent="0.25">
      <c r="A163" s="18">
        <v>165</v>
      </c>
      <c r="B163" s="29">
        <v>42245</v>
      </c>
      <c r="C163" s="30" t="s">
        <v>76</v>
      </c>
      <c r="D163" s="12"/>
      <c r="E163" s="45"/>
      <c r="F163" s="45"/>
    </row>
    <row r="164" spans="1:6" x14ac:dyDescent="0.25">
      <c r="A164" s="89">
        <v>166</v>
      </c>
      <c r="B164" s="83">
        <v>42252</v>
      </c>
      <c r="C164" s="88" t="s">
        <v>140</v>
      </c>
      <c r="D164" s="12"/>
      <c r="E164" s="45"/>
      <c r="F164" s="45"/>
    </row>
    <row r="165" spans="1:6" x14ac:dyDescent="0.25">
      <c r="A165" s="18">
        <v>167</v>
      </c>
      <c r="B165" s="29">
        <v>42253</v>
      </c>
      <c r="C165" s="30" t="s">
        <v>112</v>
      </c>
      <c r="D165" s="12"/>
      <c r="E165" s="45"/>
      <c r="F165" s="45"/>
    </row>
    <row r="166" spans="1:6" x14ac:dyDescent="0.25">
      <c r="A166" s="89">
        <v>168</v>
      </c>
      <c r="B166" s="143">
        <v>42267</v>
      </c>
      <c r="C166" s="145" t="s">
        <v>26</v>
      </c>
      <c r="D166" s="12"/>
      <c r="E166" s="45"/>
      <c r="F166" s="45"/>
    </row>
    <row r="167" spans="1:6" x14ac:dyDescent="0.25">
      <c r="A167" s="18">
        <v>169</v>
      </c>
      <c r="B167" s="29">
        <v>42271</v>
      </c>
      <c r="C167" s="30" t="s">
        <v>140</v>
      </c>
      <c r="D167" s="12"/>
      <c r="E167" s="45"/>
      <c r="F167" s="45"/>
    </row>
    <row r="168" spans="1:6" x14ac:dyDescent="0.25">
      <c r="A168" s="18">
        <v>170</v>
      </c>
      <c r="B168" s="29">
        <v>42519</v>
      </c>
      <c r="C168" s="30" t="s">
        <v>13</v>
      </c>
      <c r="D168" s="12"/>
      <c r="E168" s="45"/>
      <c r="F168" s="45"/>
    </row>
    <row r="169" spans="1:6" x14ac:dyDescent="0.25">
      <c r="A169" s="18">
        <v>171</v>
      </c>
      <c r="B169" s="29">
        <v>42614</v>
      </c>
      <c r="C169" s="30" t="s">
        <v>26</v>
      </c>
      <c r="D169" s="45"/>
    </row>
    <row r="170" spans="1:6" x14ac:dyDescent="0.25">
      <c r="A170" s="18">
        <v>172</v>
      </c>
      <c r="B170" s="29">
        <v>42630</v>
      </c>
      <c r="C170" s="30" t="s">
        <v>76</v>
      </c>
      <c r="D170" s="12"/>
      <c r="E170" s="45"/>
      <c r="F170" s="45"/>
    </row>
    <row r="171" spans="1:6" x14ac:dyDescent="0.25">
      <c r="A171" s="18">
        <v>173</v>
      </c>
      <c r="B171" s="29">
        <v>42812</v>
      </c>
      <c r="C171" s="30" t="s">
        <v>140</v>
      </c>
      <c r="D171" s="12"/>
      <c r="E171" s="45"/>
    </row>
    <row r="172" spans="1:6" x14ac:dyDescent="0.25">
      <c r="A172" s="18">
        <v>174</v>
      </c>
      <c r="B172" s="29">
        <v>42854</v>
      </c>
      <c r="C172" s="30" t="s">
        <v>13</v>
      </c>
      <c r="D172" s="12"/>
      <c r="E172" s="45"/>
    </row>
    <row r="173" spans="1:6" x14ac:dyDescent="0.25">
      <c r="A173" s="18">
        <v>175</v>
      </c>
      <c r="B173" s="29">
        <v>42927</v>
      </c>
      <c r="C173" s="30" t="s">
        <v>140</v>
      </c>
      <c r="D173" s="12"/>
      <c r="E173" s="45"/>
      <c r="F173" s="45"/>
    </row>
    <row r="174" spans="1:6" x14ac:dyDescent="0.25">
      <c r="A174" s="18">
        <v>176</v>
      </c>
      <c r="B174" s="29">
        <v>42936</v>
      </c>
      <c r="C174" s="30" t="s">
        <v>112</v>
      </c>
      <c r="D174" s="12"/>
      <c r="E174" s="45"/>
    </row>
    <row r="175" spans="1:6" x14ac:dyDescent="0.25">
      <c r="A175" s="18">
        <v>177</v>
      </c>
      <c r="B175" s="29">
        <v>42936</v>
      </c>
      <c r="C175" s="30" t="s">
        <v>140</v>
      </c>
      <c r="D175" s="12"/>
      <c r="E175" s="45"/>
      <c r="F175" s="45"/>
    </row>
    <row r="176" spans="1:6" x14ac:dyDescent="0.25">
      <c r="A176" s="18">
        <v>178</v>
      </c>
      <c r="B176" s="29">
        <v>42948</v>
      </c>
      <c r="C176" s="30" t="s">
        <v>140</v>
      </c>
      <c r="D176" s="12"/>
      <c r="F176" s="45"/>
    </row>
    <row r="177" spans="1:6" x14ac:dyDescent="0.25">
      <c r="A177" s="18">
        <v>179</v>
      </c>
      <c r="B177" s="29">
        <v>43063</v>
      </c>
      <c r="C177" s="30" t="s">
        <v>26</v>
      </c>
    </row>
    <row r="178" spans="1:6" x14ac:dyDescent="0.25">
      <c r="A178" s="18">
        <v>180</v>
      </c>
      <c r="B178" s="29">
        <v>43099</v>
      </c>
      <c r="C178" s="30" t="s">
        <v>76</v>
      </c>
      <c r="D178" s="12"/>
      <c r="E178" s="45"/>
      <c r="F178" s="45"/>
    </row>
    <row r="179" spans="1:6" x14ac:dyDescent="0.25">
      <c r="A179" s="18">
        <v>181</v>
      </c>
      <c r="B179" s="29">
        <v>43276</v>
      </c>
      <c r="C179" s="30" t="s">
        <v>140</v>
      </c>
      <c r="D179" s="12"/>
      <c r="E179" s="45"/>
      <c r="F179" s="45"/>
    </row>
    <row r="180" spans="1:6" x14ac:dyDescent="0.25">
      <c r="A180" s="18">
        <v>182</v>
      </c>
      <c r="B180" s="95">
        <v>43336</v>
      </c>
      <c r="C180" s="98" t="s">
        <v>13</v>
      </c>
      <c r="D180" s="12"/>
      <c r="F180" s="45"/>
    </row>
    <row r="181" spans="1:6" x14ac:dyDescent="0.25">
      <c r="A181" s="18">
        <v>183</v>
      </c>
      <c r="B181" s="29">
        <v>43372</v>
      </c>
      <c r="C181" s="30" t="s">
        <v>26</v>
      </c>
      <c r="D181" s="12"/>
      <c r="E181" s="45"/>
    </row>
    <row r="182" spans="1:6" x14ac:dyDescent="0.25">
      <c r="A182" s="99">
        <v>184</v>
      </c>
      <c r="B182" s="100">
        <v>43396</v>
      </c>
      <c r="C182" s="125" t="s">
        <v>60</v>
      </c>
      <c r="D182" s="12"/>
      <c r="E182" s="45"/>
    </row>
    <row r="183" spans="1:6" x14ac:dyDescent="0.25">
      <c r="A183" s="18">
        <v>185</v>
      </c>
      <c r="B183" s="29">
        <v>43473</v>
      </c>
      <c r="C183" s="30" t="s">
        <v>76</v>
      </c>
      <c r="D183" s="12"/>
      <c r="E183" s="45"/>
    </row>
    <row r="184" spans="1:6" x14ac:dyDescent="0.25">
      <c r="A184" s="98">
        <v>186</v>
      </c>
      <c r="B184" s="95">
        <v>43592</v>
      </c>
      <c r="C184" s="98" t="s">
        <v>76</v>
      </c>
      <c r="D184" s="12"/>
      <c r="E184" s="45"/>
    </row>
    <row r="185" spans="1:6" x14ac:dyDescent="0.25">
      <c r="A185" s="98">
        <v>187</v>
      </c>
      <c r="B185" s="95">
        <v>43709</v>
      </c>
      <c r="C185" s="98" t="s">
        <v>76</v>
      </c>
      <c r="D185" s="12"/>
      <c r="E185" s="45"/>
    </row>
    <row r="186" spans="1:6" x14ac:dyDescent="0.25">
      <c r="A186" s="18">
        <v>188</v>
      </c>
      <c r="B186" s="29">
        <v>43743</v>
      </c>
      <c r="C186" s="30" t="s">
        <v>140</v>
      </c>
      <c r="D186" s="12"/>
    </row>
    <row r="187" spans="1:6" x14ac:dyDescent="0.25">
      <c r="A187" s="98">
        <v>189</v>
      </c>
      <c r="B187" s="95">
        <v>43820</v>
      </c>
      <c r="C187" s="98" t="s">
        <v>76</v>
      </c>
      <c r="D187" s="12"/>
    </row>
    <row r="188" spans="1:6" x14ac:dyDescent="0.25">
      <c r="A188" s="98">
        <v>190</v>
      </c>
      <c r="B188" s="95">
        <v>43917</v>
      </c>
      <c r="C188" s="98" t="s">
        <v>112</v>
      </c>
    </row>
    <row r="189" spans="1:6" x14ac:dyDescent="0.25">
      <c r="A189" s="98">
        <v>191</v>
      </c>
      <c r="B189" s="95">
        <v>43952</v>
      </c>
      <c r="C189" s="98" t="s">
        <v>13</v>
      </c>
    </row>
    <row r="190" spans="1:6" x14ac:dyDescent="0.25">
      <c r="A190" s="98">
        <v>192</v>
      </c>
      <c r="B190" s="95">
        <v>43960</v>
      </c>
      <c r="C190" s="98" t="s">
        <v>76</v>
      </c>
    </row>
    <row r="191" spans="1:6" x14ac:dyDescent="0.25">
      <c r="A191" s="18">
        <v>193</v>
      </c>
      <c r="B191" s="29">
        <v>43976</v>
      </c>
      <c r="C191" s="30" t="s">
        <v>140</v>
      </c>
    </row>
    <row r="192" spans="1:6" x14ac:dyDescent="0.25">
      <c r="A192" s="98">
        <v>194</v>
      </c>
      <c r="B192" s="95">
        <v>44001</v>
      </c>
      <c r="C192" s="3" t="s">
        <v>60</v>
      </c>
    </row>
    <row r="193" spans="1:3" x14ac:dyDescent="0.25">
      <c r="A193" s="18">
        <v>195</v>
      </c>
      <c r="B193" s="29">
        <v>44055</v>
      </c>
      <c r="C193" s="30" t="s">
        <v>26</v>
      </c>
    </row>
    <row r="194" spans="1:3" x14ac:dyDescent="0.25">
      <c r="A194" s="98">
        <v>196</v>
      </c>
      <c r="B194" s="95">
        <v>44071</v>
      </c>
      <c r="C194" s="30" t="s">
        <v>140</v>
      </c>
    </row>
    <row r="195" spans="1:3" x14ac:dyDescent="0.25">
      <c r="A195" s="98">
        <v>197</v>
      </c>
      <c r="B195" s="95">
        <v>44195</v>
      </c>
      <c r="C195" s="98" t="s">
        <v>13</v>
      </c>
    </row>
    <row r="196" spans="1:3" x14ac:dyDescent="0.25">
      <c r="A196" s="98">
        <v>198</v>
      </c>
      <c r="B196" s="95">
        <v>44373</v>
      </c>
      <c r="C196" s="98" t="s">
        <v>26</v>
      </c>
    </row>
    <row r="197" spans="1:3" x14ac:dyDescent="0.25">
      <c r="A197" s="98">
        <v>199</v>
      </c>
      <c r="B197" s="95">
        <v>44377</v>
      </c>
      <c r="C197" s="98" t="s">
        <v>140</v>
      </c>
    </row>
    <row r="198" spans="1:3" x14ac:dyDescent="0.25">
      <c r="A198" s="98">
        <v>199</v>
      </c>
      <c r="B198" s="95">
        <v>44382</v>
      </c>
      <c r="C198" s="98" t="s">
        <v>140</v>
      </c>
    </row>
    <row r="199" spans="1:3" x14ac:dyDescent="0.25">
      <c r="A199" s="98">
        <v>201</v>
      </c>
      <c r="B199" s="95">
        <v>44399</v>
      </c>
      <c r="C199" s="98" t="s">
        <v>76</v>
      </c>
    </row>
    <row r="200" spans="1:3" x14ac:dyDescent="0.25">
      <c r="A200" s="98">
        <v>202</v>
      </c>
      <c r="B200" s="95">
        <v>44472</v>
      </c>
      <c r="C200" s="98" t="s">
        <v>76</v>
      </c>
    </row>
    <row r="201" spans="1:3" x14ac:dyDescent="0.25">
      <c r="A201" s="98">
        <v>203</v>
      </c>
      <c r="B201" s="95">
        <v>44552</v>
      </c>
      <c r="C201" s="98" t="s">
        <v>76</v>
      </c>
    </row>
    <row r="202" spans="1:3" x14ac:dyDescent="0.25">
      <c r="A202" s="98">
        <v>204</v>
      </c>
      <c r="B202" s="95">
        <v>44554</v>
      </c>
      <c r="C202" s="98" t="s">
        <v>76</v>
      </c>
    </row>
    <row r="203" spans="1:3" x14ac:dyDescent="0.25">
      <c r="A203" s="98">
        <v>205</v>
      </c>
      <c r="B203" s="95">
        <v>44618</v>
      </c>
      <c r="C203" s="98" t="s">
        <v>60</v>
      </c>
    </row>
  </sheetData>
  <sortState xmlns:xlrd2="http://schemas.microsoft.com/office/spreadsheetml/2017/richdata2" ref="A2:C202">
    <sortCondition ref="A2:A202"/>
  </sortState>
  <dataValidations count="2">
    <dataValidation type="list" allowBlank="1" showErrorMessage="1" sqref="D25:D40 D136:D159 C76:C97 D2:D23 D68:D70 D42:D66 C99:C164 C2:C67 C72:D73 D76:D134" xr:uid="{00000000-0002-0000-0600-000000000000}">
      <formula1>Mode</formula1>
    </dataValidation>
    <dataValidation allowBlank="1" showErrorMessage="1" sqref="C1:D1" xr:uid="{00000000-0002-0000-0600-00000100000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01"/>
  <sheetViews>
    <sheetView topLeftCell="F1" workbookViewId="0">
      <selection activeCell="I5" sqref="I5"/>
    </sheetView>
  </sheetViews>
  <sheetFormatPr defaultRowHeight="15" x14ac:dyDescent="0.25"/>
  <cols>
    <col min="1" max="1" width="13.5703125" customWidth="1"/>
    <col min="2" max="4" width="12.7109375" style="156" bestFit="1" customWidth="1"/>
    <col min="5" max="5" width="12.7109375" customWidth="1"/>
    <col min="6" max="6" width="10.85546875" bestFit="1" customWidth="1"/>
    <col min="7" max="7" width="12" bestFit="1" customWidth="1"/>
    <col min="8" max="8" width="17.5703125" bestFit="1" customWidth="1"/>
    <col min="12" max="12" width="13.140625" bestFit="1" customWidth="1"/>
    <col min="13" max="13" width="18.5703125" bestFit="1" customWidth="1"/>
    <col min="14" max="111" width="4" bestFit="1" customWidth="1"/>
    <col min="112" max="152" width="5" bestFit="1" customWidth="1"/>
    <col min="153" max="153" width="7.28515625" bestFit="1" customWidth="1"/>
    <col min="154" max="154" width="11.28515625" bestFit="1" customWidth="1"/>
  </cols>
  <sheetData>
    <row r="1" spans="1:11" ht="15.75" x14ac:dyDescent="0.25">
      <c r="A1" s="2" t="s">
        <v>392</v>
      </c>
      <c r="B1" s="192" t="s">
        <v>483</v>
      </c>
      <c r="C1" s="193"/>
      <c r="D1" s="193"/>
    </row>
    <row r="2" spans="1:11" ht="18" x14ac:dyDescent="0.25">
      <c r="A2" s="70">
        <v>108</v>
      </c>
      <c r="B2" s="152" t="s">
        <v>374</v>
      </c>
      <c r="C2" s="153" t="s">
        <v>4</v>
      </c>
      <c r="D2" s="153" t="s">
        <v>376</v>
      </c>
      <c r="E2" s="69"/>
      <c r="G2" t="s">
        <v>374</v>
      </c>
      <c r="H2" t="s">
        <v>699</v>
      </c>
      <c r="I2" t="s">
        <v>442</v>
      </c>
      <c r="J2" t="s">
        <v>361</v>
      </c>
      <c r="K2" t="s">
        <v>521</v>
      </c>
    </row>
    <row r="3" spans="1:11" ht="18" x14ac:dyDescent="0.25">
      <c r="A3" s="70">
        <v>111</v>
      </c>
      <c r="B3" s="68">
        <v>1</v>
      </c>
      <c r="C3" s="68">
        <v>1</v>
      </c>
      <c r="D3" s="68">
        <v>1</v>
      </c>
      <c r="E3" s="69"/>
      <c r="F3" t="s">
        <v>393</v>
      </c>
      <c r="G3">
        <f>COUNTIF(B:B,1)</f>
        <v>2</v>
      </c>
      <c r="H3">
        <f>COUNTIF(C:C,1)</f>
        <v>4</v>
      </c>
      <c r="I3">
        <f>COUNTIF(D:D,1)</f>
        <v>1</v>
      </c>
      <c r="J3">
        <f>SUM(G3:I3)</f>
        <v>7</v>
      </c>
      <c r="K3" s="122">
        <f>J3/$J$15</f>
        <v>3.4653465346534656E-2</v>
      </c>
    </row>
    <row r="4" spans="1:11" ht="18" x14ac:dyDescent="0.25">
      <c r="A4" s="70">
        <v>112</v>
      </c>
      <c r="B4" s="68">
        <v>1</v>
      </c>
      <c r="C4" s="68">
        <v>1</v>
      </c>
      <c r="D4" s="68">
        <v>4</v>
      </c>
      <c r="E4" s="69"/>
      <c r="F4" t="s">
        <v>394</v>
      </c>
      <c r="G4">
        <f>COUNTIF(B:B,2)</f>
        <v>0</v>
      </c>
      <c r="H4">
        <f>COUNTIF(C:C,2)</f>
        <v>4</v>
      </c>
      <c r="I4">
        <f>COUNTIF(D:D,2)</f>
        <v>0</v>
      </c>
      <c r="J4">
        <f t="shared" ref="J4:J14" si="0">SUM(G4:I4)</f>
        <v>4</v>
      </c>
      <c r="K4" s="122">
        <f t="shared" ref="K4:K14" si="1">J4/$J$15</f>
        <v>1.9801980198019802E-2</v>
      </c>
    </row>
    <row r="5" spans="1:11" ht="18" x14ac:dyDescent="0.25">
      <c r="A5" s="70">
        <v>114</v>
      </c>
      <c r="B5" s="68">
        <v>3</v>
      </c>
      <c r="C5" s="68">
        <v>1</v>
      </c>
      <c r="D5" s="68">
        <v>4</v>
      </c>
      <c r="E5" s="69"/>
      <c r="F5" t="s">
        <v>395</v>
      </c>
      <c r="G5">
        <f>COUNTIF(B:B,3)</f>
        <v>5</v>
      </c>
      <c r="H5">
        <f>COUNTIF(C:C,3)</f>
        <v>0</v>
      </c>
      <c r="I5">
        <f>COUNTIF(D:D,3)</f>
        <v>0</v>
      </c>
      <c r="J5">
        <f t="shared" si="0"/>
        <v>5</v>
      </c>
      <c r="K5" s="122">
        <f t="shared" si="1"/>
        <v>2.4752475247524754E-2</v>
      </c>
    </row>
    <row r="6" spans="1:11" ht="18" x14ac:dyDescent="0.25">
      <c r="A6" s="71">
        <v>118</v>
      </c>
      <c r="B6" s="68">
        <v>3</v>
      </c>
      <c r="C6" s="68">
        <v>1</v>
      </c>
      <c r="D6" s="68">
        <v>5</v>
      </c>
      <c r="E6" s="69"/>
      <c r="F6" t="s">
        <v>396</v>
      </c>
      <c r="G6">
        <f>COUNTIF(B:B,4)</f>
        <v>2</v>
      </c>
      <c r="H6">
        <f>COUNTIF(C:C,4)</f>
        <v>2</v>
      </c>
      <c r="I6">
        <f>COUNTIF(D:D,4)</f>
        <v>2</v>
      </c>
      <c r="J6">
        <f t="shared" si="0"/>
        <v>6</v>
      </c>
      <c r="K6" s="122">
        <f t="shared" si="1"/>
        <v>2.9702970297029702E-2</v>
      </c>
    </row>
    <row r="7" spans="1:11" ht="18" x14ac:dyDescent="0.25">
      <c r="A7" s="70">
        <v>122</v>
      </c>
      <c r="B7" s="68">
        <v>3</v>
      </c>
      <c r="C7" s="68">
        <v>2</v>
      </c>
      <c r="D7" s="68">
        <v>5</v>
      </c>
      <c r="E7" s="69"/>
      <c r="F7" t="s">
        <v>397</v>
      </c>
      <c r="G7">
        <f>COUNTIF(B:B,5)</f>
        <v>6</v>
      </c>
      <c r="H7">
        <f>COUNTIF(C:C,5)</f>
        <v>8</v>
      </c>
      <c r="I7">
        <f>COUNTIF(D:D,5)</f>
        <v>2</v>
      </c>
      <c r="J7">
        <f>SUM(G7:I7)</f>
        <v>16</v>
      </c>
      <c r="K7" s="122">
        <f t="shared" si="1"/>
        <v>7.9207920792079209E-2</v>
      </c>
    </row>
    <row r="8" spans="1:11" ht="18" x14ac:dyDescent="0.25">
      <c r="A8" s="70">
        <v>126</v>
      </c>
      <c r="B8" s="72">
        <v>3</v>
      </c>
      <c r="C8" s="68">
        <v>2</v>
      </c>
      <c r="D8" s="68">
        <v>6</v>
      </c>
      <c r="E8" s="69"/>
      <c r="F8" t="s">
        <v>398</v>
      </c>
      <c r="G8">
        <f>COUNTIF(B:B,6)</f>
        <v>8</v>
      </c>
      <c r="H8">
        <f>COUNTIF(C:C,6)</f>
        <v>5</v>
      </c>
      <c r="I8">
        <f>COUNTIF(D:D,6)</f>
        <v>1</v>
      </c>
      <c r="J8">
        <f t="shared" si="0"/>
        <v>14</v>
      </c>
      <c r="K8" s="122">
        <f t="shared" si="1"/>
        <v>6.9306930693069313E-2</v>
      </c>
    </row>
    <row r="9" spans="1:11" ht="18" x14ac:dyDescent="0.25">
      <c r="A9" s="70">
        <v>206</v>
      </c>
      <c r="B9" s="72">
        <v>3</v>
      </c>
      <c r="C9" s="68">
        <v>2</v>
      </c>
      <c r="D9" s="68">
        <v>8</v>
      </c>
      <c r="E9" s="69"/>
      <c r="F9" t="s">
        <v>399</v>
      </c>
      <c r="G9">
        <f>COUNTIF(B:B,7)</f>
        <v>13</v>
      </c>
      <c r="H9">
        <f>COUNTIF(C:C,7)</f>
        <v>9</v>
      </c>
      <c r="I9">
        <f>COUNTIF(D:D,7)</f>
        <v>0</v>
      </c>
      <c r="J9">
        <f t="shared" si="0"/>
        <v>22</v>
      </c>
      <c r="K9" s="122">
        <f t="shared" si="1"/>
        <v>0.10891089108910891</v>
      </c>
    </row>
    <row r="10" spans="1:11" ht="18" x14ac:dyDescent="0.25">
      <c r="A10" s="70">
        <v>207</v>
      </c>
      <c r="B10" s="68">
        <v>4</v>
      </c>
      <c r="C10" s="68">
        <v>2</v>
      </c>
      <c r="D10" s="68">
        <v>8</v>
      </c>
      <c r="E10" s="69"/>
      <c r="F10" t="s">
        <v>400</v>
      </c>
      <c r="G10">
        <f>COUNTIF(B:B,8)</f>
        <v>11</v>
      </c>
      <c r="H10">
        <f>COUNTIF(C:C,8)</f>
        <v>19</v>
      </c>
      <c r="I10">
        <f>COUNTIF(D:D,8)</f>
        <v>2</v>
      </c>
      <c r="J10">
        <f t="shared" si="0"/>
        <v>32</v>
      </c>
      <c r="K10" s="122">
        <f t="shared" si="1"/>
        <v>0.15841584158415842</v>
      </c>
    </row>
    <row r="11" spans="1:11" ht="18" x14ac:dyDescent="0.25">
      <c r="A11" s="70">
        <v>218</v>
      </c>
      <c r="B11" s="68">
        <v>4</v>
      </c>
      <c r="C11" s="68">
        <v>4</v>
      </c>
      <c r="D11" s="68">
        <v>9</v>
      </c>
      <c r="E11" s="69"/>
      <c r="F11" t="s">
        <v>401</v>
      </c>
      <c r="G11">
        <f>COUNTIF(B:B,9)</f>
        <v>11</v>
      </c>
      <c r="H11">
        <f>COUNTIF(C:C,9)</f>
        <v>19</v>
      </c>
      <c r="I11">
        <f>COUNTIF(D:D,9)</f>
        <v>1</v>
      </c>
      <c r="J11">
        <f t="shared" si="0"/>
        <v>31</v>
      </c>
      <c r="K11" s="122">
        <f t="shared" si="1"/>
        <v>0.15346534653465346</v>
      </c>
    </row>
    <row r="12" spans="1:11" ht="18" x14ac:dyDescent="0.25">
      <c r="A12" s="70">
        <v>226</v>
      </c>
      <c r="B12" s="68">
        <v>5</v>
      </c>
      <c r="C12" s="72">
        <v>4</v>
      </c>
      <c r="D12" s="68">
        <v>10</v>
      </c>
      <c r="E12" s="69"/>
      <c r="F12" t="s">
        <v>402</v>
      </c>
      <c r="G12">
        <f>COUNTIF(B:B,10)</f>
        <v>12</v>
      </c>
      <c r="H12">
        <f>COUNTIF(C:C,10)</f>
        <v>23</v>
      </c>
      <c r="I12">
        <f>COUNTIF(D:D,10)</f>
        <v>2</v>
      </c>
      <c r="J12">
        <f t="shared" si="0"/>
        <v>37</v>
      </c>
      <c r="K12" s="122">
        <f t="shared" si="1"/>
        <v>0.18316831683168316</v>
      </c>
    </row>
    <row r="13" spans="1:11" ht="18" x14ac:dyDescent="0.25">
      <c r="A13" s="71">
        <v>307</v>
      </c>
      <c r="B13" s="68">
        <v>5</v>
      </c>
      <c r="C13" s="68">
        <v>5</v>
      </c>
      <c r="D13" s="68">
        <v>10</v>
      </c>
      <c r="E13" s="69"/>
      <c r="F13" t="s">
        <v>403</v>
      </c>
      <c r="G13">
        <f>COUNTIF(B:B,11)</f>
        <v>6</v>
      </c>
      <c r="H13">
        <f>COUNTIF(C:C,11)</f>
        <v>9</v>
      </c>
      <c r="I13">
        <f>COUNTIF(D:D,11)</f>
        <v>0</v>
      </c>
      <c r="J13">
        <f t="shared" si="0"/>
        <v>15</v>
      </c>
      <c r="K13" s="122">
        <f t="shared" si="1"/>
        <v>7.4257425742574254E-2</v>
      </c>
    </row>
    <row r="14" spans="1:11" ht="18" x14ac:dyDescent="0.25">
      <c r="A14" s="70">
        <v>311</v>
      </c>
      <c r="B14" s="68">
        <v>5</v>
      </c>
      <c r="C14" s="68">
        <v>5</v>
      </c>
      <c r="D14" s="68">
        <v>12</v>
      </c>
      <c r="E14" s="69"/>
      <c r="F14" t="s">
        <v>404</v>
      </c>
      <c r="G14">
        <f>COUNTIF(B:B,12)</f>
        <v>3</v>
      </c>
      <c r="H14">
        <f>COUNTIF(C:C,12)</f>
        <v>6</v>
      </c>
      <c r="I14">
        <f>COUNTIF(D:D,12)</f>
        <v>4</v>
      </c>
      <c r="J14">
        <f t="shared" si="0"/>
        <v>13</v>
      </c>
      <c r="K14" s="122">
        <f t="shared" si="1"/>
        <v>6.4356435643564358E-2</v>
      </c>
    </row>
    <row r="15" spans="1:11" ht="18" x14ac:dyDescent="0.25">
      <c r="A15" s="70">
        <v>312</v>
      </c>
      <c r="B15" s="68">
        <v>5</v>
      </c>
      <c r="C15" s="68">
        <v>5</v>
      </c>
      <c r="D15" s="68">
        <v>12</v>
      </c>
      <c r="E15" s="69"/>
      <c r="G15">
        <f>SUM(G3:G14)</f>
        <v>79</v>
      </c>
      <c r="H15">
        <f>SUM(H3:H14)</f>
        <v>108</v>
      </c>
      <c r="I15">
        <f>SUM(I3:I14)</f>
        <v>15</v>
      </c>
      <c r="J15">
        <f>SUM(J3:J14)</f>
        <v>202</v>
      </c>
    </row>
    <row r="16" spans="1:11" ht="18" x14ac:dyDescent="0.25">
      <c r="A16" s="73">
        <v>318</v>
      </c>
      <c r="B16" s="68">
        <v>5</v>
      </c>
      <c r="C16" s="68">
        <v>5</v>
      </c>
      <c r="D16" s="68">
        <v>12</v>
      </c>
      <c r="E16" s="69"/>
    </row>
    <row r="17" spans="1:13" ht="18" x14ac:dyDescent="0.25">
      <c r="A17" s="73">
        <v>327</v>
      </c>
      <c r="B17" s="68">
        <v>5</v>
      </c>
      <c r="C17" s="68">
        <v>5</v>
      </c>
      <c r="D17" s="154">
        <v>12</v>
      </c>
      <c r="E17" s="69"/>
    </row>
    <row r="18" spans="1:13" ht="18" x14ac:dyDescent="0.25">
      <c r="A18" s="71">
        <v>406</v>
      </c>
      <c r="B18" s="68">
        <v>6</v>
      </c>
      <c r="C18" s="68">
        <v>5</v>
      </c>
      <c r="D18" s="154"/>
      <c r="E18" s="69"/>
      <c r="L18" s="170" t="s">
        <v>628</v>
      </c>
      <c r="M18" t="s">
        <v>629</v>
      </c>
    </row>
    <row r="19" spans="1:13" ht="18" x14ac:dyDescent="0.25">
      <c r="A19" s="70">
        <v>424</v>
      </c>
      <c r="B19" s="68">
        <v>6</v>
      </c>
      <c r="C19" s="72">
        <v>5</v>
      </c>
      <c r="D19" s="154"/>
      <c r="E19" s="69"/>
      <c r="L19" s="171">
        <v>108</v>
      </c>
      <c r="M19" s="156">
        <v>1</v>
      </c>
    </row>
    <row r="20" spans="1:13" ht="18" x14ac:dyDescent="0.25">
      <c r="A20" s="70">
        <v>424</v>
      </c>
      <c r="B20" s="68">
        <v>6</v>
      </c>
      <c r="C20" s="72">
        <v>5</v>
      </c>
      <c r="D20" s="154"/>
      <c r="E20" s="69"/>
      <c r="L20" s="171">
        <v>111</v>
      </c>
      <c r="M20" s="156">
        <v>1</v>
      </c>
    </row>
    <row r="21" spans="1:13" ht="18" x14ac:dyDescent="0.25">
      <c r="A21" s="70">
        <v>425</v>
      </c>
      <c r="B21" s="68">
        <v>6</v>
      </c>
      <c r="C21" s="68">
        <v>6</v>
      </c>
      <c r="D21" s="154"/>
      <c r="E21" s="69"/>
      <c r="L21" s="171">
        <v>112</v>
      </c>
      <c r="M21" s="156">
        <v>1</v>
      </c>
    </row>
    <row r="22" spans="1:13" ht="18" x14ac:dyDescent="0.25">
      <c r="A22" s="70">
        <v>428</v>
      </c>
      <c r="B22" s="68">
        <v>6</v>
      </c>
      <c r="C22" s="68">
        <v>6</v>
      </c>
      <c r="D22" s="154"/>
      <c r="E22" s="69"/>
      <c r="L22" s="171">
        <v>114</v>
      </c>
      <c r="M22" s="156">
        <v>1</v>
      </c>
    </row>
    <row r="23" spans="1:13" ht="18" x14ac:dyDescent="0.25">
      <c r="A23" s="73">
        <v>429</v>
      </c>
      <c r="B23" s="72">
        <v>6</v>
      </c>
      <c r="C23" s="68">
        <v>6</v>
      </c>
      <c r="D23" s="154"/>
      <c r="E23" s="69"/>
      <c r="L23" s="171">
        <v>118</v>
      </c>
      <c r="M23" s="156">
        <v>1</v>
      </c>
    </row>
    <row r="24" spans="1:13" ht="18" x14ac:dyDescent="0.25">
      <c r="A24" s="73">
        <v>501</v>
      </c>
      <c r="B24" s="72">
        <v>6</v>
      </c>
      <c r="C24" s="68">
        <v>6</v>
      </c>
      <c r="D24" s="154"/>
      <c r="E24" s="69"/>
      <c r="L24" s="171">
        <v>122</v>
      </c>
      <c r="M24" s="156">
        <v>1</v>
      </c>
    </row>
    <row r="25" spans="1:13" ht="18" x14ac:dyDescent="0.25">
      <c r="A25" s="71">
        <v>506</v>
      </c>
      <c r="B25" s="72">
        <v>6</v>
      </c>
      <c r="C25" s="68">
        <v>6</v>
      </c>
      <c r="D25" s="154"/>
      <c r="E25" s="69"/>
      <c r="L25" s="171">
        <v>126</v>
      </c>
      <c r="M25" s="156">
        <v>1</v>
      </c>
    </row>
    <row r="26" spans="1:13" ht="18" x14ac:dyDescent="0.25">
      <c r="A26" s="70">
        <v>507</v>
      </c>
      <c r="B26" s="68">
        <v>7</v>
      </c>
      <c r="C26" s="68">
        <v>7</v>
      </c>
      <c r="D26" s="154"/>
      <c r="E26" s="69"/>
      <c r="L26" s="171">
        <v>206</v>
      </c>
      <c r="M26" s="156">
        <v>1</v>
      </c>
    </row>
    <row r="27" spans="1:13" ht="18" x14ac:dyDescent="0.25">
      <c r="A27" s="70">
        <v>509</v>
      </c>
      <c r="B27" s="68">
        <v>7</v>
      </c>
      <c r="C27" s="68">
        <v>7</v>
      </c>
      <c r="D27" s="154"/>
      <c r="E27" s="69"/>
      <c r="L27" s="171">
        <v>207</v>
      </c>
      <c r="M27" s="156">
        <v>1</v>
      </c>
    </row>
    <row r="28" spans="1:13" ht="18" x14ac:dyDescent="0.25">
      <c r="A28" s="70">
        <v>512</v>
      </c>
      <c r="B28" s="68">
        <v>7</v>
      </c>
      <c r="C28" s="68">
        <v>7</v>
      </c>
      <c r="D28" s="154"/>
      <c r="E28" s="69"/>
      <c r="L28" s="171">
        <v>218</v>
      </c>
      <c r="M28" s="156">
        <v>1</v>
      </c>
    </row>
    <row r="29" spans="1:13" ht="18" x14ac:dyDescent="0.25">
      <c r="A29" s="70">
        <v>519</v>
      </c>
      <c r="B29" s="68">
        <v>7</v>
      </c>
      <c r="C29" s="68">
        <v>7</v>
      </c>
      <c r="D29" s="154"/>
      <c r="E29" s="69"/>
      <c r="L29" s="171">
        <v>307</v>
      </c>
      <c r="M29" s="156">
        <v>1</v>
      </c>
    </row>
    <row r="30" spans="1:13" ht="18" x14ac:dyDescent="0.25">
      <c r="A30" s="71">
        <v>521</v>
      </c>
      <c r="B30" s="68">
        <v>7</v>
      </c>
      <c r="C30" s="68">
        <v>7</v>
      </c>
      <c r="D30" s="154"/>
      <c r="E30" s="69"/>
      <c r="L30" s="171">
        <v>311</v>
      </c>
      <c r="M30" s="156">
        <v>1</v>
      </c>
    </row>
    <row r="31" spans="1:13" ht="18" x14ac:dyDescent="0.25">
      <c r="A31" s="71">
        <v>525</v>
      </c>
      <c r="B31" s="68">
        <v>7</v>
      </c>
      <c r="C31" s="68">
        <v>7</v>
      </c>
      <c r="D31" s="154"/>
      <c r="E31" s="69"/>
      <c r="L31" s="171">
        <v>312</v>
      </c>
      <c r="M31" s="156">
        <v>1</v>
      </c>
    </row>
    <row r="32" spans="1:13" ht="18" x14ac:dyDescent="0.25">
      <c r="A32" s="70">
        <v>526</v>
      </c>
      <c r="B32" s="68">
        <v>7</v>
      </c>
      <c r="C32" s="68">
        <v>7</v>
      </c>
      <c r="D32" s="154"/>
      <c r="E32" s="69"/>
      <c r="L32" s="171">
        <v>318</v>
      </c>
      <c r="M32" s="156">
        <v>1</v>
      </c>
    </row>
    <row r="33" spans="1:13" ht="18" x14ac:dyDescent="0.25">
      <c r="A33" s="74">
        <v>526</v>
      </c>
      <c r="B33" s="72">
        <v>7</v>
      </c>
      <c r="C33" s="68">
        <v>7</v>
      </c>
      <c r="D33" s="154"/>
      <c r="E33" s="69"/>
      <c r="L33" s="171">
        <v>327</v>
      </c>
      <c r="M33" s="156">
        <v>1</v>
      </c>
    </row>
    <row r="34" spans="1:13" ht="18" x14ac:dyDescent="0.25">
      <c r="A34" s="71">
        <v>527</v>
      </c>
      <c r="B34" s="72">
        <v>7</v>
      </c>
      <c r="C34" s="68">
        <v>7</v>
      </c>
      <c r="D34" s="154"/>
      <c r="E34" s="69"/>
      <c r="L34" s="171">
        <v>406</v>
      </c>
      <c r="M34" s="156">
        <v>1</v>
      </c>
    </row>
    <row r="35" spans="1:13" ht="18" x14ac:dyDescent="0.25">
      <c r="A35" s="70">
        <v>528</v>
      </c>
      <c r="B35" s="72">
        <v>7</v>
      </c>
      <c r="C35" s="68">
        <v>8</v>
      </c>
      <c r="D35" s="154"/>
      <c r="E35" s="69"/>
      <c r="L35" s="171">
        <v>424</v>
      </c>
      <c r="M35" s="156">
        <v>2</v>
      </c>
    </row>
    <row r="36" spans="1:13" ht="18" x14ac:dyDescent="0.25">
      <c r="A36" s="71">
        <v>528</v>
      </c>
      <c r="B36" s="72">
        <v>7</v>
      </c>
      <c r="C36" s="68">
        <v>8</v>
      </c>
      <c r="D36" s="154"/>
      <c r="E36" s="69"/>
      <c r="L36" s="171">
        <v>425</v>
      </c>
      <c r="M36" s="156">
        <v>1</v>
      </c>
    </row>
    <row r="37" spans="1:13" ht="18" x14ac:dyDescent="0.25">
      <c r="A37" s="73">
        <v>529</v>
      </c>
      <c r="B37" s="72">
        <v>7</v>
      </c>
      <c r="C37" s="68">
        <v>8</v>
      </c>
      <c r="D37" s="154"/>
      <c r="E37" s="69"/>
      <c r="L37" s="171">
        <v>428</v>
      </c>
      <c r="M37" s="156">
        <v>1</v>
      </c>
    </row>
    <row r="38" spans="1:13" ht="18" x14ac:dyDescent="0.25">
      <c r="A38" s="70">
        <v>531</v>
      </c>
      <c r="B38" s="72">
        <v>7</v>
      </c>
      <c r="C38" s="68">
        <v>8</v>
      </c>
      <c r="D38" s="154"/>
      <c r="E38" s="69"/>
      <c r="L38" s="171">
        <v>429</v>
      </c>
      <c r="M38" s="156">
        <v>1</v>
      </c>
    </row>
    <row r="39" spans="1:13" ht="18" x14ac:dyDescent="0.25">
      <c r="A39" s="74">
        <v>606</v>
      </c>
      <c r="B39" s="72">
        <v>8</v>
      </c>
      <c r="C39" s="68">
        <v>8</v>
      </c>
      <c r="D39" s="154"/>
      <c r="E39" s="69"/>
      <c r="L39" s="171">
        <v>501</v>
      </c>
      <c r="M39" s="156">
        <v>1</v>
      </c>
    </row>
    <row r="40" spans="1:13" ht="18" x14ac:dyDescent="0.25">
      <c r="A40" s="70">
        <v>614</v>
      </c>
      <c r="B40" s="68">
        <v>8</v>
      </c>
      <c r="C40" s="68">
        <v>8</v>
      </c>
      <c r="D40" s="154"/>
      <c r="E40" s="69"/>
      <c r="L40" s="171">
        <v>506</v>
      </c>
      <c r="M40" s="156">
        <v>1</v>
      </c>
    </row>
    <row r="41" spans="1:13" ht="18" x14ac:dyDescent="0.25">
      <c r="A41" s="71">
        <v>617</v>
      </c>
      <c r="B41" s="68">
        <v>8</v>
      </c>
      <c r="C41" s="68">
        <v>8</v>
      </c>
      <c r="D41" s="154"/>
      <c r="E41" s="69"/>
      <c r="L41" s="171">
        <v>507</v>
      </c>
      <c r="M41" s="156">
        <v>1</v>
      </c>
    </row>
    <row r="42" spans="1:13" ht="18" x14ac:dyDescent="0.25">
      <c r="A42" s="71">
        <v>619</v>
      </c>
      <c r="B42" s="68">
        <v>8</v>
      </c>
      <c r="C42" s="68">
        <v>8</v>
      </c>
      <c r="D42" s="154"/>
      <c r="E42" s="69"/>
      <c r="L42" s="171">
        <v>509</v>
      </c>
      <c r="M42" s="156">
        <v>1</v>
      </c>
    </row>
    <row r="43" spans="1:13" ht="18" x14ac:dyDescent="0.25">
      <c r="A43" s="71">
        <v>621</v>
      </c>
      <c r="B43" s="68">
        <v>8</v>
      </c>
      <c r="C43" s="68">
        <v>8</v>
      </c>
      <c r="D43" s="154"/>
      <c r="E43" s="69"/>
      <c r="L43" s="171">
        <v>512</v>
      </c>
      <c r="M43" s="156">
        <v>1</v>
      </c>
    </row>
    <row r="44" spans="1:13" ht="18" x14ac:dyDescent="0.25">
      <c r="A44" s="70">
        <v>624</v>
      </c>
      <c r="B44" s="72">
        <v>8</v>
      </c>
      <c r="C44" s="68">
        <v>8</v>
      </c>
      <c r="D44" s="154"/>
      <c r="E44" s="69"/>
      <c r="L44" s="171">
        <v>519</v>
      </c>
      <c r="M44" s="156">
        <v>1</v>
      </c>
    </row>
    <row r="45" spans="1:13" ht="18" x14ac:dyDescent="0.25">
      <c r="A45" s="71">
        <v>624</v>
      </c>
      <c r="B45" s="72">
        <v>8</v>
      </c>
      <c r="C45" s="68">
        <v>8</v>
      </c>
      <c r="D45" s="154"/>
      <c r="E45" s="69"/>
      <c r="L45" s="171">
        <v>521</v>
      </c>
      <c r="M45" s="156">
        <v>1</v>
      </c>
    </row>
    <row r="46" spans="1:13" ht="18" x14ac:dyDescent="0.25">
      <c r="A46" s="73">
        <v>625</v>
      </c>
      <c r="B46" s="72">
        <v>8</v>
      </c>
      <c r="C46" s="68">
        <v>8</v>
      </c>
      <c r="D46" s="154"/>
      <c r="E46" s="69"/>
      <c r="L46" s="171">
        <v>525</v>
      </c>
      <c r="M46" s="156">
        <v>1</v>
      </c>
    </row>
    <row r="47" spans="1:13" ht="18" x14ac:dyDescent="0.25">
      <c r="A47" s="73">
        <v>625</v>
      </c>
      <c r="B47" s="72">
        <v>8</v>
      </c>
      <c r="C47" s="68">
        <v>8</v>
      </c>
      <c r="D47" s="154"/>
      <c r="E47" s="69"/>
      <c r="L47" s="171">
        <v>526</v>
      </c>
      <c r="M47" s="156">
        <v>2</v>
      </c>
    </row>
    <row r="48" spans="1:13" ht="18" x14ac:dyDescent="0.25">
      <c r="A48" s="71">
        <v>626</v>
      </c>
      <c r="B48" s="72">
        <v>8</v>
      </c>
      <c r="C48" s="68">
        <v>8</v>
      </c>
      <c r="D48" s="154"/>
      <c r="E48" s="69"/>
      <c r="L48" s="171">
        <v>527</v>
      </c>
      <c r="M48" s="156">
        <v>1</v>
      </c>
    </row>
    <row r="49" spans="1:13" ht="18" x14ac:dyDescent="0.25">
      <c r="A49" s="71">
        <v>626</v>
      </c>
      <c r="B49" s="72">
        <v>8</v>
      </c>
      <c r="C49" s="68">
        <v>8</v>
      </c>
      <c r="D49" s="154"/>
      <c r="E49" s="69"/>
      <c r="L49" s="171">
        <v>528</v>
      </c>
      <c r="M49" s="156">
        <v>2</v>
      </c>
    </row>
    <row r="50" spans="1:13" ht="18" x14ac:dyDescent="0.25">
      <c r="A50" s="70">
        <v>630</v>
      </c>
      <c r="B50" s="68">
        <v>9</v>
      </c>
      <c r="C50" s="68">
        <v>8</v>
      </c>
      <c r="D50" s="154"/>
      <c r="E50" s="69"/>
      <c r="L50" s="171">
        <v>529</v>
      </c>
      <c r="M50" s="156">
        <v>1</v>
      </c>
    </row>
    <row r="51" spans="1:13" ht="18" x14ac:dyDescent="0.25">
      <c r="A51" s="67">
        <v>630</v>
      </c>
      <c r="B51" s="68">
        <v>9</v>
      </c>
      <c r="C51" s="68">
        <v>8</v>
      </c>
      <c r="D51" s="154"/>
      <c r="E51" s="69"/>
      <c r="L51" s="171">
        <v>531</v>
      </c>
      <c r="M51" s="156">
        <v>1</v>
      </c>
    </row>
    <row r="52" spans="1:13" ht="18" x14ac:dyDescent="0.25">
      <c r="A52" s="71">
        <v>630</v>
      </c>
      <c r="B52" s="68">
        <v>9</v>
      </c>
      <c r="C52" s="72">
        <v>8</v>
      </c>
      <c r="D52" s="154"/>
      <c r="E52" s="69"/>
      <c r="L52" s="171">
        <v>606</v>
      </c>
      <c r="M52" s="156">
        <v>1</v>
      </c>
    </row>
    <row r="53" spans="1:13" ht="18" x14ac:dyDescent="0.25">
      <c r="A53" s="70">
        <v>701</v>
      </c>
      <c r="B53" s="68">
        <v>9</v>
      </c>
      <c r="C53" s="72">
        <v>8</v>
      </c>
      <c r="D53" s="154"/>
      <c r="E53" s="69"/>
      <c r="L53" s="171">
        <v>614</v>
      </c>
      <c r="M53" s="156">
        <v>1</v>
      </c>
    </row>
    <row r="54" spans="1:13" ht="18" x14ac:dyDescent="0.25">
      <c r="A54" s="71">
        <v>702</v>
      </c>
      <c r="B54" s="68">
        <v>9</v>
      </c>
      <c r="C54" s="68">
        <v>9</v>
      </c>
      <c r="D54" s="154"/>
      <c r="E54" s="69"/>
      <c r="L54" s="171">
        <v>617</v>
      </c>
      <c r="M54" s="156">
        <v>1</v>
      </c>
    </row>
    <row r="55" spans="1:13" ht="18" x14ac:dyDescent="0.25">
      <c r="A55" s="67">
        <v>702</v>
      </c>
      <c r="B55" s="68">
        <v>9</v>
      </c>
      <c r="C55" s="68">
        <v>9</v>
      </c>
      <c r="D55" s="154"/>
      <c r="E55" s="69"/>
      <c r="L55" s="171">
        <v>619</v>
      </c>
      <c r="M55" s="156">
        <v>1</v>
      </c>
    </row>
    <row r="56" spans="1:13" ht="18" x14ac:dyDescent="0.25">
      <c r="A56" s="73">
        <v>705</v>
      </c>
      <c r="B56" s="68">
        <v>9</v>
      </c>
      <c r="C56" s="68">
        <v>9</v>
      </c>
      <c r="D56" s="154"/>
      <c r="E56" s="69"/>
      <c r="L56" s="171">
        <v>621</v>
      </c>
      <c r="M56" s="156">
        <v>1</v>
      </c>
    </row>
    <row r="57" spans="1:13" ht="18" x14ac:dyDescent="0.25">
      <c r="A57" s="73">
        <v>705</v>
      </c>
      <c r="B57" s="72">
        <v>9</v>
      </c>
      <c r="C57" s="68">
        <v>9</v>
      </c>
      <c r="D57" s="154"/>
      <c r="E57" s="69"/>
      <c r="L57" s="171">
        <v>624</v>
      </c>
      <c r="M57" s="156">
        <v>2</v>
      </c>
    </row>
    <row r="58" spans="1:13" ht="18" x14ac:dyDescent="0.25">
      <c r="A58" s="70">
        <v>707</v>
      </c>
      <c r="B58" s="72">
        <v>9</v>
      </c>
      <c r="C58" s="68">
        <v>9</v>
      </c>
      <c r="D58" s="154"/>
      <c r="E58" s="69"/>
      <c r="L58" s="171">
        <v>625</v>
      </c>
      <c r="M58" s="156">
        <v>2</v>
      </c>
    </row>
    <row r="59" spans="1:13" ht="18" x14ac:dyDescent="0.25">
      <c r="A59" s="73">
        <v>710</v>
      </c>
      <c r="B59" s="72">
        <v>9</v>
      </c>
      <c r="C59" s="68">
        <v>9</v>
      </c>
      <c r="D59" s="154"/>
      <c r="E59" s="69"/>
      <c r="L59" s="171">
        <v>626</v>
      </c>
      <c r="M59" s="156">
        <v>2</v>
      </c>
    </row>
    <row r="60" spans="1:13" ht="18" x14ac:dyDescent="0.25">
      <c r="A60" s="73">
        <v>711</v>
      </c>
      <c r="B60" s="72">
        <v>9</v>
      </c>
      <c r="C60" s="68">
        <v>9</v>
      </c>
      <c r="D60" s="154"/>
      <c r="E60" s="69"/>
      <c r="L60" s="171">
        <v>630</v>
      </c>
      <c r="M60" s="156">
        <v>3</v>
      </c>
    </row>
    <row r="61" spans="1:13" ht="18" x14ac:dyDescent="0.25">
      <c r="A61" s="67">
        <v>717</v>
      </c>
      <c r="B61" s="68">
        <v>10</v>
      </c>
      <c r="C61" s="68">
        <v>9</v>
      </c>
      <c r="D61" s="154"/>
      <c r="E61" s="69"/>
      <c r="L61" s="171">
        <v>701</v>
      </c>
      <c r="M61" s="156">
        <v>1</v>
      </c>
    </row>
    <row r="62" spans="1:13" ht="18" x14ac:dyDescent="0.25">
      <c r="A62" s="70">
        <v>719</v>
      </c>
      <c r="B62" s="68">
        <v>10</v>
      </c>
      <c r="C62" s="68">
        <v>9</v>
      </c>
      <c r="D62" s="154"/>
      <c r="E62" s="69"/>
      <c r="L62" s="171">
        <v>702</v>
      </c>
      <c r="M62" s="156">
        <v>2</v>
      </c>
    </row>
    <row r="63" spans="1:13" ht="18" x14ac:dyDescent="0.25">
      <c r="A63" s="70">
        <v>719</v>
      </c>
      <c r="B63" s="68">
        <v>10</v>
      </c>
      <c r="C63" s="68">
        <v>9</v>
      </c>
      <c r="D63" s="154"/>
      <c r="E63" s="69"/>
      <c r="L63" s="171">
        <v>705</v>
      </c>
      <c r="M63" s="156">
        <v>2</v>
      </c>
    </row>
    <row r="64" spans="1:13" ht="18" x14ac:dyDescent="0.25">
      <c r="A64" s="73">
        <v>720</v>
      </c>
      <c r="B64" s="68">
        <v>10</v>
      </c>
      <c r="C64" s="68">
        <v>9</v>
      </c>
      <c r="D64" s="154"/>
      <c r="E64" s="69"/>
      <c r="L64" s="171">
        <v>707</v>
      </c>
      <c r="M64" s="156">
        <v>1</v>
      </c>
    </row>
    <row r="65" spans="1:13" ht="18" x14ac:dyDescent="0.25">
      <c r="A65" s="73">
        <v>720</v>
      </c>
      <c r="B65" s="68">
        <v>10</v>
      </c>
      <c r="C65" s="68">
        <v>9</v>
      </c>
      <c r="D65" s="154"/>
      <c r="E65" s="69"/>
      <c r="L65" s="171">
        <v>710</v>
      </c>
      <c r="M65" s="156">
        <v>1</v>
      </c>
    </row>
    <row r="66" spans="1:13" ht="18" x14ac:dyDescent="0.25">
      <c r="A66" s="71">
        <v>721</v>
      </c>
      <c r="B66" s="68">
        <v>10</v>
      </c>
      <c r="C66" s="68">
        <v>9</v>
      </c>
      <c r="D66" s="154"/>
      <c r="E66" s="69"/>
      <c r="L66" s="171">
        <v>711</v>
      </c>
      <c r="M66" s="156">
        <v>1</v>
      </c>
    </row>
    <row r="67" spans="1:13" ht="18" x14ac:dyDescent="0.25">
      <c r="A67" s="75">
        <v>722</v>
      </c>
      <c r="B67" s="68">
        <v>10</v>
      </c>
      <c r="C67" s="68">
        <v>9</v>
      </c>
      <c r="D67" s="154"/>
      <c r="E67" s="69"/>
      <c r="L67" s="171">
        <v>717</v>
      </c>
      <c r="M67" s="156">
        <v>1</v>
      </c>
    </row>
    <row r="68" spans="1:13" ht="18" x14ac:dyDescent="0.25">
      <c r="A68" s="75">
        <v>722</v>
      </c>
      <c r="B68" s="68">
        <v>10</v>
      </c>
      <c r="C68" s="72">
        <v>9</v>
      </c>
      <c r="D68" s="154"/>
      <c r="E68" s="69"/>
      <c r="L68" s="171">
        <v>719</v>
      </c>
      <c r="M68" s="156">
        <v>2</v>
      </c>
    </row>
    <row r="69" spans="1:13" ht="18" x14ac:dyDescent="0.25">
      <c r="A69" s="70">
        <v>723</v>
      </c>
      <c r="B69" s="72">
        <v>10</v>
      </c>
      <c r="C69" s="72">
        <v>9</v>
      </c>
      <c r="D69" s="154"/>
      <c r="E69" s="69"/>
      <c r="L69" s="171">
        <v>720</v>
      </c>
      <c r="M69" s="156">
        <v>2</v>
      </c>
    </row>
    <row r="70" spans="1:13" ht="18" x14ac:dyDescent="0.25">
      <c r="A70" s="70">
        <v>724</v>
      </c>
      <c r="B70" s="72">
        <v>10</v>
      </c>
      <c r="C70" s="72">
        <v>9</v>
      </c>
      <c r="D70" s="154"/>
      <c r="E70" s="69"/>
      <c r="L70" s="171">
        <v>721</v>
      </c>
      <c r="M70" s="156">
        <v>1</v>
      </c>
    </row>
    <row r="71" spans="1:13" ht="18" x14ac:dyDescent="0.25">
      <c r="A71" s="70">
        <v>726</v>
      </c>
      <c r="B71" s="72">
        <v>10</v>
      </c>
      <c r="C71" s="72">
        <v>9</v>
      </c>
      <c r="D71" s="154"/>
      <c r="E71" s="69"/>
      <c r="L71" s="171">
        <v>722</v>
      </c>
      <c r="M71" s="156">
        <v>2</v>
      </c>
    </row>
    <row r="72" spans="1:13" ht="18" x14ac:dyDescent="0.25">
      <c r="A72" s="70">
        <v>727</v>
      </c>
      <c r="B72" s="72">
        <v>10</v>
      </c>
      <c r="C72" s="72">
        <v>9</v>
      </c>
      <c r="D72" s="154"/>
      <c r="E72" s="69"/>
      <c r="L72" s="171">
        <v>723</v>
      </c>
      <c r="M72" s="156">
        <v>1</v>
      </c>
    </row>
    <row r="73" spans="1:13" ht="18" x14ac:dyDescent="0.25">
      <c r="A73" s="76">
        <v>728</v>
      </c>
      <c r="B73" s="68">
        <v>11</v>
      </c>
      <c r="C73" s="72">
        <v>10</v>
      </c>
      <c r="D73" s="154"/>
      <c r="E73" s="69"/>
      <c r="L73" s="171">
        <v>724</v>
      </c>
      <c r="M73" s="156">
        <v>1</v>
      </c>
    </row>
    <row r="74" spans="1:13" ht="18" x14ac:dyDescent="0.25">
      <c r="A74" s="71">
        <v>728</v>
      </c>
      <c r="B74" s="68">
        <v>11</v>
      </c>
      <c r="C74" s="68">
        <v>10</v>
      </c>
      <c r="D74" s="154"/>
      <c r="E74" s="69"/>
      <c r="L74" s="171">
        <v>726</v>
      </c>
      <c r="M74" s="156">
        <v>1</v>
      </c>
    </row>
    <row r="75" spans="1:13" ht="18" x14ac:dyDescent="0.25">
      <c r="A75" s="71">
        <v>731</v>
      </c>
      <c r="B75" s="68">
        <v>11</v>
      </c>
      <c r="C75" s="68">
        <v>10</v>
      </c>
      <c r="D75" s="154"/>
      <c r="E75" s="69"/>
      <c r="L75" s="171">
        <v>727</v>
      </c>
      <c r="M75" s="156">
        <v>1</v>
      </c>
    </row>
    <row r="76" spans="1:13" ht="18" x14ac:dyDescent="0.25">
      <c r="A76" s="71">
        <v>802</v>
      </c>
      <c r="B76" s="68">
        <v>11</v>
      </c>
      <c r="C76" s="68">
        <v>10</v>
      </c>
      <c r="D76" s="154"/>
      <c r="E76" s="69"/>
      <c r="L76" s="171">
        <v>728</v>
      </c>
      <c r="M76" s="156">
        <v>2</v>
      </c>
    </row>
    <row r="77" spans="1:13" ht="18" x14ac:dyDescent="0.25">
      <c r="A77" s="70">
        <v>805</v>
      </c>
      <c r="B77" s="68">
        <v>11</v>
      </c>
      <c r="C77" s="68">
        <v>10</v>
      </c>
      <c r="D77" s="154"/>
      <c r="E77" s="69"/>
      <c r="L77" s="171">
        <v>731</v>
      </c>
      <c r="M77" s="156">
        <v>1</v>
      </c>
    </row>
    <row r="78" spans="1:13" ht="18" x14ac:dyDescent="0.25">
      <c r="A78" s="74">
        <v>805</v>
      </c>
      <c r="B78" s="68">
        <v>11</v>
      </c>
      <c r="C78" s="68">
        <v>10</v>
      </c>
      <c r="D78" s="154"/>
      <c r="E78" s="69"/>
      <c r="L78" s="171">
        <v>802</v>
      </c>
      <c r="M78" s="156">
        <v>1</v>
      </c>
    </row>
    <row r="79" spans="1:13" ht="18" x14ac:dyDescent="0.25">
      <c r="A79" s="70">
        <v>809</v>
      </c>
      <c r="B79" s="68">
        <v>12</v>
      </c>
      <c r="C79" s="68">
        <v>10</v>
      </c>
      <c r="D79" s="154"/>
      <c r="E79" s="69"/>
      <c r="L79" s="171">
        <v>805</v>
      </c>
      <c r="M79" s="156">
        <v>2</v>
      </c>
    </row>
    <row r="80" spans="1:13" ht="18" x14ac:dyDescent="0.25">
      <c r="A80" s="70">
        <v>811</v>
      </c>
      <c r="B80" s="72">
        <v>12</v>
      </c>
      <c r="C80" s="68">
        <v>10</v>
      </c>
      <c r="D80" s="154"/>
      <c r="E80" s="69"/>
      <c r="L80" s="171">
        <v>809</v>
      </c>
      <c r="M80" s="156">
        <v>1</v>
      </c>
    </row>
    <row r="81" spans="1:13" ht="18" x14ac:dyDescent="0.25">
      <c r="A81" s="70">
        <v>812</v>
      </c>
      <c r="B81" s="68">
        <v>12</v>
      </c>
      <c r="C81" s="68">
        <v>10</v>
      </c>
      <c r="D81" s="154"/>
      <c r="E81" s="69"/>
      <c r="L81" s="171">
        <v>811</v>
      </c>
      <c r="M81" s="156">
        <v>1</v>
      </c>
    </row>
    <row r="82" spans="1:13" ht="18" x14ac:dyDescent="0.25">
      <c r="A82" s="70">
        <v>812</v>
      </c>
      <c r="B82" s="68"/>
      <c r="C82" s="68">
        <v>10</v>
      </c>
      <c r="D82" s="154"/>
      <c r="E82" s="69"/>
      <c r="L82" s="171">
        <v>812</v>
      </c>
      <c r="M82" s="156">
        <v>2</v>
      </c>
    </row>
    <row r="83" spans="1:13" ht="18" x14ac:dyDescent="0.25">
      <c r="A83" s="71">
        <v>813</v>
      </c>
      <c r="B83" s="155"/>
      <c r="C83" s="68">
        <v>10</v>
      </c>
      <c r="D83" s="154"/>
      <c r="E83" s="69"/>
      <c r="L83" s="171">
        <v>813</v>
      </c>
      <c r="M83" s="156">
        <v>1</v>
      </c>
    </row>
    <row r="84" spans="1:13" ht="18" x14ac:dyDescent="0.25">
      <c r="A84" s="70">
        <v>814</v>
      </c>
      <c r="B84" s="68"/>
      <c r="C84" s="68">
        <v>10</v>
      </c>
      <c r="D84" s="154"/>
      <c r="E84" s="69"/>
      <c r="L84" s="171">
        <v>814</v>
      </c>
      <c r="M84" s="156">
        <v>3</v>
      </c>
    </row>
    <row r="85" spans="1:13" ht="18" x14ac:dyDescent="0.25">
      <c r="A85" s="70">
        <v>814</v>
      </c>
      <c r="B85" s="68"/>
      <c r="C85" s="68">
        <v>10</v>
      </c>
      <c r="D85" s="154"/>
      <c r="E85" s="69"/>
      <c r="L85" s="171">
        <v>815</v>
      </c>
      <c r="M85" s="156">
        <v>2</v>
      </c>
    </row>
    <row r="86" spans="1:13" ht="18" x14ac:dyDescent="0.25">
      <c r="A86" s="71">
        <v>814</v>
      </c>
      <c r="B86" s="68"/>
      <c r="C86" s="68">
        <v>10</v>
      </c>
      <c r="D86" s="154"/>
      <c r="E86" s="69"/>
      <c r="L86" s="171">
        <v>817</v>
      </c>
      <c r="M86" s="156">
        <v>1</v>
      </c>
    </row>
    <row r="87" spans="1:13" ht="18" x14ac:dyDescent="0.25">
      <c r="A87" s="70">
        <v>815</v>
      </c>
      <c r="B87" s="68"/>
      <c r="C87" s="68">
        <v>10</v>
      </c>
      <c r="D87" s="154"/>
      <c r="E87" s="69"/>
      <c r="L87" s="171">
        <v>818</v>
      </c>
      <c r="M87" s="156">
        <v>2</v>
      </c>
    </row>
    <row r="88" spans="1:13" ht="18" x14ac:dyDescent="0.25">
      <c r="A88" s="70">
        <v>815</v>
      </c>
      <c r="B88" s="68"/>
      <c r="C88" s="68">
        <v>10</v>
      </c>
      <c r="D88" s="154"/>
      <c r="E88" s="69"/>
      <c r="L88" s="171">
        <v>819</v>
      </c>
      <c r="M88" s="156">
        <v>1</v>
      </c>
    </row>
    <row r="89" spans="1:13" ht="18" x14ac:dyDescent="0.25">
      <c r="A89" s="73">
        <v>817</v>
      </c>
      <c r="B89" s="68"/>
      <c r="C89" s="68">
        <v>10</v>
      </c>
      <c r="D89" s="154"/>
      <c r="E89" s="69"/>
      <c r="L89" s="171">
        <v>820</v>
      </c>
      <c r="M89" s="156">
        <v>2</v>
      </c>
    </row>
    <row r="90" spans="1:13" ht="18" x14ac:dyDescent="0.25">
      <c r="A90" s="71">
        <v>818</v>
      </c>
      <c r="B90" s="68"/>
      <c r="C90" s="68">
        <v>10</v>
      </c>
      <c r="D90" s="154"/>
      <c r="E90" s="69"/>
      <c r="L90" s="171">
        <v>824</v>
      </c>
      <c r="M90" s="156">
        <v>3</v>
      </c>
    </row>
    <row r="91" spans="1:13" ht="18" x14ac:dyDescent="0.25">
      <c r="A91" s="73">
        <v>818</v>
      </c>
      <c r="B91" s="68"/>
      <c r="C91" s="68">
        <v>10</v>
      </c>
      <c r="D91" s="154"/>
      <c r="E91" s="69"/>
      <c r="L91" s="171">
        <v>825</v>
      </c>
      <c r="M91" s="156">
        <v>1</v>
      </c>
    </row>
    <row r="92" spans="1:13" ht="18" x14ac:dyDescent="0.25">
      <c r="A92" s="71">
        <v>819</v>
      </c>
      <c r="B92" s="68"/>
      <c r="C92" s="72">
        <v>10</v>
      </c>
      <c r="D92" s="154"/>
      <c r="E92" s="69"/>
      <c r="L92" s="171">
        <v>826</v>
      </c>
      <c r="M92" s="156">
        <v>1</v>
      </c>
    </row>
    <row r="93" spans="1:13" ht="18" x14ac:dyDescent="0.25">
      <c r="A93" s="70">
        <v>820</v>
      </c>
      <c r="B93" s="68"/>
      <c r="C93" s="72">
        <v>10</v>
      </c>
      <c r="D93" s="154"/>
      <c r="E93" s="69"/>
      <c r="L93" s="171">
        <v>828</v>
      </c>
      <c r="M93" s="156">
        <v>3</v>
      </c>
    </row>
    <row r="94" spans="1:13" ht="18" x14ac:dyDescent="0.25">
      <c r="A94" s="71">
        <v>820</v>
      </c>
      <c r="B94" s="68"/>
      <c r="C94" s="72">
        <v>10</v>
      </c>
      <c r="D94" s="154"/>
      <c r="E94" s="69"/>
      <c r="L94" s="171">
        <v>829</v>
      </c>
      <c r="M94" s="156">
        <v>1</v>
      </c>
    </row>
    <row r="95" spans="1:13" ht="18" x14ac:dyDescent="0.25">
      <c r="A95" s="70">
        <v>824</v>
      </c>
      <c r="B95" s="68"/>
      <c r="C95" s="72">
        <v>10</v>
      </c>
      <c r="D95" s="154"/>
      <c r="E95" s="69"/>
      <c r="L95" s="171">
        <v>830</v>
      </c>
      <c r="M95" s="156">
        <v>1</v>
      </c>
    </row>
    <row r="96" spans="1:13" ht="18" x14ac:dyDescent="0.25">
      <c r="A96" s="71">
        <v>824</v>
      </c>
      <c r="B96" s="68"/>
      <c r="C96" s="68">
        <v>11</v>
      </c>
      <c r="D96" s="154"/>
      <c r="E96" s="69"/>
      <c r="L96" s="171">
        <v>831</v>
      </c>
      <c r="M96" s="156">
        <v>1</v>
      </c>
    </row>
    <row r="97" spans="1:13" ht="18" x14ac:dyDescent="0.25">
      <c r="A97" s="71">
        <v>824</v>
      </c>
      <c r="B97" s="68"/>
      <c r="C97" s="68">
        <v>11</v>
      </c>
      <c r="D97" s="154"/>
      <c r="E97" s="69"/>
      <c r="L97" s="171">
        <v>901</v>
      </c>
      <c r="M97" s="156">
        <v>2</v>
      </c>
    </row>
    <row r="98" spans="1:13" ht="18" x14ac:dyDescent="0.25">
      <c r="A98" s="71">
        <v>825</v>
      </c>
      <c r="B98" s="68"/>
      <c r="C98" s="68">
        <v>11</v>
      </c>
      <c r="D98" s="154"/>
      <c r="E98" s="69"/>
      <c r="L98" s="171">
        <v>902</v>
      </c>
      <c r="M98" s="156">
        <v>2</v>
      </c>
    </row>
    <row r="99" spans="1:13" ht="18" x14ac:dyDescent="0.25">
      <c r="A99" s="70">
        <v>826</v>
      </c>
      <c r="B99" s="68"/>
      <c r="C99" s="68">
        <v>11</v>
      </c>
      <c r="D99" s="154"/>
      <c r="L99" s="171">
        <v>903</v>
      </c>
      <c r="M99" s="156">
        <v>1</v>
      </c>
    </row>
    <row r="100" spans="1:13" ht="18" x14ac:dyDescent="0.25">
      <c r="A100" s="70">
        <v>828</v>
      </c>
      <c r="B100" s="68"/>
      <c r="C100" s="68">
        <v>11</v>
      </c>
      <c r="D100" s="154"/>
      <c r="L100" s="171">
        <v>905</v>
      </c>
      <c r="M100" s="156">
        <v>2</v>
      </c>
    </row>
    <row r="101" spans="1:13" ht="15.75" x14ac:dyDescent="0.25">
      <c r="A101" s="70">
        <v>828</v>
      </c>
      <c r="B101" s="68"/>
      <c r="C101" s="68">
        <v>11</v>
      </c>
      <c r="L101" s="171">
        <v>906</v>
      </c>
      <c r="M101" s="156">
        <v>2</v>
      </c>
    </row>
    <row r="102" spans="1:13" ht="15.75" x14ac:dyDescent="0.25">
      <c r="A102" s="70">
        <v>828</v>
      </c>
      <c r="B102" s="68"/>
      <c r="C102" s="68">
        <v>11</v>
      </c>
      <c r="L102" s="171">
        <v>908</v>
      </c>
      <c r="M102" s="156">
        <v>2</v>
      </c>
    </row>
    <row r="103" spans="1:13" ht="15.75" x14ac:dyDescent="0.25">
      <c r="A103" s="73">
        <v>829</v>
      </c>
      <c r="B103" s="68"/>
      <c r="C103" s="68">
        <v>11</v>
      </c>
      <c r="L103" s="171">
        <v>909</v>
      </c>
      <c r="M103" s="156">
        <v>1</v>
      </c>
    </row>
    <row r="104" spans="1:13" ht="15.75" x14ac:dyDescent="0.25">
      <c r="A104" s="71">
        <v>830</v>
      </c>
      <c r="B104" s="68"/>
      <c r="C104" s="68">
        <v>11</v>
      </c>
      <c r="L104" s="171">
        <v>911</v>
      </c>
      <c r="M104" s="156">
        <v>1</v>
      </c>
    </row>
    <row r="105" spans="1:13" ht="15.75" x14ac:dyDescent="0.25">
      <c r="A105" s="78">
        <v>831</v>
      </c>
      <c r="B105" s="68"/>
      <c r="C105" s="68">
        <v>12</v>
      </c>
      <c r="L105" s="171">
        <v>913</v>
      </c>
      <c r="M105" s="156">
        <v>1</v>
      </c>
    </row>
    <row r="106" spans="1:13" ht="15.75" x14ac:dyDescent="0.25">
      <c r="A106" s="78">
        <v>901</v>
      </c>
      <c r="B106" s="68"/>
      <c r="C106" s="68">
        <v>12</v>
      </c>
      <c r="L106" s="171">
        <v>914</v>
      </c>
      <c r="M106" s="156">
        <v>1</v>
      </c>
    </row>
    <row r="107" spans="1:13" ht="15.75" x14ac:dyDescent="0.25">
      <c r="A107" s="73">
        <v>901</v>
      </c>
      <c r="B107" s="68"/>
      <c r="C107" s="68">
        <v>12</v>
      </c>
      <c r="L107" s="171">
        <v>915</v>
      </c>
      <c r="M107" s="156">
        <v>1</v>
      </c>
    </row>
    <row r="108" spans="1:13" ht="15.75" x14ac:dyDescent="0.25">
      <c r="A108" s="70">
        <v>902</v>
      </c>
      <c r="B108" s="68"/>
      <c r="C108" s="72">
        <v>12</v>
      </c>
      <c r="L108" s="171">
        <v>917</v>
      </c>
      <c r="M108" s="156">
        <v>2</v>
      </c>
    </row>
    <row r="109" spans="1:13" ht="15.75" x14ac:dyDescent="0.25">
      <c r="A109" s="70">
        <v>902</v>
      </c>
      <c r="B109" s="68"/>
      <c r="C109" s="72">
        <v>12</v>
      </c>
      <c r="L109" s="171">
        <v>919</v>
      </c>
      <c r="M109" s="156">
        <v>1</v>
      </c>
    </row>
    <row r="110" spans="1:13" ht="15.75" x14ac:dyDescent="0.25">
      <c r="A110" s="70">
        <v>903</v>
      </c>
      <c r="B110" s="68"/>
      <c r="C110" s="68">
        <v>12</v>
      </c>
      <c r="L110" s="171">
        <v>920</v>
      </c>
      <c r="M110" s="156">
        <v>1</v>
      </c>
    </row>
    <row r="111" spans="1:13" ht="15.75" x14ac:dyDescent="0.25">
      <c r="A111" s="70">
        <v>905</v>
      </c>
      <c r="B111" s="68"/>
      <c r="C111" s="155"/>
      <c r="L111" s="171">
        <v>921</v>
      </c>
      <c r="M111" s="156">
        <v>1</v>
      </c>
    </row>
    <row r="112" spans="1:13" ht="15.75" x14ac:dyDescent="0.25">
      <c r="A112" s="79">
        <v>905</v>
      </c>
      <c r="B112" s="68"/>
      <c r="C112" s="155"/>
      <c r="L112" s="171">
        <v>924</v>
      </c>
      <c r="M112" s="156">
        <v>1</v>
      </c>
    </row>
    <row r="113" spans="1:13" ht="15.75" x14ac:dyDescent="0.25">
      <c r="A113" s="70">
        <v>906</v>
      </c>
      <c r="B113" s="68"/>
      <c r="C113" s="155"/>
      <c r="L113" s="171">
        <v>925</v>
      </c>
      <c r="M113" s="156">
        <v>1</v>
      </c>
    </row>
    <row r="114" spans="1:13" ht="15.75" x14ac:dyDescent="0.25">
      <c r="A114" s="73">
        <v>906</v>
      </c>
      <c r="B114" s="68"/>
      <c r="C114" s="68"/>
      <c r="L114" s="171">
        <v>927</v>
      </c>
      <c r="M114" s="156">
        <v>1</v>
      </c>
    </row>
    <row r="115" spans="1:13" ht="15.75" x14ac:dyDescent="0.25">
      <c r="A115" s="70">
        <v>908</v>
      </c>
      <c r="B115" s="68"/>
      <c r="C115" s="68"/>
      <c r="L115" s="171">
        <v>928</v>
      </c>
      <c r="M115" s="156">
        <v>3</v>
      </c>
    </row>
    <row r="116" spans="1:13" ht="15.75" x14ac:dyDescent="0.25">
      <c r="A116" s="71">
        <v>908</v>
      </c>
      <c r="B116" s="68"/>
      <c r="C116" s="68"/>
      <c r="L116" s="171">
        <v>929</v>
      </c>
      <c r="M116" s="156">
        <v>2</v>
      </c>
    </row>
    <row r="117" spans="1:13" ht="15.75" x14ac:dyDescent="0.25">
      <c r="A117" s="70">
        <v>909</v>
      </c>
      <c r="B117" s="68"/>
      <c r="C117" s="68"/>
      <c r="L117" s="171">
        <v>930</v>
      </c>
      <c r="M117" s="156">
        <v>2</v>
      </c>
    </row>
    <row r="118" spans="1:13" ht="15.75" x14ac:dyDescent="0.25">
      <c r="A118" s="71">
        <v>911</v>
      </c>
      <c r="B118" s="68"/>
      <c r="C118" s="68"/>
      <c r="L118" s="171">
        <v>1001</v>
      </c>
      <c r="M118" s="156">
        <v>1</v>
      </c>
    </row>
    <row r="119" spans="1:13" ht="15.75" x14ac:dyDescent="0.25">
      <c r="A119" s="73">
        <v>913</v>
      </c>
      <c r="B119" s="68"/>
      <c r="C119" s="68"/>
      <c r="L119" s="171">
        <v>1002</v>
      </c>
      <c r="M119" s="156">
        <v>3</v>
      </c>
    </row>
    <row r="120" spans="1:13" ht="15.75" x14ac:dyDescent="0.25">
      <c r="A120" s="70">
        <v>914</v>
      </c>
      <c r="B120" s="68"/>
      <c r="C120" s="68"/>
      <c r="L120" s="171">
        <v>1003</v>
      </c>
      <c r="M120" s="156">
        <v>4</v>
      </c>
    </row>
    <row r="121" spans="1:13" ht="15.75" x14ac:dyDescent="0.25">
      <c r="A121" s="70">
        <v>915</v>
      </c>
      <c r="B121" s="68"/>
      <c r="C121" s="68"/>
      <c r="L121" s="171">
        <v>1004</v>
      </c>
      <c r="M121" s="156">
        <v>1</v>
      </c>
    </row>
    <row r="122" spans="1:13" ht="15.75" x14ac:dyDescent="0.25">
      <c r="A122" s="74">
        <v>917</v>
      </c>
      <c r="B122" s="68"/>
      <c r="C122" s="68"/>
      <c r="L122" s="171">
        <v>1005</v>
      </c>
      <c r="M122" s="156">
        <v>3</v>
      </c>
    </row>
    <row r="123" spans="1:13" ht="15.75" x14ac:dyDescent="0.25">
      <c r="A123" s="73">
        <v>917</v>
      </c>
      <c r="B123" s="68"/>
      <c r="C123" s="68"/>
      <c r="L123" s="171">
        <v>1006</v>
      </c>
      <c r="M123" s="156">
        <v>1</v>
      </c>
    </row>
    <row r="124" spans="1:13" ht="15.75" x14ac:dyDescent="0.25">
      <c r="A124" s="70">
        <v>919</v>
      </c>
      <c r="B124" s="68"/>
      <c r="C124" s="68"/>
      <c r="L124" s="171">
        <v>1007</v>
      </c>
      <c r="M124" s="156">
        <v>2</v>
      </c>
    </row>
    <row r="125" spans="1:13" ht="15.75" x14ac:dyDescent="0.25">
      <c r="A125" s="70">
        <v>920</v>
      </c>
      <c r="B125" s="68"/>
      <c r="C125" s="68"/>
      <c r="L125" s="171">
        <v>1008</v>
      </c>
      <c r="M125" s="156">
        <v>1</v>
      </c>
    </row>
    <row r="126" spans="1:13" ht="15.75" x14ac:dyDescent="0.25">
      <c r="A126" s="71">
        <v>921</v>
      </c>
      <c r="B126" s="68"/>
      <c r="C126" s="68"/>
      <c r="L126" s="171">
        <v>1009</v>
      </c>
      <c r="M126" s="156">
        <v>1</v>
      </c>
    </row>
    <row r="127" spans="1:13" ht="15.75" x14ac:dyDescent="0.25">
      <c r="A127" s="73">
        <v>924</v>
      </c>
      <c r="B127" s="68"/>
      <c r="C127" s="68"/>
      <c r="L127" s="171">
        <v>1010</v>
      </c>
      <c r="M127" s="156">
        <v>2</v>
      </c>
    </row>
    <row r="128" spans="1:13" ht="15.75" x14ac:dyDescent="0.25">
      <c r="A128" s="71">
        <v>925</v>
      </c>
      <c r="B128" s="68"/>
      <c r="C128" s="68"/>
      <c r="L128" s="171">
        <v>1012</v>
      </c>
      <c r="M128" s="156">
        <v>1</v>
      </c>
    </row>
    <row r="129" spans="1:13" ht="15.75" x14ac:dyDescent="0.25">
      <c r="A129" s="71">
        <v>927</v>
      </c>
      <c r="B129" s="68"/>
      <c r="C129" s="68"/>
      <c r="L129" s="171">
        <v>1017</v>
      </c>
      <c r="M129" s="156">
        <v>1</v>
      </c>
    </row>
    <row r="130" spans="1:13" ht="15.75" x14ac:dyDescent="0.25">
      <c r="A130" s="70">
        <v>928</v>
      </c>
      <c r="B130" s="68"/>
      <c r="C130" s="68"/>
      <c r="L130" s="171">
        <v>1018</v>
      </c>
      <c r="M130" s="156">
        <v>2</v>
      </c>
    </row>
    <row r="131" spans="1:13" ht="15.75" x14ac:dyDescent="0.25">
      <c r="A131" s="71">
        <v>928</v>
      </c>
      <c r="B131" s="68"/>
      <c r="C131" s="68"/>
      <c r="L131" s="171">
        <v>1019</v>
      </c>
      <c r="M131" s="156">
        <v>2</v>
      </c>
    </row>
    <row r="132" spans="1:13" ht="15.75" x14ac:dyDescent="0.25">
      <c r="A132" s="70">
        <v>928</v>
      </c>
      <c r="B132" s="68"/>
      <c r="C132" s="68"/>
      <c r="L132" s="171">
        <v>1021</v>
      </c>
      <c r="M132" s="156">
        <v>1</v>
      </c>
    </row>
    <row r="133" spans="1:13" ht="15.75" x14ac:dyDescent="0.25">
      <c r="A133" s="70">
        <v>929</v>
      </c>
      <c r="B133" s="68"/>
      <c r="C133" s="68"/>
      <c r="L133" s="171">
        <v>1022</v>
      </c>
      <c r="M133" s="156">
        <v>3</v>
      </c>
    </row>
    <row r="134" spans="1:13" ht="15.75" x14ac:dyDescent="0.25">
      <c r="A134" s="70">
        <v>929</v>
      </c>
      <c r="B134" s="68"/>
      <c r="C134" s="68"/>
      <c r="L134" s="171">
        <v>1023</v>
      </c>
      <c r="M134" s="156">
        <v>1</v>
      </c>
    </row>
    <row r="135" spans="1:13" ht="15.75" x14ac:dyDescent="0.25">
      <c r="A135" s="70">
        <v>930</v>
      </c>
      <c r="B135" s="68"/>
      <c r="C135" s="68"/>
      <c r="L135" s="171">
        <v>1024</v>
      </c>
      <c r="M135" s="156">
        <v>2</v>
      </c>
    </row>
    <row r="136" spans="1:13" ht="15.75" x14ac:dyDescent="0.25">
      <c r="A136" s="67">
        <v>930</v>
      </c>
      <c r="B136" s="68"/>
      <c r="C136" s="68"/>
      <c r="L136" s="171">
        <v>1026</v>
      </c>
      <c r="M136" s="156">
        <v>1</v>
      </c>
    </row>
    <row r="137" spans="1:13" ht="15.75" x14ac:dyDescent="0.25">
      <c r="A137" s="71">
        <v>1001</v>
      </c>
      <c r="B137" s="68"/>
      <c r="C137" s="68"/>
      <c r="L137" s="171">
        <v>1029</v>
      </c>
      <c r="M137" s="156">
        <v>2</v>
      </c>
    </row>
    <row r="138" spans="1:13" ht="15.75" x14ac:dyDescent="0.25">
      <c r="A138" s="70">
        <v>1002</v>
      </c>
      <c r="B138" s="68"/>
      <c r="C138" s="68"/>
      <c r="L138" s="171">
        <v>1030</v>
      </c>
      <c r="M138" s="156">
        <v>2</v>
      </c>
    </row>
    <row r="139" spans="1:13" ht="15.75" x14ac:dyDescent="0.25">
      <c r="A139" s="71">
        <v>1002</v>
      </c>
      <c r="B139" s="68"/>
      <c r="C139" s="68"/>
      <c r="L139" s="171">
        <v>1102</v>
      </c>
      <c r="M139" s="156">
        <v>2</v>
      </c>
    </row>
    <row r="140" spans="1:13" ht="15.75" x14ac:dyDescent="0.25">
      <c r="A140" s="73">
        <v>1002</v>
      </c>
      <c r="B140" s="68"/>
      <c r="C140" s="68"/>
      <c r="L140" s="171">
        <v>1103</v>
      </c>
      <c r="M140" s="156">
        <v>1</v>
      </c>
    </row>
    <row r="141" spans="1:13" ht="15.75" x14ac:dyDescent="0.25">
      <c r="A141" s="71">
        <v>1003</v>
      </c>
      <c r="B141" s="68"/>
      <c r="C141" s="68"/>
      <c r="L141" s="171">
        <v>1104</v>
      </c>
      <c r="M141" s="156">
        <v>1</v>
      </c>
    </row>
    <row r="142" spans="1:13" ht="15.75" x14ac:dyDescent="0.25">
      <c r="A142" s="73">
        <v>1003</v>
      </c>
      <c r="B142" s="68"/>
      <c r="C142" s="68"/>
      <c r="L142" s="171">
        <v>1105</v>
      </c>
      <c r="M142" s="156">
        <v>1</v>
      </c>
    </row>
    <row r="143" spans="1:13" ht="15.75" x14ac:dyDescent="0.25">
      <c r="A143" s="73">
        <v>1003</v>
      </c>
      <c r="B143" s="68"/>
      <c r="C143" s="68"/>
      <c r="L143" s="171">
        <v>1110</v>
      </c>
      <c r="M143" s="156">
        <v>1</v>
      </c>
    </row>
    <row r="144" spans="1:13" ht="15.75" x14ac:dyDescent="0.25">
      <c r="A144" s="73">
        <v>1003</v>
      </c>
      <c r="B144" s="68"/>
      <c r="C144" s="68"/>
      <c r="L144" s="171">
        <v>1111</v>
      </c>
      <c r="M144" s="156">
        <v>3</v>
      </c>
    </row>
    <row r="145" spans="1:13" ht="15.75" x14ac:dyDescent="0.25">
      <c r="A145" s="70">
        <v>1004</v>
      </c>
      <c r="B145" s="68"/>
      <c r="C145" s="68"/>
      <c r="L145" s="171">
        <v>1114</v>
      </c>
      <c r="M145" s="156">
        <v>1</v>
      </c>
    </row>
    <row r="146" spans="1:13" ht="15.75" x14ac:dyDescent="0.25">
      <c r="A146" s="70">
        <v>1005</v>
      </c>
      <c r="B146" s="68"/>
      <c r="C146" s="68"/>
      <c r="L146" s="171">
        <v>1115</v>
      </c>
      <c r="M146" s="156">
        <v>1</v>
      </c>
    </row>
    <row r="147" spans="1:13" ht="15.75" x14ac:dyDescent="0.25">
      <c r="A147" s="70">
        <v>1005</v>
      </c>
      <c r="B147" s="68"/>
      <c r="C147" s="68"/>
      <c r="L147" s="171">
        <v>1122</v>
      </c>
      <c r="M147" s="156">
        <v>1</v>
      </c>
    </row>
    <row r="148" spans="1:13" ht="15.75" x14ac:dyDescent="0.25">
      <c r="A148" s="70">
        <v>1005</v>
      </c>
      <c r="B148" s="68"/>
      <c r="C148" s="68"/>
      <c r="L148" s="171">
        <v>1128</v>
      </c>
      <c r="M148" s="156">
        <v>1</v>
      </c>
    </row>
    <row r="149" spans="1:13" ht="15.75" x14ac:dyDescent="0.25">
      <c r="A149" s="73">
        <v>1006</v>
      </c>
      <c r="B149" s="68"/>
      <c r="C149" s="68"/>
      <c r="L149" s="171">
        <v>1129</v>
      </c>
      <c r="M149" s="156">
        <v>2</v>
      </c>
    </row>
    <row r="150" spans="1:13" ht="15.75" x14ac:dyDescent="0.25">
      <c r="A150" s="67">
        <v>1007</v>
      </c>
      <c r="B150" s="68"/>
      <c r="C150" s="68"/>
      <c r="L150" s="171">
        <v>1204</v>
      </c>
      <c r="M150" s="156">
        <v>1</v>
      </c>
    </row>
    <row r="151" spans="1:13" ht="15.75" x14ac:dyDescent="0.25">
      <c r="A151" s="71">
        <v>1007</v>
      </c>
      <c r="B151" s="68"/>
      <c r="C151" s="68"/>
      <c r="L151" s="171">
        <v>1206</v>
      </c>
      <c r="M151" s="156">
        <v>2</v>
      </c>
    </row>
    <row r="152" spans="1:13" ht="15.75" x14ac:dyDescent="0.25">
      <c r="A152" s="70">
        <v>1008</v>
      </c>
      <c r="B152" s="68"/>
      <c r="C152" s="68"/>
      <c r="L152" s="171">
        <v>1207</v>
      </c>
      <c r="M152" s="156">
        <v>1</v>
      </c>
    </row>
    <row r="153" spans="1:13" ht="15.75" x14ac:dyDescent="0.25">
      <c r="A153" s="70">
        <v>1009</v>
      </c>
      <c r="B153" s="68"/>
      <c r="C153" s="68"/>
      <c r="L153" s="171">
        <v>1209</v>
      </c>
      <c r="M153" s="156">
        <v>1</v>
      </c>
    </row>
    <row r="154" spans="1:13" ht="15.75" x14ac:dyDescent="0.25">
      <c r="A154" s="70">
        <v>1010</v>
      </c>
      <c r="B154" s="68"/>
      <c r="C154" s="68"/>
      <c r="L154" s="171">
        <v>1210</v>
      </c>
      <c r="M154" s="156">
        <v>1</v>
      </c>
    </row>
    <row r="155" spans="1:13" ht="15.75" x14ac:dyDescent="0.25">
      <c r="A155" s="71">
        <v>1010</v>
      </c>
      <c r="B155" s="68"/>
      <c r="C155" s="68"/>
      <c r="L155" s="171">
        <v>1219</v>
      </c>
      <c r="M155" s="156">
        <v>1</v>
      </c>
    </row>
    <row r="156" spans="1:13" ht="15.75" x14ac:dyDescent="0.25">
      <c r="A156" s="70">
        <v>1012</v>
      </c>
      <c r="B156" s="68"/>
      <c r="C156" s="68"/>
      <c r="L156" s="171">
        <v>1221</v>
      </c>
      <c r="M156" s="156">
        <v>1</v>
      </c>
    </row>
    <row r="157" spans="1:13" ht="15.75" x14ac:dyDescent="0.25">
      <c r="A157" s="70">
        <v>1017</v>
      </c>
      <c r="B157" s="68"/>
      <c r="C157" s="68"/>
      <c r="L157" s="171">
        <v>1228</v>
      </c>
      <c r="M157" s="156">
        <v>1</v>
      </c>
    </row>
    <row r="158" spans="1:13" ht="15.75" x14ac:dyDescent="0.25">
      <c r="A158" s="70">
        <v>1018</v>
      </c>
      <c r="B158" s="68"/>
      <c r="C158" s="68"/>
      <c r="L158" s="171">
        <v>1230</v>
      </c>
      <c r="M158" s="156">
        <v>2</v>
      </c>
    </row>
    <row r="159" spans="1:13" ht="15.75" x14ac:dyDescent="0.25">
      <c r="A159" s="70">
        <v>1018</v>
      </c>
      <c r="B159" s="68"/>
      <c r="C159" s="68"/>
      <c r="L159" s="171" t="s">
        <v>626</v>
      </c>
      <c r="M159" s="156"/>
    </row>
    <row r="160" spans="1:13" ht="15.75" x14ac:dyDescent="0.25">
      <c r="A160" s="71">
        <v>1019</v>
      </c>
      <c r="B160" s="68"/>
      <c r="C160" s="68"/>
      <c r="L160" s="171" t="s">
        <v>627</v>
      </c>
      <c r="M160" s="156">
        <v>197</v>
      </c>
    </row>
    <row r="161" spans="1:3" ht="15.75" x14ac:dyDescent="0.25">
      <c r="A161" s="73">
        <v>1019</v>
      </c>
      <c r="B161" s="68"/>
      <c r="C161" s="68"/>
    </row>
    <row r="162" spans="1:3" ht="15.75" x14ac:dyDescent="0.25">
      <c r="A162" s="71">
        <v>1021</v>
      </c>
      <c r="B162" s="68"/>
      <c r="C162" s="68"/>
    </row>
    <row r="163" spans="1:3" ht="15.75" x14ac:dyDescent="0.25">
      <c r="A163" s="74">
        <v>1022</v>
      </c>
      <c r="B163" s="68"/>
      <c r="C163" s="68"/>
    </row>
    <row r="164" spans="1:3" ht="15.75" x14ac:dyDescent="0.25">
      <c r="A164" s="70">
        <v>1022</v>
      </c>
      <c r="B164" s="68"/>
      <c r="C164" s="68"/>
    </row>
    <row r="165" spans="1:3" ht="15.75" x14ac:dyDescent="0.25">
      <c r="A165" s="70">
        <v>1022</v>
      </c>
      <c r="B165" s="68"/>
      <c r="C165" s="68"/>
    </row>
    <row r="166" spans="1:3" ht="15.75" x14ac:dyDescent="0.25">
      <c r="A166" s="70">
        <v>1023</v>
      </c>
      <c r="B166" s="68"/>
      <c r="C166" s="68"/>
    </row>
    <row r="167" spans="1:3" ht="15.75" x14ac:dyDescent="0.25">
      <c r="A167" s="71">
        <v>1024</v>
      </c>
      <c r="B167" s="68"/>
      <c r="C167" s="68"/>
    </row>
    <row r="168" spans="1:3" ht="15.75" x14ac:dyDescent="0.25">
      <c r="A168" s="71">
        <v>1024</v>
      </c>
      <c r="B168" s="68"/>
      <c r="C168" s="68"/>
    </row>
    <row r="169" spans="1:3" ht="15.75" x14ac:dyDescent="0.25">
      <c r="A169" s="71">
        <v>1026</v>
      </c>
      <c r="B169" s="68"/>
      <c r="C169" s="68"/>
    </row>
    <row r="170" spans="1:3" ht="15.75" x14ac:dyDescent="0.25">
      <c r="A170" s="70">
        <v>1029</v>
      </c>
      <c r="B170" s="68"/>
      <c r="C170" s="68"/>
    </row>
    <row r="171" spans="1:3" ht="15.75" x14ac:dyDescent="0.25">
      <c r="A171" s="71">
        <v>1029</v>
      </c>
      <c r="B171" s="68"/>
      <c r="C171" s="68"/>
    </row>
    <row r="172" spans="1:3" ht="15.75" x14ac:dyDescent="0.25">
      <c r="A172" s="71">
        <v>1030</v>
      </c>
      <c r="B172" s="68"/>
      <c r="C172" s="68"/>
    </row>
    <row r="173" spans="1:3" ht="15.75" x14ac:dyDescent="0.25">
      <c r="A173" s="70">
        <v>1030</v>
      </c>
      <c r="B173" s="68"/>
      <c r="C173" s="68"/>
    </row>
    <row r="174" spans="1:3" ht="15.75" x14ac:dyDescent="0.25">
      <c r="A174" s="71">
        <v>1102</v>
      </c>
      <c r="B174" s="68"/>
      <c r="C174" s="68"/>
    </row>
    <row r="175" spans="1:3" ht="15.75" x14ac:dyDescent="0.25">
      <c r="A175" s="71">
        <v>1102</v>
      </c>
      <c r="B175" s="68"/>
      <c r="C175" s="68"/>
    </row>
    <row r="176" spans="1:3" ht="15.75" x14ac:dyDescent="0.25">
      <c r="A176" s="70">
        <v>1103</v>
      </c>
      <c r="B176" s="68"/>
      <c r="C176" s="68"/>
    </row>
    <row r="177" spans="1:3" ht="15.75" x14ac:dyDescent="0.25">
      <c r="A177" s="71">
        <v>1104</v>
      </c>
      <c r="B177" s="68"/>
      <c r="C177" s="68"/>
    </row>
    <row r="178" spans="1:3" ht="15.75" x14ac:dyDescent="0.25">
      <c r="A178" s="71">
        <v>1105</v>
      </c>
      <c r="B178" s="68"/>
      <c r="C178" s="68"/>
    </row>
    <row r="179" spans="1:3" ht="15.75" x14ac:dyDescent="0.25">
      <c r="A179" s="74">
        <v>1110</v>
      </c>
      <c r="B179" s="68"/>
      <c r="C179" s="68"/>
    </row>
    <row r="180" spans="1:3" ht="15.75" x14ac:dyDescent="0.25">
      <c r="A180" s="70">
        <v>1111</v>
      </c>
      <c r="B180" s="68"/>
      <c r="C180" s="68"/>
    </row>
    <row r="181" spans="1:3" ht="15.75" x14ac:dyDescent="0.25">
      <c r="A181" s="67">
        <v>1111</v>
      </c>
      <c r="B181" s="68"/>
      <c r="C181" s="68"/>
    </row>
    <row r="182" spans="1:3" ht="15.75" x14ac:dyDescent="0.25">
      <c r="A182" s="71">
        <v>1111</v>
      </c>
      <c r="B182" s="68"/>
      <c r="C182" s="68"/>
    </row>
    <row r="183" spans="1:3" ht="15.75" x14ac:dyDescent="0.25">
      <c r="A183" s="70">
        <v>1114</v>
      </c>
      <c r="B183" s="68"/>
      <c r="C183" s="68"/>
    </row>
    <row r="184" spans="1:3" ht="15.75" x14ac:dyDescent="0.25">
      <c r="A184" s="70">
        <v>1115</v>
      </c>
      <c r="B184" s="68"/>
      <c r="C184" s="68"/>
    </row>
    <row r="185" spans="1:3" ht="15.75" x14ac:dyDescent="0.25">
      <c r="A185" s="71">
        <v>1122</v>
      </c>
      <c r="B185" s="68"/>
      <c r="C185" s="68"/>
    </row>
    <row r="186" spans="1:3" ht="15.75" x14ac:dyDescent="0.25">
      <c r="A186" s="70">
        <v>1128</v>
      </c>
      <c r="B186" s="68"/>
      <c r="C186" s="68"/>
    </row>
    <row r="187" spans="1:3" ht="15.75" x14ac:dyDescent="0.25">
      <c r="A187" s="67">
        <v>1129</v>
      </c>
      <c r="B187" s="68"/>
      <c r="C187" s="68"/>
    </row>
    <row r="188" spans="1:3" ht="15.75" x14ac:dyDescent="0.25">
      <c r="A188" s="70">
        <v>1129</v>
      </c>
      <c r="B188" s="68"/>
    </row>
    <row r="189" spans="1:3" ht="15.75" x14ac:dyDescent="0.25">
      <c r="A189" s="70">
        <v>1204</v>
      </c>
      <c r="B189" s="68"/>
    </row>
    <row r="190" spans="1:3" ht="15.75" x14ac:dyDescent="0.25">
      <c r="A190" s="70">
        <v>1206</v>
      </c>
    </row>
    <row r="191" spans="1:3" ht="15.75" x14ac:dyDescent="0.25">
      <c r="A191" s="70">
        <v>1206</v>
      </c>
    </row>
    <row r="192" spans="1:3" ht="15.75" x14ac:dyDescent="0.25">
      <c r="A192" s="70">
        <v>1207</v>
      </c>
    </row>
    <row r="193" spans="1:1" ht="15.75" x14ac:dyDescent="0.25">
      <c r="A193" s="70">
        <v>1209</v>
      </c>
    </row>
    <row r="194" spans="1:1" ht="15.75" x14ac:dyDescent="0.25">
      <c r="A194" s="71">
        <v>1210</v>
      </c>
    </row>
    <row r="195" spans="1:1" ht="15.75" x14ac:dyDescent="0.25">
      <c r="A195" s="70">
        <v>1219</v>
      </c>
    </row>
    <row r="196" spans="1:1" ht="15.75" x14ac:dyDescent="0.25">
      <c r="A196" s="70">
        <v>1221</v>
      </c>
    </row>
    <row r="197" spans="1:1" ht="15.75" x14ac:dyDescent="0.25">
      <c r="A197" s="70">
        <v>1222</v>
      </c>
    </row>
    <row r="198" spans="1:1" ht="15.75" x14ac:dyDescent="0.25">
      <c r="A198" s="70">
        <v>1224</v>
      </c>
    </row>
    <row r="199" spans="1:1" x14ac:dyDescent="0.25">
      <c r="A199" s="73">
        <v>1228</v>
      </c>
    </row>
    <row r="200" spans="1:1" ht="15.75" x14ac:dyDescent="0.25">
      <c r="A200" s="71">
        <v>1230</v>
      </c>
    </row>
    <row r="201" spans="1:1" ht="15.75" x14ac:dyDescent="0.25">
      <c r="A201" s="71">
        <v>1230</v>
      </c>
    </row>
  </sheetData>
  <mergeCells count="1">
    <mergeCell ref="B1:D1"/>
  </mergeCell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1B6D3-A113-408A-AC7F-9173380B1B9C}">
  <dimension ref="A1:M208"/>
  <sheetViews>
    <sheetView topLeftCell="D1" workbookViewId="0">
      <selection activeCell="P21" sqref="P21"/>
    </sheetView>
  </sheetViews>
  <sheetFormatPr defaultRowHeight="15.75" x14ac:dyDescent="0.25"/>
  <cols>
    <col min="1" max="1" width="9.140625" style="11"/>
    <col min="2" max="2" width="12.7109375" style="11" bestFit="1" customWidth="1"/>
    <col min="3" max="3" width="10.5703125" style="11" bestFit="1" customWidth="1"/>
    <col min="4" max="4" width="9.140625" style="11"/>
    <col min="12" max="12" width="15.42578125" bestFit="1" customWidth="1"/>
  </cols>
  <sheetData>
    <row r="1" spans="1:13" x14ac:dyDescent="0.25">
      <c r="A1" s="14" t="s">
        <v>440</v>
      </c>
      <c r="B1" s="15" t="s">
        <v>0</v>
      </c>
      <c r="C1" s="15" t="s">
        <v>522</v>
      </c>
      <c r="D1" s="16" t="s">
        <v>4</v>
      </c>
    </row>
    <row r="2" spans="1:13" x14ac:dyDescent="0.25">
      <c r="A2" s="18">
        <v>1</v>
      </c>
      <c r="B2" s="19">
        <v>18544</v>
      </c>
      <c r="C2" s="127">
        <v>0.5</v>
      </c>
      <c r="D2" s="3" t="s">
        <v>14</v>
      </c>
      <c r="G2" t="s">
        <v>527</v>
      </c>
      <c r="H2" t="s">
        <v>528</v>
      </c>
      <c r="I2" t="s">
        <v>357</v>
      </c>
      <c r="J2" t="s">
        <v>358</v>
      </c>
      <c r="K2" t="s">
        <v>359</v>
      </c>
      <c r="L2" t="s">
        <v>697</v>
      </c>
      <c r="M2" t="s">
        <v>374</v>
      </c>
    </row>
    <row r="3" spans="1:13" x14ac:dyDescent="0.25">
      <c r="A3" s="18">
        <v>2</v>
      </c>
      <c r="B3" s="19">
        <v>19141</v>
      </c>
      <c r="C3" s="127">
        <v>0.58333333333333337</v>
      </c>
      <c r="D3" s="3" t="s">
        <v>19</v>
      </c>
      <c r="G3" s="134">
        <v>0</v>
      </c>
      <c r="H3">
        <f>COUNTIFS($C:C,"&gt;=00:00",$C:C,"&lt;01:00")</f>
        <v>0</v>
      </c>
      <c r="I3">
        <f>COUNTIFS(C:C,"&gt;=00:00",C:C,"&lt;01:00",D:D,"fatal")</f>
        <v>0</v>
      </c>
      <c r="J3">
        <f>COUNTIFS(C:C,"&gt;=00:00",C:C,"&lt;01:00",D:D,"Major")</f>
        <v>0</v>
      </c>
      <c r="K3">
        <f>COUNTIFS(C:C,"&gt;=00:00",C:C,"&lt;01:00",D:D,"Minor")</f>
        <v>0</v>
      </c>
      <c r="L3">
        <f>J3+K3</f>
        <v>0</v>
      </c>
      <c r="M3">
        <f>COUNTIFS(C:C,"&gt;=00:00",C:C,"&lt;01:00",D:D,"none")</f>
        <v>0</v>
      </c>
    </row>
    <row r="4" spans="1:13" x14ac:dyDescent="0.25">
      <c r="A4" s="18">
        <v>3</v>
      </c>
      <c r="B4" s="19">
        <v>19335</v>
      </c>
      <c r="C4" s="127">
        <v>0.58333333333333337</v>
      </c>
      <c r="D4" s="3" t="s">
        <v>23</v>
      </c>
      <c r="G4" s="134">
        <v>4.1666666666666664E-2</v>
      </c>
      <c r="H4">
        <f>COUNTIFS(C:C,"&gt;=01:00",C:C,"&lt;02:00")</f>
        <v>0</v>
      </c>
      <c r="I4">
        <f>COUNTIFS(C:C,"&gt;=01:00",C:C,"&lt;02:00",D:D,"fatal")</f>
        <v>0</v>
      </c>
      <c r="J4">
        <f>COUNTIFS(C:C,"&gt;=01:00",C:C,"&lt;02:00",D:D,"major")</f>
        <v>0</v>
      </c>
      <c r="K4">
        <f>COUNTIFS(C:C,"&gt;=01:00",C:C,"&lt;02:00",D:D,"minor")</f>
        <v>0</v>
      </c>
      <c r="L4">
        <f t="shared" ref="L4:L26" si="0">J4+K4</f>
        <v>0</v>
      </c>
      <c r="M4">
        <f>COUNTIFS(C:C,"&gt;=01:00",C:C,"&lt;02:00",D:D,"none")</f>
        <v>0</v>
      </c>
    </row>
    <row r="5" spans="1:13" x14ac:dyDescent="0.25">
      <c r="A5" s="18">
        <v>4</v>
      </c>
      <c r="B5" s="19">
        <v>20126</v>
      </c>
      <c r="C5" s="127">
        <v>0.5</v>
      </c>
      <c r="D5" s="3" t="s">
        <v>19</v>
      </c>
      <c r="G5" s="134">
        <v>8.3333333333333329E-2</v>
      </c>
      <c r="H5">
        <f>COUNTIFS(C:C,"&gt;=02:00",C:C,"&lt;03:00")</f>
        <v>0</v>
      </c>
      <c r="I5">
        <f>COUNTIFS(C:C,"&gt;=02:00",C:C,"&lt;03:00",D:D,"fatal")</f>
        <v>0</v>
      </c>
      <c r="J5">
        <f>COUNTIFS(C:C,"&gt;=02:00",C:C,"&lt;03:00",D:D,"major")</f>
        <v>0</v>
      </c>
      <c r="K5">
        <f>COUNTIFS(C:C,"&gt;=02:00",C:C,"&lt;03:00",D:D,"minor")</f>
        <v>0</v>
      </c>
      <c r="L5">
        <f t="shared" si="0"/>
        <v>0</v>
      </c>
      <c r="M5">
        <f>COUNTIFS(C:C,"&gt;=02:00",C:C,"&lt;03:00",D:D,"none")</f>
        <v>0</v>
      </c>
    </row>
    <row r="6" spans="1:13" x14ac:dyDescent="0.25">
      <c r="A6" s="18">
        <v>5</v>
      </c>
      <c r="B6" s="19">
        <v>20681</v>
      </c>
      <c r="C6" s="127">
        <v>0.6875</v>
      </c>
      <c r="D6" s="3" t="s">
        <v>14</v>
      </c>
      <c r="G6" s="134">
        <v>0.125</v>
      </c>
      <c r="H6">
        <f>COUNTIFS(C:C,"&gt;=03:00",C:C,"&lt;04:00")</f>
        <v>0</v>
      </c>
      <c r="I6">
        <f>COUNTIFS(C:C,"&gt;=03:00",C:C,"&lt;04:00",D:D,"fatal")</f>
        <v>0</v>
      </c>
      <c r="J6">
        <f>COUNTIFS(C:C,"&gt;=03:00",C:C,"&lt;04:00",D:D,"major")</f>
        <v>0</v>
      </c>
      <c r="K6">
        <f>COUNTIFS(C:C,"&gt;=03:00",C:C,"&lt;04:00",D:D,"minor")</f>
        <v>0</v>
      </c>
      <c r="L6">
        <f t="shared" si="0"/>
        <v>0</v>
      </c>
      <c r="M6">
        <f>COUNTIFS(C:C,"&gt;=03:00",C:C,"&lt;04:00",D:D,"none")</f>
        <v>0</v>
      </c>
    </row>
    <row r="7" spans="1:13" x14ac:dyDescent="0.25">
      <c r="A7" s="18">
        <v>6</v>
      </c>
      <c r="B7" s="19">
        <v>20938</v>
      </c>
      <c r="C7" s="127">
        <v>0.5625</v>
      </c>
      <c r="D7" s="3" t="s">
        <v>23</v>
      </c>
      <c r="G7" s="134">
        <v>0.16666666666666666</v>
      </c>
      <c r="H7">
        <f>COUNTIFS(C:C,"&gt;=04:00",C:C,"&lt;05:00")</f>
        <v>0</v>
      </c>
      <c r="I7">
        <f>COUNTIFS(C:C,"&gt;=04:00",C:C,"&lt;05:00",D:D,"fatal")</f>
        <v>0</v>
      </c>
      <c r="J7">
        <f>COUNTIFS(C:C,"&gt;=04:00",C:C,"&lt;05:00",D:D,"major")</f>
        <v>0</v>
      </c>
      <c r="K7">
        <f>COUNTIFS(C:C,"&gt;=04:00",C:C,"&lt;05:00",D:D,"minor")</f>
        <v>0</v>
      </c>
      <c r="L7">
        <f t="shared" si="0"/>
        <v>0</v>
      </c>
      <c r="M7">
        <f>COUNTIFS(C:C,"&gt;=04:00",C:C,"&lt;05:00",D:D,"none")</f>
        <v>0</v>
      </c>
    </row>
    <row r="8" spans="1:13" x14ac:dyDescent="0.25">
      <c r="A8" s="18">
        <v>7</v>
      </c>
      <c r="B8" s="19">
        <v>21470</v>
      </c>
      <c r="C8" s="127" t="s">
        <v>102</v>
      </c>
      <c r="D8" s="3" t="s">
        <v>14</v>
      </c>
      <c r="G8" s="134">
        <v>0.20833333333333334</v>
      </c>
      <c r="H8">
        <f>COUNTIFS(C:C,"&gt;=05:00",C:C,"&lt;06:00")</f>
        <v>0</v>
      </c>
      <c r="I8">
        <f>COUNTIFS(C:C,"&gt;=05:00",C:C,"&lt;06:00",D:D,"fatal")</f>
        <v>0</v>
      </c>
      <c r="J8">
        <f>COUNTIFS(C:C,"&gt;=05:00",C:C,"&lt;06:00",D:D,"major")</f>
        <v>0</v>
      </c>
      <c r="K8">
        <f>COUNTIFS(C:C,"&gt;=05:00",C:C,"&lt;06:00",D:D,"minor")</f>
        <v>0</v>
      </c>
      <c r="L8">
        <f t="shared" si="0"/>
        <v>0</v>
      </c>
      <c r="M8">
        <f>COUNTIFS(C:C,"&gt;=05:00",C:C,"&lt;06:00",D:D,"none")</f>
        <v>0</v>
      </c>
    </row>
    <row r="9" spans="1:13" x14ac:dyDescent="0.25">
      <c r="A9" s="18">
        <v>8</v>
      </c>
      <c r="B9" s="19">
        <v>21677</v>
      </c>
      <c r="C9" s="127">
        <v>0.72916666666666663</v>
      </c>
      <c r="D9" s="3" t="s">
        <v>23</v>
      </c>
      <c r="G9" s="134">
        <v>0.25</v>
      </c>
      <c r="H9">
        <f>COUNTIFS(C:C,"&gt;=06:00",C:C,"&lt;07:00")</f>
        <v>1</v>
      </c>
      <c r="I9">
        <f>COUNTIFS(C:C,"&gt;=06:00",C:C,"&lt;07:00",D:D,"fatal")</f>
        <v>0</v>
      </c>
      <c r="J9">
        <f>COUNTIFS(C:C,"&gt;=06:00",C:C,"&lt;07:00",D:D,"major")</f>
        <v>0</v>
      </c>
      <c r="K9">
        <f>COUNTIFS(C:C,"&gt;=06:00",C:C,"&lt;07:00",D:D,"minor")</f>
        <v>1</v>
      </c>
      <c r="L9">
        <f t="shared" si="0"/>
        <v>1</v>
      </c>
      <c r="M9">
        <f>COUNTIFS(C:C,"&gt;=06:00",C:C,"&lt;07:00",D:D,"none")</f>
        <v>0</v>
      </c>
    </row>
    <row r="10" spans="1:13" x14ac:dyDescent="0.25">
      <c r="A10" s="18">
        <v>9</v>
      </c>
      <c r="B10" s="19">
        <v>21715</v>
      </c>
      <c r="C10" s="127">
        <v>0.70833333333333337</v>
      </c>
      <c r="D10" s="3" t="s">
        <v>23</v>
      </c>
      <c r="G10" s="134">
        <v>0.29166666666666669</v>
      </c>
      <c r="H10">
        <f>COUNTIFS(C:C,"&gt;=07:00",C:C,"&lt;08:00")</f>
        <v>16</v>
      </c>
      <c r="I10">
        <f>COUNTIFS(C:C,"&gt;=07:00",C:C,"&lt;08:00",D:D,"fatal")</f>
        <v>1</v>
      </c>
      <c r="J10">
        <f>COUNTIFS(C:C,"&gt;=07:00",C:C,"&lt;08:00",D:D,"major")</f>
        <v>4</v>
      </c>
      <c r="K10">
        <f>COUNTIFS(C:C,"&gt;=07:00",C:C,"&lt;08:00",D:D,"minor")</f>
        <v>2</v>
      </c>
      <c r="L10">
        <f t="shared" si="0"/>
        <v>6</v>
      </c>
      <c r="M10">
        <f>COUNTIFS(C:C,"&gt;=07:00",C:C,"&lt;08:00",D:D,"none")</f>
        <v>9</v>
      </c>
    </row>
    <row r="11" spans="1:13" x14ac:dyDescent="0.25">
      <c r="A11" s="89">
        <v>10</v>
      </c>
      <c r="B11" s="82">
        <v>21759</v>
      </c>
      <c r="C11" s="128">
        <v>0.8125</v>
      </c>
      <c r="D11" s="81" t="s">
        <v>19</v>
      </c>
      <c r="G11" s="134">
        <v>0.33333333333333331</v>
      </c>
      <c r="H11">
        <f>COUNTIFS(C:C,"&gt;=08:00",C:C,"&lt;09:00")</f>
        <v>10</v>
      </c>
      <c r="I11">
        <f>COUNTIFS(C:C,"&gt;=08:00",C:C,"&lt;09:00",D:D,"fatal")</f>
        <v>2</v>
      </c>
      <c r="J11">
        <f>COUNTIFS(C:C,"&gt;=08:00",C:C,"&lt;09:00",D:D,"major")</f>
        <v>1</v>
      </c>
      <c r="K11">
        <f>COUNTIFS(C:C,"&gt;=08:00",C:C,"&lt;09:00",D:D,"minor")</f>
        <v>2</v>
      </c>
      <c r="L11">
        <f t="shared" si="0"/>
        <v>3</v>
      </c>
      <c r="M11">
        <f>COUNTIFS(C:C,"&gt;=08:00",C:C,"&lt;09:00",D:D,"none")</f>
        <v>5</v>
      </c>
    </row>
    <row r="12" spans="1:13" x14ac:dyDescent="0.25">
      <c r="A12" s="18">
        <v>11</v>
      </c>
      <c r="B12" s="19">
        <v>21827</v>
      </c>
      <c r="C12" s="127">
        <v>0.625</v>
      </c>
      <c r="D12" s="3" t="s">
        <v>44</v>
      </c>
      <c r="G12" s="134">
        <v>0.375</v>
      </c>
      <c r="H12">
        <f>COUNTIFS(C:C,"&gt;=09:00",C:C,"&lt;10:00")</f>
        <v>18</v>
      </c>
      <c r="I12">
        <f>COUNTIFS(C:C,"&gt;=09:00",C:C,"&lt;10:00",D:D,"fatal")</f>
        <v>2</v>
      </c>
      <c r="J12">
        <f>COUNTIFS(C:C,"&gt;=09:00",C:C,"&lt;10:00",D:D,"major")</f>
        <v>7</v>
      </c>
      <c r="K12">
        <f>COUNTIFS(C:C,"&gt;=09:00",C:C,"&lt;10:00",D:D,"minor")</f>
        <v>3</v>
      </c>
      <c r="L12">
        <f t="shared" si="0"/>
        <v>10</v>
      </c>
      <c r="M12">
        <f>COUNTIFS(C:C,"&gt;=09:00",C:C,"&lt;10:00",D:D,"none")</f>
        <v>6</v>
      </c>
    </row>
    <row r="13" spans="1:13" x14ac:dyDescent="0.25">
      <c r="A13" s="89">
        <v>12</v>
      </c>
      <c r="B13" s="80">
        <v>21864</v>
      </c>
      <c r="C13" s="129">
        <v>0.4375</v>
      </c>
      <c r="D13" s="81" t="s">
        <v>19</v>
      </c>
      <c r="G13" s="134">
        <v>0.41666666666666669</v>
      </c>
      <c r="H13">
        <f>COUNTIFS(C:C,"&gt;=10:00",C:C,"&lt;11:00")</f>
        <v>13</v>
      </c>
      <c r="I13">
        <f>COUNTIFS(C:C,"&gt;=10:00",C:C,"&lt;11:00",D:D,"fatal")</f>
        <v>2</v>
      </c>
      <c r="J13">
        <f>COUNTIFS(C:C,"&gt;=10:00",C:C,"&lt;11:00",D:D,"major")</f>
        <v>3</v>
      </c>
      <c r="K13">
        <f>COUNTIFS(C:C,"&gt;=10:00",C:C,"&lt;11:00",D:D,"minor")</f>
        <v>2</v>
      </c>
      <c r="L13">
        <f t="shared" si="0"/>
        <v>5</v>
      </c>
      <c r="M13">
        <f>COUNTIFS(C:C,"&gt;=10:00",C:C,"&lt;11:00",D:D,"none")</f>
        <v>6</v>
      </c>
    </row>
    <row r="14" spans="1:13" x14ac:dyDescent="0.25">
      <c r="A14" s="18">
        <v>13</v>
      </c>
      <c r="B14" s="19">
        <v>22030</v>
      </c>
      <c r="C14" s="127">
        <v>0.58333333333333337</v>
      </c>
      <c r="D14" s="3" t="s">
        <v>19</v>
      </c>
      <c r="G14" s="134">
        <v>0.45833333333333331</v>
      </c>
      <c r="H14">
        <f>COUNTIFS(C:C,"&gt;=11:00",C:C,"&lt;12:00")</f>
        <v>27</v>
      </c>
      <c r="I14">
        <f>COUNTIFS(C:C,"&gt;=11:00",C:C,"&lt;12:00",D:D,"fatal")</f>
        <v>1</v>
      </c>
      <c r="J14">
        <f>COUNTIFS(C:C,"&gt;=11:00",C:C,"&lt;12:00",D:D,"major")</f>
        <v>10</v>
      </c>
      <c r="K14">
        <f>COUNTIFS(C:C,"&gt;=11:00",C:C,"&lt;12:00",D:D,"minor")</f>
        <v>8</v>
      </c>
      <c r="L14">
        <f t="shared" si="0"/>
        <v>18</v>
      </c>
      <c r="M14">
        <f>COUNTIFS(C:C,"&gt;=11:00",C:C,"&lt;12:00",D:D,"none")</f>
        <v>8</v>
      </c>
    </row>
    <row r="15" spans="1:13" x14ac:dyDescent="0.25">
      <c r="A15" s="18">
        <v>14</v>
      </c>
      <c r="B15" s="19">
        <v>22055</v>
      </c>
      <c r="C15" s="127">
        <v>0.54166666666666663</v>
      </c>
      <c r="D15" s="3" t="s">
        <v>14</v>
      </c>
      <c r="G15" s="134">
        <v>0.5</v>
      </c>
      <c r="H15">
        <f>COUNTIFS(C:C,"&gt;=12:00",C:C,"&lt;13:00")</f>
        <v>13</v>
      </c>
      <c r="I15">
        <f>COUNTIFS(C:C,"&gt;=12:00",C:C,"&lt;13:00",D:D,"fatal")</f>
        <v>0</v>
      </c>
      <c r="J15">
        <f>COUNTIFS(C:C,"&gt;=12:00",C:C,"&lt;13:00",D:D,"major")</f>
        <v>6</v>
      </c>
      <c r="K15">
        <f>COUNTIFS(C:C,"&gt;=12:00",C:C,"&lt;13:00",D:D,"minor")</f>
        <v>3</v>
      </c>
      <c r="L15">
        <f t="shared" si="0"/>
        <v>9</v>
      </c>
      <c r="M15">
        <f>COUNTIFS(C:C,"&gt;=12:00",C:C,"&lt;13:00",D:D,"none")</f>
        <v>4</v>
      </c>
    </row>
    <row r="16" spans="1:13" x14ac:dyDescent="0.25">
      <c r="A16" s="18">
        <v>15</v>
      </c>
      <c r="B16" s="19">
        <v>22422</v>
      </c>
      <c r="C16" s="127">
        <v>0.35416666666666669</v>
      </c>
      <c r="D16" s="3" t="s">
        <v>44</v>
      </c>
      <c r="G16" s="134">
        <v>0.54166666666666663</v>
      </c>
      <c r="H16">
        <f>COUNTIFS(C:C,"&gt;=13:00",C:C,"&lt;14:00")</f>
        <v>16</v>
      </c>
      <c r="I16">
        <f>COUNTIFS(C:C,"&gt;=13:00",C:C,"&lt;14:00",D:D,"fatal")</f>
        <v>2</v>
      </c>
      <c r="J16">
        <f>COUNTIFS(C:C,"&gt;=13:00",C:C,"&lt;14:00",D:D,"major")</f>
        <v>8</v>
      </c>
      <c r="K16">
        <f>COUNTIFS(C:C,"&gt;=13:00",C:C,"&lt;14:00",D:D,"minor")</f>
        <v>0</v>
      </c>
      <c r="L16">
        <f t="shared" si="0"/>
        <v>8</v>
      </c>
      <c r="M16">
        <f>COUNTIFS(C:C,"&gt;=13:00",C:C,"&lt;14:00",D:D,"none")</f>
        <v>6</v>
      </c>
    </row>
    <row r="17" spans="1:13" x14ac:dyDescent="0.25">
      <c r="A17" s="18">
        <v>16</v>
      </c>
      <c r="B17" s="19">
        <v>22513</v>
      </c>
      <c r="C17" s="127">
        <v>0.39583333333333331</v>
      </c>
      <c r="D17" s="3" t="s">
        <v>14</v>
      </c>
      <c r="G17" s="134">
        <v>0.58333333333333337</v>
      </c>
      <c r="H17">
        <f>COUNTIFS(C:C,"&gt;=14:00",C:C,"&lt;15:00")</f>
        <v>17</v>
      </c>
      <c r="I17">
        <f>COUNTIFS(C:C,"&gt;=14:00",C:C,"&lt;15:00",D:D,"fatal")</f>
        <v>1</v>
      </c>
      <c r="J17">
        <f>COUNTIFS(C:C,"&gt;=14:00",C:C,"&lt;15:00",D:D,"major")</f>
        <v>6</v>
      </c>
      <c r="K17">
        <f>COUNTIFS(C:C,"&gt;=14:00",C:C,"&lt;15:00",D:D,"minor")</f>
        <v>5</v>
      </c>
      <c r="L17">
        <f t="shared" si="0"/>
        <v>11</v>
      </c>
      <c r="M17">
        <f>COUNTIFS(C:C,"&gt;=14:00",C:C,"&lt;15:00",D:D,"none")</f>
        <v>5</v>
      </c>
    </row>
    <row r="18" spans="1:13" x14ac:dyDescent="0.25">
      <c r="A18" s="18">
        <v>17</v>
      </c>
      <c r="B18" s="19">
        <v>22660</v>
      </c>
      <c r="C18" s="127">
        <v>0.4375</v>
      </c>
      <c r="D18" s="3" t="s">
        <v>14</v>
      </c>
      <c r="G18" s="134">
        <v>0.625</v>
      </c>
      <c r="H18">
        <f>COUNTIFS(C:C,"&gt;=15:00",C:C,"&lt;16:00")</f>
        <v>11</v>
      </c>
      <c r="I18">
        <f>COUNTIFS(C:C,"&gt;=15:00",C:C,"&lt;16:00",D:D,"fatal")</f>
        <v>0</v>
      </c>
      <c r="J18">
        <f>COUNTIFS(C:C,"&gt;=15:00",C:C,"&lt;16:00",D:D,"major")</f>
        <v>3</v>
      </c>
      <c r="K18">
        <f>COUNTIFS(C:C,"&gt;=15:00",C:C,"&lt;16:00",D:D,"minor")</f>
        <v>4</v>
      </c>
      <c r="L18">
        <f t="shared" si="0"/>
        <v>7</v>
      </c>
      <c r="M18">
        <f>COUNTIFS(C:C,"&gt;=15:00",C:C,"&lt;16:00",D:D,"none")</f>
        <v>4</v>
      </c>
    </row>
    <row r="19" spans="1:13" x14ac:dyDescent="0.25">
      <c r="A19" s="18">
        <v>18</v>
      </c>
      <c r="B19" s="19">
        <v>22961</v>
      </c>
      <c r="C19" s="127">
        <v>0.53125</v>
      </c>
      <c r="D19" s="3" t="s">
        <v>14</v>
      </c>
      <c r="G19" s="134">
        <v>0.66666666666666663</v>
      </c>
      <c r="H19">
        <f>COUNTIFS(C:C,"&gt;=16:00",C:C,"&lt;17:00")</f>
        <v>12</v>
      </c>
      <c r="I19">
        <f>COUNTIFS(C:C,"&gt;=16:00",C:C,"&lt;17:00",D:D,"fatal")</f>
        <v>1</v>
      </c>
      <c r="J19">
        <f>COUNTIFS(C:C,"&gt;=16:00",C:C,"&lt;17:00",D:D,"major")</f>
        <v>4</v>
      </c>
      <c r="K19">
        <f>COUNTIFS(C:C,"&gt;=16:00",C:C,"&lt;17:00",D:D,"minor")</f>
        <v>2</v>
      </c>
      <c r="L19">
        <f t="shared" si="0"/>
        <v>6</v>
      </c>
      <c r="M19">
        <f>COUNTIFS(C:C,"&gt;=16:00",C:C,"&lt;17:00",D:D,"none")</f>
        <v>5</v>
      </c>
    </row>
    <row r="20" spans="1:13" x14ac:dyDescent="0.25">
      <c r="A20" s="18">
        <v>19</v>
      </c>
      <c r="B20" s="19">
        <v>23387</v>
      </c>
      <c r="C20" s="127">
        <v>0.5</v>
      </c>
      <c r="D20" s="3" t="s">
        <v>14</v>
      </c>
      <c r="G20" s="134">
        <v>0.70833333333333337</v>
      </c>
      <c r="H20">
        <f>COUNTIFS(C:C,"&gt;=17:00",C:C,"&lt;18:00")</f>
        <v>18</v>
      </c>
      <c r="I20">
        <f>COUNTIFS(C:C,"&gt;=17:00",C:C,"&lt;18:00",D:D,"fatal")</f>
        <v>2</v>
      </c>
      <c r="J20">
        <f>COUNTIFS(C:C,"&gt;=17:00",C:C,"&lt;18:00",D:D,"major")</f>
        <v>2</v>
      </c>
      <c r="K20">
        <f>COUNTIFS(C:C,"&gt;=17:00",C:C,"&lt;18:00",D:D,"minor")</f>
        <v>9</v>
      </c>
      <c r="L20">
        <f t="shared" si="0"/>
        <v>11</v>
      </c>
      <c r="M20">
        <f>COUNTIFS(C:C,"&gt;=17:00",C:C,"&lt;18:00",D:D,"none")</f>
        <v>5</v>
      </c>
    </row>
    <row r="21" spans="1:13" x14ac:dyDescent="0.25">
      <c r="A21" s="18">
        <v>20</v>
      </c>
      <c r="B21" s="19">
        <v>24129</v>
      </c>
      <c r="C21" s="127">
        <v>0.45833333333333331</v>
      </c>
      <c r="D21" s="3" t="s">
        <v>14</v>
      </c>
      <c r="G21" s="134">
        <v>0.75</v>
      </c>
      <c r="H21">
        <f>COUNTIFS(C:C,"&gt;=18:00",C:C,"&lt;19:00")</f>
        <v>5</v>
      </c>
      <c r="I21">
        <f>COUNTIFS(C:C,"&gt;=18:00",C:C,"&lt;19:00",D:D,"fatal")</f>
        <v>0</v>
      </c>
      <c r="J21">
        <f>COUNTIFS(C:C,"&gt;=18:00",C:C,"&lt;19:00",D:D,"major")</f>
        <v>0</v>
      </c>
      <c r="K21">
        <f>COUNTIFS(C:C,"&gt;=18:00",C:C,"&lt;19:00",D:D,"minor")</f>
        <v>1</v>
      </c>
      <c r="L21">
        <f t="shared" si="0"/>
        <v>1</v>
      </c>
      <c r="M21">
        <f>COUNTIFS(C:C,"&gt;=18:00",C:C,"&lt;19:00",D:D,"none")</f>
        <v>4</v>
      </c>
    </row>
    <row r="22" spans="1:13" x14ac:dyDescent="0.25">
      <c r="A22" s="18">
        <v>21</v>
      </c>
      <c r="B22" s="19">
        <v>25046</v>
      </c>
      <c r="C22" s="127">
        <v>0.45833333333333331</v>
      </c>
      <c r="D22" s="3" t="s">
        <v>14</v>
      </c>
      <c r="G22" s="134">
        <v>0.79166666666666663</v>
      </c>
      <c r="H22">
        <f>COUNTIFS(C:C,"&gt;=19:00",C:C,"&lt;20:00")</f>
        <v>2</v>
      </c>
      <c r="I22">
        <f>COUNTIFS(C:C,"&gt;=19:00",C:C,"&lt;20:00",D:D,"fatal")</f>
        <v>0</v>
      </c>
      <c r="J22">
        <f>COUNTIFS(C:C,"&gt;=19:00",C:C,"&lt;20:00",D:D,"major")</f>
        <v>0</v>
      </c>
      <c r="K22">
        <f>COUNTIFS(C:C,"&gt;=19:00",C:C,"&lt;20:00",D:D,"minor")</f>
        <v>1</v>
      </c>
      <c r="L22">
        <f t="shared" si="0"/>
        <v>1</v>
      </c>
      <c r="M22">
        <f>COUNTIFS(C:C,"&gt;=19:00",C:C,"&lt;20:00",D:D,"none")</f>
        <v>1</v>
      </c>
    </row>
    <row r="23" spans="1:13" x14ac:dyDescent="0.25">
      <c r="A23" s="18">
        <v>23</v>
      </c>
      <c r="B23" s="19">
        <v>25452</v>
      </c>
      <c r="C23" s="127">
        <v>0.47222222222222227</v>
      </c>
      <c r="D23" s="3" t="s">
        <v>14</v>
      </c>
      <c r="G23" s="134">
        <v>0.83333333333333337</v>
      </c>
      <c r="H23">
        <f>COUNTIFS(C:C,"&gt;=20:00",C:C,"&lt;21:00")</f>
        <v>3</v>
      </c>
      <c r="I23">
        <f>COUNTIFS(C:C,"&gt;=20:00",C:C,"&lt;21:00",D:D,"fatal")</f>
        <v>0</v>
      </c>
      <c r="J23">
        <f>COUNTIFS(C:C,"&gt;=20:00",C:C,"&lt;21:00",D:D,"major")</f>
        <v>0</v>
      </c>
      <c r="K23">
        <f>COUNTIFS(C:C,"&gt;=20:00",C:C,"&lt;21:00",D:D,"minor")</f>
        <v>1</v>
      </c>
      <c r="L23">
        <f t="shared" si="0"/>
        <v>1</v>
      </c>
      <c r="M23">
        <f>COUNTIFS(C:C,"&gt;=20:00",C:C,"&lt;21:00",D:D,"none")</f>
        <v>2</v>
      </c>
    </row>
    <row r="24" spans="1:13" x14ac:dyDescent="0.25">
      <c r="A24" s="18">
        <v>24</v>
      </c>
      <c r="B24" s="19">
        <v>26133</v>
      </c>
      <c r="C24" s="127" t="s">
        <v>102</v>
      </c>
      <c r="D24" s="3" t="s">
        <v>14</v>
      </c>
      <c r="G24" s="134">
        <v>0.875</v>
      </c>
      <c r="H24">
        <f>COUNTIFS(C:C,"&gt;=21:00",C:C,"&lt;22:00")</f>
        <v>0</v>
      </c>
      <c r="I24">
        <f>COUNTIFS(C:C,"&gt;=21:00",C:C,"&lt;22:00",D:D,"fatal")</f>
        <v>0</v>
      </c>
      <c r="J24">
        <f>COUNTIFS(C:C,"&gt;=21:00",C:C,"&lt;22:00",D:D,"major")</f>
        <v>0</v>
      </c>
      <c r="K24">
        <f>COUNTIFS(C:C,"&gt;=21:00",C:C,"&lt;22:00",D:D,"minor")</f>
        <v>0</v>
      </c>
      <c r="L24">
        <f t="shared" si="0"/>
        <v>0</v>
      </c>
      <c r="M24">
        <f>COUNTIFS(C:C,"&gt;=21:00",C:C,"&lt;22:00",D:D,"none")</f>
        <v>0</v>
      </c>
    </row>
    <row r="25" spans="1:13" x14ac:dyDescent="0.25">
      <c r="A25" s="18">
        <v>25</v>
      </c>
      <c r="B25" s="19">
        <v>26208</v>
      </c>
      <c r="C25" s="127">
        <v>0.58333333333333337</v>
      </c>
      <c r="D25" s="3" t="s">
        <v>14</v>
      </c>
      <c r="G25" s="134">
        <v>0.91666666666666663</v>
      </c>
      <c r="H25">
        <f>COUNTIFS(C:C,"&gt;=22:00",C:C,"&lt;23:00")</f>
        <v>1</v>
      </c>
      <c r="I25">
        <f>COUNTIFS(C:C,"&gt;=22:00",C:C,"&lt;23:00",D:D,"fatal")</f>
        <v>0</v>
      </c>
      <c r="J25">
        <f>COUNTIFS(C:C,"&gt;=22:00",C:C,"&lt;23:00",D:D,"major")</f>
        <v>0</v>
      </c>
      <c r="K25">
        <f>COUNTIFS(C:C,"&gt;=22:00",C:C,"&lt;23:00",D:D,"minor")</f>
        <v>0</v>
      </c>
      <c r="L25">
        <f t="shared" si="0"/>
        <v>0</v>
      </c>
      <c r="M25">
        <f>COUNTIFS(C:C,"&gt;=22:00",C:C,"&lt;23:00",D:D,"none")</f>
        <v>1</v>
      </c>
    </row>
    <row r="26" spans="1:13" x14ac:dyDescent="0.25">
      <c r="A26" s="18">
        <v>26</v>
      </c>
      <c r="B26" s="19">
        <v>26447</v>
      </c>
      <c r="C26" s="127">
        <v>0.5625</v>
      </c>
      <c r="D26" s="3" t="s">
        <v>14</v>
      </c>
      <c r="G26" s="134">
        <v>0.95833333333333337</v>
      </c>
      <c r="H26">
        <f>COUNTIFS(C:C,"&gt;=23:00",C:C,"&lt;24:00")</f>
        <v>2</v>
      </c>
      <c r="I26">
        <f>COUNTIFS(C:C,"&gt;=23:00",C:C,"&lt;24:00",D:D,"fatal")</f>
        <v>0</v>
      </c>
      <c r="J26">
        <f>COUNTIFS(C:C,"&gt;=23:00",C:C,"&lt;24:00",D:D,"major")</f>
        <v>0</v>
      </c>
      <c r="K26">
        <f>COUNTIFS(C:C,"&gt;=23:00",C:C,"&lt;24:00",D:D,"minor")</f>
        <v>1</v>
      </c>
      <c r="L26">
        <f t="shared" si="0"/>
        <v>1</v>
      </c>
      <c r="M26">
        <f>COUNTIFS(C:C,"&gt;=23:00",C:C,"&lt;24:00",D:D,"none")</f>
        <v>1</v>
      </c>
    </row>
    <row r="27" spans="1:13" x14ac:dyDescent="0.25">
      <c r="A27" s="18">
        <v>28</v>
      </c>
      <c r="B27" s="19">
        <v>27175</v>
      </c>
      <c r="C27" s="127">
        <v>0.47916666666666669</v>
      </c>
      <c r="D27" s="3" t="s">
        <v>14</v>
      </c>
      <c r="H27">
        <f>SUM(H3:H26)</f>
        <v>185</v>
      </c>
    </row>
    <row r="28" spans="1:13" x14ac:dyDescent="0.25">
      <c r="A28" s="18">
        <v>29</v>
      </c>
      <c r="B28" s="19">
        <v>27236</v>
      </c>
      <c r="C28" s="127" t="s">
        <v>102</v>
      </c>
      <c r="D28" s="3" t="s">
        <v>19</v>
      </c>
    </row>
    <row r="29" spans="1:13" x14ac:dyDescent="0.25">
      <c r="A29" s="18">
        <v>30</v>
      </c>
      <c r="B29" s="19">
        <v>27246</v>
      </c>
      <c r="C29" s="127" t="s">
        <v>102</v>
      </c>
      <c r="D29" s="3" t="s">
        <v>19</v>
      </c>
    </row>
    <row r="30" spans="1:13" x14ac:dyDescent="0.25">
      <c r="A30" s="18">
        <v>31</v>
      </c>
      <c r="B30" s="19">
        <v>27274</v>
      </c>
      <c r="C30" s="127">
        <v>0.72916666666666663</v>
      </c>
      <c r="D30" s="3" t="s">
        <v>19</v>
      </c>
    </row>
    <row r="31" spans="1:13" x14ac:dyDescent="0.25">
      <c r="A31" s="18">
        <v>32</v>
      </c>
      <c r="B31" s="19">
        <v>27274</v>
      </c>
      <c r="C31" s="127">
        <v>0.72916666666666663</v>
      </c>
      <c r="D31" s="5" t="s">
        <v>19</v>
      </c>
    </row>
    <row r="32" spans="1:13" x14ac:dyDescent="0.25">
      <c r="A32" s="18">
        <v>33</v>
      </c>
      <c r="B32" s="19">
        <v>27286</v>
      </c>
      <c r="C32" s="127">
        <v>0.56597222222222221</v>
      </c>
      <c r="D32" s="3" t="s">
        <v>14</v>
      </c>
    </row>
    <row r="33" spans="1:4" x14ac:dyDescent="0.25">
      <c r="A33" s="18">
        <v>34</v>
      </c>
      <c r="B33" s="19">
        <v>27300</v>
      </c>
      <c r="C33" s="127">
        <v>0.3125</v>
      </c>
      <c r="D33" s="3" t="s">
        <v>14</v>
      </c>
    </row>
    <row r="34" spans="1:4" x14ac:dyDescent="0.25">
      <c r="A34" s="18">
        <v>35</v>
      </c>
      <c r="B34" s="19">
        <v>27594</v>
      </c>
      <c r="C34" s="127">
        <v>0.5625</v>
      </c>
      <c r="D34" s="3" t="s">
        <v>44</v>
      </c>
    </row>
    <row r="35" spans="1:4" x14ac:dyDescent="0.25">
      <c r="A35" s="18">
        <v>36</v>
      </c>
      <c r="B35" s="19">
        <v>27598</v>
      </c>
      <c r="C35" s="127">
        <v>0.60416666666666663</v>
      </c>
      <c r="D35" s="3" t="s">
        <v>14</v>
      </c>
    </row>
    <row r="36" spans="1:4" x14ac:dyDescent="0.25">
      <c r="A36" s="18">
        <v>37</v>
      </c>
      <c r="B36" s="19">
        <v>27615</v>
      </c>
      <c r="C36" s="127">
        <v>0.5625</v>
      </c>
      <c r="D36" s="3" t="s">
        <v>14</v>
      </c>
    </row>
    <row r="37" spans="1:4" x14ac:dyDescent="0.25">
      <c r="A37" s="18">
        <v>38</v>
      </c>
      <c r="B37" s="19">
        <v>27734</v>
      </c>
      <c r="C37" s="127">
        <v>0.5</v>
      </c>
      <c r="D37" s="3" t="s">
        <v>14</v>
      </c>
    </row>
    <row r="38" spans="1:4" x14ac:dyDescent="0.25">
      <c r="A38" s="18">
        <v>40</v>
      </c>
      <c r="B38" s="19">
        <v>28051</v>
      </c>
      <c r="C38" s="127">
        <v>0.375</v>
      </c>
      <c r="D38" s="3" t="s">
        <v>14</v>
      </c>
    </row>
    <row r="39" spans="1:4" x14ac:dyDescent="0.25">
      <c r="A39" s="18">
        <v>39</v>
      </c>
      <c r="B39" s="19">
        <v>28051</v>
      </c>
      <c r="C39" s="127">
        <v>0.60416666666666663</v>
      </c>
      <c r="D39" s="3" t="s">
        <v>19</v>
      </c>
    </row>
    <row r="40" spans="1:4" x14ac:dyDescent="0.25">
      <c r="A40" s="18">
        <v>41</v>
      </c>
      <c r="B40" s="19">
        <v>28351</v>
      </c>
      <c r="C40" s="127" t="s">
        <v>102</v>
      </c>
      <c r="D40" s="3" t="s">
        <v>14</v>
      </c>
    </row>
    <row r="41" spans="1:4" x14ac:dyDescent="0.25">
      <c r="A41" s="89">
        <v>42</v>
      </c>
      <c r="B41" s="80">
        <v>28707</v>
      </c>
      <c r="C41" s="129">
        <v>0.53125</v>
      </c>
      <c r="D41" s="81" t="s">
        <v>19</v>
      </c>
    </row>
    <row r="42" spans="1:4" x14ac:dyDescent="0.25">
      <c r="A42" s="18">
        <v>43</v>
      </c>
      <c r="B42" s="19">
        <v>28925</v>
      </c>
      <c r="C42" s="127">
        <v>0.41666666666666669</v>
      </c>
      <c r="D42" s="3" t="s">
        <v>44</v>
      </c>
    </row>
    <row r="43" spans="1:4" x14ac:dyDescent="0.25">
      <c r="A43" s="18">
        <v>44</v>
      </c>
      <c r="B43" s="19">
        <v>29511</v>
      </c>
      <c r="C43" s="127">
        <v>0.39583333333333331</v>
      </c>
      <c r="D43" s="3" t="s">
        <v>44</v>
      </c>
    </row>
    <row r="44" spans="1:4" x14ac:dyDescent="0.25">
      <c r="A44" s="18">
        <v>45</v>
      </c>
      <c r="B44" s="19">
        <v>29939</v>
      </c>
      <c r="C44" s="127" t="s">
        <v>102</v>
      </c>
      <c r="D44" s="3" t="s">
        <v>23</v>
      </c>
    </row>
    <row r="45" spans="1:4" x14ac:dyDescent="0.25">
      <c r="A45" s="18">
        <v>46</v>
      </c>
      <c r="B45" s="19">
        <v>29989</v>
      </c>
      <c r="C45" s="127">
        <v>0.45833333333333331</v>
      </c>
      <c r="D45" s="3" t="s">
        <v>14</v>
      </c>
    </row>
    <row r="46" spans="1:4" x14ac:dyDescent="0.25">
      <c r="A46" s="18">
        <v>47</v>
      </c>
      <c r="B46" s="19">
        <v>30156</v>
      </c>
      <c r="C46" s="127">
        <v>0.45833333333333331</v>
      </c>
      <c r="D46" s="3" t="s">
        <v>44</v>
      </c>
    </row>
    <row r="47" spans="1:4" x14ac:dyDescent="0.25">
      <c r="A47" s="18">
        <v>48</v>
      </c>
      <c r="B47" s="19">
        <v>30213</v>
      </c>
      <c r="C47" s="127" t="s">
        <v>102</v>
      </c>
      <c r="D47" s="3" t="s">
        <v>14</v>
      </c>
    </row>
    <row r="48" spans="1:4" x14ac:dyDescent="0.25">
      <c r="A48" s="18">
        <v>49</v>
      </c>
      <c r="B48" s="19">
        <v>30219</v>
      </c>
      <c r="C48" s="127">
        <v>0.33333333333333331</v>
      </c>
      <c r="D48" s="3" t="s">
        <v>19</v>
      </c>
    </row>
    <row r="49" spans="1:4" x14ac:dyDescent="0.25">
      <c r="A49" s="18">
        <v>50</v>
      </c>
      <c r="B49" s="19">
        <v>30940</v>
      </c>
      <c r="C49" s="127">
        <v>0.35416666666666669</v>
      </c>
      <c r="D49" s="3" t="s">
        <v>23</v>
      </c>
    </row>
    <row r="50" spans="1:4" x14ac:dyDescent="0.25">
      <c r="A50" s="89">
        <v>51</v>
      </c>
      <c r="B50" s="80">
        <v>30942</v>
      </c>
      <c r="C50" s="129">
        <v>0.64583333333333337</v>
      </c>
      <c r="D50" s="81" t="s">
        <v>19</v>
      </c>
    </row>
    <row r="51" spans="1:4" x14ac:dyDescent="0.25">
      <c r="A51" s="18">
        <v>52</v>
      </c>
      <c r="B51" s="19">
        <v>30955</v>
      </c>
      <c r="C51" s="127">
        <v>0.41666666666666669</v>
      </c>
      <c r="D51" s="3" t="s">
        <v>14</v>
      </c>
    </row>
    <row r="52" spans="1:4" x14ac:dyDescent="0.25">
      <c r="A52" s="18">
        <v>53</v>
      </c>
      <c r="B52" s="19">
        <v>31096</v>
      </c>
      <c r="C52" s="127" t="s">
        <v>102</v>
      </c>
      <c r="D52" s="3" t="s">
        <v>19</v>
      </c>
    </row>
    <row r="53" spans="1:4" x14ac:dyDescent="0.25">
      <c r="A53" s="89">
        <v>54</v>
      </c>
      <c r="B53" s="80">
        <v>31193</v>
      </c>
      <c r="C53" s="129">
        <v>0.45833333333333331</v>
      </c>
      <c r="D53" s="81" t="s">
        <v>19</v>
      </c>
    </row>
    <row r="54" spans="1:4" x14ac:dyDescent="0.25">
      <c r="A54" s="18">
        <v>55</v>
      </c>
      <c r="B54" s="19">
        <v>31318</v>
      </c>
      <c r="C54" s="127" t="s">
        <v>102</v>
      </c>
      <c r="D54" s="3" t="s">
        <v>44</v>
      </c>
    </row>
    <row r="55" spans="1:4" x14ac:dyDescent="0.25">
      <c r="A55" s="89">
        <v>56</v>
      </c>
      <c r="B55" s="80">
        <v>31342</v>
      </c>
      <c r="C55" s="129">
        <v>0.66666666666666663</v>
      </c>
      <c r="D55" s="81" t="s">
        <v>19</v>
      </c>
    </row>
    <row r="56" spans="1:4" x14ac:dyDescent="0.25">
      <c r="A56" s="18">
        <v>57</v>
      </c>
      <c r="B56" s="19">
        <v>31752</v>
      </c>
      <c r="C56" s="127">
        <v>0.375</v>
      </c>
      <c r="D56" s="3" t="s">
        <v>14</v>
      </c>
    </row>
    <row r="57" spans="1:4" x14ac:dyDescent="0.25">
      <c r="A57" s="18">
        <v>58</v>
      </c>
      <c r="B57" s="19">
        <v>32004</v>
      </c>
      <c r="C57" s="127">
        <v>0.3125</v>
      </c>
      <c r="D57" s="3" t="s">
        <v>19</v>
      </c>
    </row>
    <row r="58" spans="1:4" x14ac:dyDescent="0.25">
      <c r="A58" s="18">
        <v>59</v>
      </c>
      <c r="B58" s="19">
        <v>32076</v>
      </c>
      <c r="C58" s="127">
        <v>0.70833333333333337</v>
      </c>
      <c r="D58" s="3" t="s">
        <v>19</v>
      </c>
    </row>
    <row r="59" spans="1:4" x14ac:dyDescent="0.25">
      <c r="A59" s="18">
        <v>60</v>
      </c>
      <c r="B59" s="19">
        <v>32257</v>
      </c>
      <c r="C59" s="127" t="s">
        <v>102</v>
      </c>
      <c r="D59" s="3" t="s">
        <v>44</v>
      </c>
    </row>
    <row r="60" spans="1:4" x14ac:dyDescent="0.25">
      <c r="A60" s="18">
        <v>61</v>
      </c>
      <c r="B60" s="19">
        <v>32366</v>
      </c>
      <c r="C60" s="127">
        <v>0.375</v>
      </c>
      <c r="D60" s="3" t="s">
        <v>19</v>
      </c>
    </row>
    <row r="61" spans="1:4" x14ac:dyDescent="0.25">
      <c r="A61" s="18">
        <v>62</v>
      </c>
      <c r="B61" s="19">
        <v>32534</v>
      </c>
      <c r="C61" s="127">
        <v>0.42708333333333331</v>
      </c>
      <c r="D61" s="3" t="s">
        <v>23</v>
      </c>
    </row>
    <row r="62" spans="1:4" x14ac:dyDescent="0.25">
      <c r="A62" s="18">
        <v>63</v>
      </c>
      <c r="B62" s="19">
        <v>32760</v>
      </c>
      <c r="C62" s="127">
        <v>0.5</v>
      </c>
      <c r="D62" s="3" t="s">
        <v>14</v>
      </c>
    </row>
    <row r="63" spans="1:4" x14ac:dyDescent="0.25">
      <c r="A63" s="18">
        <v>64</v>
      </c>
      <c r="B63" s="19">
        <v>32885</v>
      </c>
      <c r="C63" s="127" t="s">
        <v>102</v>
      </c>
      <c r="D63" s="3" t="s">
        <v>44</v>
      </c>
    </row>
    <row r="64" spans="1:4" x14ac:dyDescent="0.25">
      <c r="A64" s="18">
        <v>65</v>
      </c>
      <c r="B64" s="19">
        <v>33113</v>
      </c>
      <c r="C64" s="127">
        <v>0.70833333333333337</v>
      </c>
      <c r="D64" s="3" t="s">
        <v>19</v>
      </c>
    </row>
    <row r="65" spans="1:4" x14ac:dyDescent="0.25">
      <c r="A65" s="18">
        <v>66</v>
      </c>
      <c r="B65" s="19">
        <v>33121</v>
      </c>
      <c r="C65" s="127">
        <v>0.70833333333333337</v>
      </c>
      <c r="D65" s="3" t="s">
        <v>44</v>
      </c>
    </row>
    <row r="66" spans="1:4" x14ac:dyDescent="0.25">
      <c r="A66" s="18">
        <v>67</v>
      </c>
      <c r="B66" s="19">
        <v>33124</v>
      </c>
      <c r="C66" s="127">
        <v>0.54166666666666663</v>
      </c>
      <c r="D66" s="3" t="s">
        <v>14</v>
      </c>
    </row>
    <row r="67" spans="1:4" x14ac:dyDescent="0.25">
      <c r="A67" s="18">
        <v>68</v>
      </c>
      <c r="B67" s="19">
        <v>33180</v>
      </c>
      <c r="C67" s="127">
        <v>0.625</v>
      </c>
      <c r="D67" s="3" t="s">
        <v>14</v>
      </c>
    </row>
    <row r="68" spans="1:4" x14ac:dyDescent="0.25">
      <c r="A68" s="18">
        <v>69</v>
      </c>
      <c r="B68" s="19">
        <v>33420</v>
      </c>
      <c r="C68" s="127">
        <v>0.39583333333333331</v>
      </c>
      <c r="D68" s="3" t="s">
        <v>14</v>
      </c>
    </row>
    <row r="69" spans="1:4" x14ac:dyDescent="0.25">
      <c r="A69" s="18">
        <v>70</v>
      </c>
      <c r="B69" s="19">
        <v>33516</v>
      </c>
      <c r="C69" s="127">
        <v>0.3125</v>
      </c>
      <c r="D69" s="3" t="s">
        <v>14</v>
      </c>
    </row>
    <row r="70" spans="1:4" x14ac:dyDescent="0.25">
      <c r="A70" s="18">
        <v>71</v>
      </c>
      <c r="B70" s="19">
        <v>33520</v>
      </c>
      <c r="C70" s="127" t="s">
        <v>102</v>
      </c>
      <c r="D70" s="3" t="s">
        <v>44</v>
      </c>
    </row>
    <row r="71" spans="1:4" x14ac:dyDescent="0.25">
      <c r="A71" s="18">
        <v>72</v>
      </c>
      <c r="B71" s="19">
        <v>33576</v>
      </c>
      <c r="C71" s="127">
        <v>0.625</v>
      </c>
      <c r="D71" s="3" t="s">
        <v>44</v>
      </c>
    </row>
    <row r="72" spans="1:4" x14ac:dyDescent="0.25">
      <c r="A72" s="18">
        <v>73</v>
      </c>
      <c r="B72" s="19">
        <v>33834</v>
      </c>
      <c r="C72" s="127">
        <v>0.84375</v>
      </c>
      <c r="D72" s="3" t="s">
        <v>44</v>
      </c>
    </row>
    <row r="73" spans="1:4" x14ac:dyDescent="0.25">
      <c r="A73" s="18">
        <v>74</v>
      </c>
      <c r="B73" s="19">
        <v>33906</v>
      </c>
      <c r="C73" s="127">
        <v>0.45833333333333331</v>
      </c>
      <c r="D73" s="3" t="s">
        <v>19</v>
      </c>
    </row>
    <row r="74" spans="1:4" x14ac:dyDescent="0.25">
      <c r="A74" s="89">
        <v>75</v>
      </c>
      <c r="B74" s="80">
        <v>33919</v>
      </c>
      <c r="C74" s="129">
        <v>0.58333333333333337</v>
      </c>
      <c r="D74" s="81" t="s">
        <v>19</v>
      </c>
    </row>
    <row r="75" spans="1:4" x14ac:dyDescent="0.25">
      <c r="A75" s="18">
        <v>76</v>
      </c>
      <c r="B75" s="19">
        <v>33922</v>
      </c>
      <c r="C75" s="127">
        <v>0.54166666666666663</v>
      </c>
      <c r="D75" s="3" t="s">
        <v>44</v>
      </c>
    </row>
    <row r="76" spans="1:4" x14ac:dyDescent="0.25">
      <c r="A76" s="89">
        <v>77</v>
      </c>
      <c r="B76" s="80">
        <v>33937</v>
      </c>
      <c r="C76" s="129">
        <v>0.64583333333333337</v>
      </c>
      <c r="D76" s="81" t="s">
        <v>19</v>
      </c>
    </row>
    <row r="77" spans="1:4" x14ac:dyDescent="0.25">
      <c r="A77" s="18">
        <v>78</v>
      </c>
      <c r="B77" s="19">
        <v>34040</v>
      </c>
      <c r="C77" s="127">
        <v>0.60416666666666663</v>
      </c>
      <c r="D77" s="3" t="s">
        <v>44</v>
      </c>
    </row>
    <row r="78" spans="1:4" x14ac:dyDescent="0.25">
      <c r="A78" s="18">
        <v>79</v>
      </c>
      <c r="B78" s="19">
        <v>34193</v>
      </c>
      <c r="C78" s="127">
        <v>0.58333333333333337</v>
      </c>
      <c r="D78" s="3" t="s">
        <v>14</v>
      </c>
    </row>
    <row r="79" spans="1:4" x14ac:dyDescent="0.25">
      <c r="A79" s="18">
        <v>80</v>
      </c>
      <c r="B79" s="19">
        <v>34252</v>
      </c>
      <c r="C79" s="127">
        <v>0.60416666666666663</v>
      </c>
      <c r="D79" s="3" t="s">
        <v>44</v>
      </c>
    </row>
    <row r="80" spans="1:4" x14ac:dyDescent="0.25">
      <c r="A80" s="18">
        <v>81</v>
      </c>
      <c r="B80" s="19">
        <v>34272</v>
      </c>
      <c r="C80" s="127">
        <v>0.6875</v>
      </c>
      <c r="D80" s="3" t="s">
        <v>14</v>
      </c>
    </row>
    <row r="81" spans="1:4" x14ac:dyDescent="0.25">
      <c r="A81" s="18">
        <v>82</v>
      </c>
      <c r="B81" s="19">
        <v>34677</v>
      </c>
      <c r="C81" s="127">
        <v>0.375</v>
      </c>
      <c r="D81" s="3" t="s">
        <v>23</v>
      </c>
    </row>
    <row r="82" spans="1:4" x14ac:dyDescent="0.25">
      <c r="A82" s="18">
        <v>83</v>
      </c>
      <c r="B82" s="19">
        <v>34874</v>
      </c>
      <c r="C82" s="127" t="s">
        <v>102</v>
      </c>
      <c r="D82" s="3" t="s">
        <v>19</v>
      </c>
    </row>
    <row r="83" spans="1:4" x14ac:dyDescent="0.25">
      <c r="A83" s="18">
        <v>84</v>
      </c>
      <c r="B83" s="19">
        <v>34880</v>
      </c>
      <c r="C83" s="127">
        <v>0.72916666666666663</v>
      </c>
      <c r="D83" s="3" t="s">
        <v>14</v>
      </c>
    </row>
    <row r="84" spans="1:4" x14ac:dyDescent="0.25">
      <c r="A84" s="18">
        <v>85</v>
      </c>
      <c r="B84" s="19">
        <v>34945</v>
      </c>
      <c r="C84" s="127">
        <v>0.66666666666666663</v>
      </c>
      <c r="D84" s="3" t="s">
        <v>14</v>
      </c>
    </row>
    <row r="85" spans="1:4" x14ac:dyDescent="0.25">
      <c r="A85" s="18">
        <v>86</v>
      </c>
      <c r="B85" s="19">
        <v>34970</v>
      </c>
      <c r="C85" s="127">
        <v>0.72916666666666663</v>
      </c>
      <c r="D85" s="3" t="s">
        <v>19</v>
      </c>
    </row>
    <row r="86" spans="1:4" x14ac:dyDescent="0.25">
      <c r="A86" s="18">
        <v>87</v>
      </c>
      <c r="B86" s="19">
        <v>35290</v>
      </c>
      <c r="C86" s="127">
        <v>0.46875</v>
      </c>
      <c r="D86" s="3" t="s">
        <v>14</v>
      </c>
    </row>
    <row r="87" spans="1:4" x14ac:dyDescent="0.25">
      <c r="A87" s="18">
        <v>88</v>
      </c>
      <c r="B87" s="19">
        <v>35341</v>
      </c>
      <c r="C87" s="127">
        <v>0.3125</v>
      </c>
      <c r="D87" s="3" t="s">
        <v>44</v>
      </c>
    </row>
    <row r="88" spans="1:4" x14ac:dyDescent="0.25">
      <c r="A88" s="18">
        <v>89</v>
      </c>
      <c r="B88" s="19">
        <v>35343</v>
      </c>
      <c r="C88" s="127">
        <v>0.54166666666666663</v>
      </c>
      <c r="D88" s="3" t="s">
        <v>14</v>
      </c>
    </row>
    <row r="89" spans="1:4" x14ac:dyDescent="0.25">
      <c r="A89" s="18">
        <v>90</v>
      </c>
      <c r="B89" s="19">
        <v>35398</v>
      </c>
      <c r="C89" s="127">
        <v>0.35416666666666669</v>
      </c>
      <c r="D89" s="3" t="s">
        <v>19</v>
      </c>
    </row>
    <row r="90" spans="1:4" x14ac:dyDescent="0.25">
      <c r="A90" s="18">
        <v>91</v>
      </c>
      <c r="B90" s="19">
        <v>35666</v>
      </c>
      <c r="C90" s="127" t="s">
        <v>102</v>
      </c>
      <c r="D90" s="3" t="s">
        <v>14</v>
      </c>
    </row>
    <row r="91" spans="1:4" x14ac:dyDescent="0.25">
      <c r="A91" s="18">
        <v>92</v>
      </c>
      <c r="B91" s="19">
        <v>36033</v>
      </c>
      <c r="C91" s="127">
        <v>0.59375</v>
      </c>
      <c r="D91" s="3" t="s">
        <v>14</v>
      </c>
    </row>
    <row r="92" spans="1:4" x14ac:dyDescent="0.25">
      <c r="A92" s="18">
        <v>93</v>
      </c>
      <c r="B92" s="19">
        <v>36479</v>
      </c>
      <c r="C92" s="127" t="s">
        <v>102</v>
      </c>
      <c r="D92" s="3" t="s">
        <v>44</v>
      </c>
    </row>
    <row r="93" spans="1:4" x14ac:dyDescent="0.25">
      <c r="A93" s="18">
        <v>94</v>
      </c>
      <c r="B93" s="19">
        <v>36798</v>
      </c>
      <c r="C93" s="127">
        <v>0.375</v>
      </c>
      <c r="D93" s="3" t="s">
        <v>44</v>
      </c>
    </row>
    <row r="94" spans="1:4" x14ac:dyDescent="0.25">
      <c r="A94" s="18">
        <v>95</v>
      </c>
      <c r="B94" s="19">
        <v>36834</v>
      </c>
      <c r="C94" s="127">
        <v>0.6875</v>
      </c>
      <c r="D94" s="3" t="s">
        <v>14</v>
      </c>
    </row>
    <row r="95" spans="1:4" x14ac:dyDescent="0.25">
      <c r="A95" s="18">
        <v>97</v>
      </c>
      <c r="B95" s="19">
        <v>37407</v>
      </c>
      <c r="C95" s="127">
        <v>0.58333333333333337</v>
      </c>
      <c r="D95" s="5" t="s">
        <v>14</v>
      </c>
    </row>
    <row r="96" spans="1:4" x14ac:dyDescent="0.25">
      <c r="A96" s="18">
        <v>98</v>
      </c>
      <c r="B96" s="19">
        <v>37520</v>
      </c>
      <c r="C96" s="127" t="s">
        <v>525</v>
      </c>
      <c r="D96" s="5" t="s">
        <v>44</v>
      </c>
    </row>
    <row r="97" spans="1:4" x14ac:dyDescent="0.25">
      <c r="A97" s="18">
        <v>99</v>
      </c>
      <c r="B97" s="19">
        <v>37588</v>
      </c>
      <c r="C97" s="127">
        <v>0.40625</v>
      </c>
      <c r="D97" s="3" t="s">
        <v>14</v>
      </c>
    </row>
    <row r="98" spans="1:4" x14ac:dyDescent="0.25">
      <c r="A98" s="18">
        <v>100</v>
      </c>
      <c r="B98" s="19">
        <v>37852</v>
      </c>
      <c r="C98" s="127">
        <v>0.35416666666666669</v>
      </c>
      <c r="D98" s="3" t="s">
        <v>23</v>
      </c>
    </row>
    <row r="99" spans="1:4" x14ac:dyDescent="0.25">
      <c r="A99" s="18">
        <v>101</v>
      </c>
      <c r="B99" s="19">
        <v>38135</v>
      </c>
      <c r="C99" s="127">
        <v>0.45833333333333331</v>
      </c>
      <c r="D99" s="3" t="s">
        <v>44</v>
      </c>
    </row>
    <row r="100" spans="1:4" x14ac:dyDescent="0.25">
      <c r="A100" s="18">
        <v>102</v>
      </c>
      <c r="B100" s="19">
        <v>38164</v>
      </c>
      <c r="C100" s="127">
        <v>0.375</v>
      </c>
      <c r="D100" s="3" t="s">
        <v>44</v>
      </c>
    </row>
    <row r="101" spans="1:4" x14ac:dyDescent="0.25">
      <c r="A101" s="18">
        <v>103</v>
      </c>
      <c r="B101" s="19">
        <v>38214</v>
      </c>
      <c r="C101" s="127">
        <v>0.6875</v>
      </c>
      <c r="D101" s="3" t="s">
        <v>23</v>
      </c>
    </row>
    <row r="102" spans="1:4" x14ac:dyDescent="0.25">
      <c r="A102" s="18">
        <v>104</v>
      </c>
      <c r="B102" s="19">
        <v>38219</v>
      </c>
      <c r="C102" s="127">
        <v>0.72916666666666663</v>
      </c>
      <c r="D102" s="3" t="s">
        <v>19</v>
      </c>
    </row>
    <row r="103" spans="1:4" x14ac:dyDescent="0.25">
      <c r="A103" s="18">
        <v>105</v>
      </c>
      <c r="B103" s="19">
        <v>38261</v>
      </c>
      <c r="C103" s="127">
        <v>0.57291666666666663</v>
      </c>
      <c r="D103" s="3" t="s">
        <v>44</v>
      </c>
    </row>
    <row r="104" spans="1:4" x14ac:dyDescent="0.25">
      <c r="A104" s="18">
        <v>106</v>
      </c>
      <c r="B104" s="19">
        <v>38262</v>
      </c>
      <c r="C104" s="127">
        <v>0.64583333333333337</v>
      </c>
      <c r="D104" s="3" t="s">
        <v>44</v>
      </c>
    </row>
    <row r="105" spans="1:4" x14ac:dyDescent="0.25">
      <c r="A105" s="18">
        <v>107</v>
      </c>
      <c r="B105" s="19">
        <v>38270</v>
      </c>
      <c r="C105" s="127">
        <v>0.39583333333333331</v>
      </c>
      <c r="D105" s="3" t="s">
        <v>19</v>
      </c>
    </row>
    <row r="106" spans="1:4" x14ac:dyDescent="0.25">
      <c r="A106" s="18">
        <v>108</v>
      </c>
      <c r="B106" s="19">
        <v>38302</v>
      </c>
      <c r="C106" s="127">
        <v>0.5625</v>
      </c>
      <c r="D106" s="3" t="s">
        <v>14</v>
      </c>
    </row>
    <row r="107" spans="1:4" x14ac:dyDescent="0.25">
      <c r="A107" s="18">
        <v>109</v>
      </c>
      <c r="B107" s="19">
        <v>38588</v>
      </c>
      <c r="C107" s="127">
        <v>0.45833333333333331</v>
      </c>
      <c r="D107" s="3" t="s">
        <v>19</v>
      </c>
    </row>
    <row r="108" spans="1:4" x14ac:dyDescent="0.25">
      <c r="A108" s="18">
        <v>110</v>
      </c>
      <c r="B108" s="19">
        <v>38644</v>
      </c>
      <c r="C108" s="127">
        <v>0.45833333333333331</v>
      </c>
      <c r="D108" s="3" t="s">
        <v>14</v>
      </c>
    </row>
    <row r="109" spans="1:4" x14ac:dyDescent="0.25">
      <c r="A109" s="18">
        <v>111</v>
      </c>
      <c r="B109" s="19">
        <v>38646</v>
      </c>
      <c r="C109" s="127">
        <v>0.45833333333333331</v>
      </c>
      <c r="D109" s="3" t="s">
        <v>19</v>
      </c>
    </row>
    <row r="110" spans="1:4" x14ac:dyDescent="0.25">
      <c r="A110" s="18">
        <v>112</v>
      </c>
      <c r="B110" s="19">
        <v>38658</v>
      </c>
      <c r="C110" s="127">
        <v>0.69791666666666663</v>
      </c>
      <c r="D110" s="3" t="s">
        <v>44</v>
      </c>
    </row>
    <row r="111" spans="1:4" x14ac:dyDescent="0.25">
      <c r="A111" s="18">
        <v>113</v>
      </c>
      <c r="B111" s="19">
        <v>38658</v>
      </c>
      <c r="C111" s="127">
        <v>0.30208333333333331</v>
      </c>
      <c r="D111" s="3" t="s">
        <v>44</v>
      </c>
    </row>
    <row r="112" spans="1:4" x14ac:dyDescent="0.25">
      <c r="A112" s="18">
        <v>114</v>
      </c>
      <c r="B112" s="19">
        <v>38735</v>
      </c>
      <c r="C112" s="127">
        <v>0.9375</v>
      </c>
      <c r="D112" s="3" t="s">
        <v>44</v>
      </c>
    </row>
    <row r="113" spans="1:4" x14ac:dyDescent="0.25">
      <c r="A113" s="18">
        <v>115</v>
      </c>
      <c r="B113" s="19">
        <v>38885</v>
      </c>
      <c r="C113" s="127">
        <v>0.46527777777777773</v>
      </c>
      <c r="D113" s="3" t="s">
        <v>44</v>
      </c>
    </row>
    <row r="114" spans="1:4" x14ac:dyDescent="0.25">
      <c r="A114" s="18">
        <v>116</v>
      </c>
      <c r="B114" s="19">
        <v>39061</v>
      </c>
      <c r="C114" s="127">
        <v>0.5</v>
      </c>
      <c r="D114" s="3" t="s">
        <v>19</v>
      </c>
    </row>
    <row r="115" spans="1:4" x14ac:dyDescent="0.25">
      <c r="A115" s="89">
        <v>117</v>
      </c>
      <c r="B115" s="80">
        <v>39263</v>
      </c>
      <c r="C115" s="129">
        <v>0.41666666666666669</v>
      </c>
      <c r="D115" s="81" t="s">
        <v>19</v>
      </c>
    </row>
    <row r="116" spans="1:4" x14ac:dyDescent="0.25">
      <c r="A116" s="89">
        <v>118</v>
      </c>
      <c r="B116" s="80">
        <v>39280</v>
      </c>
      <c r="C116" s="129">
        <v>0.45833333333333331</v>
      </c>
      <c r="D116" s="81" t="s">
        <v>19</v>
      </c>
    </row>
    <row r="117" spans="1:4" x14ac:dyDescent="0.25">
      <c r="A117" s="18">
        <v>119</v>
      </c>
      <c r="B117" s="19">
        <v>39284</v>
      </c>
      <c r="C117" s="127">
        <v>0.42708333333333331</v>
      </c>
      <c r="D117" s="3" t="s">
        <v>44</v>
      </c>
    </row>
    <row r="118" spans="1:4" x14ac:dyDescent="0.25">
      <c r="A118" s="18">
        <v>120</v>
      </c>
      <c r="B118" s="25">
        <v>39285</v>
      </c>
      <c r="C118" s="130">
        <v>0.375</v>
      </c>
      <c r="D118" s="26" t="s">
        <v>44</v>
      </c>
    </row>
    <row r="119" spans="1:4" x14ac:dyDescent="0.25">
      <c r="A119" s="89">
        <v>121</v>
      </c>
      <c r="B119" s="86">
        <v>39291</v>
      </c>
      <c r="C119" s="131">
        <v>0.95833333333333337</v>
      </c>
      <c r="D119" s="7" t="s">
        <v>44</v>
      </c>
    </row>
    <row r="120" spans="1:4" x14ac:dyDescent="0.25">
      <c r="A120" s="18">
        <v>122</v>
      </c>
      <c r="B120" s="19">
        <v>39322</v>
      </c>
      <c r="C120" s="127">
        <v>0.45833333333333331</v>
      </c>
      <c r="D120" s="3" t="s">
        <v>14</v>
      </c>
    </row>
    <row r="121" spans="1:4" x14ac:dyDescent="0.25">
      <c r="A121" s="18">
        <v>123</v>
      </c>
      <c r="B121" s="19">
        <v>39352</v>
      </c>
      <c r="C121" s="127">
        <v>0.5</v>
      </c>
      <c r="D121" s="3" t="s">
        <v>44</v>
      </c>
    </row>
    <row r="122" spans="1:4" x14ac:dyDescent="0.25">
      <c r="A122" s="89">
        <v>124</v>
      </c>
      <c r="B122" s="80">
        <v>39355</v>
      </c>
      <c r="C122" s="129">
        <v>0.47916666666666669</v>
      </c>
      <c r="D122" s="81" t="s">
        <v>19</v>
      </c>
    </row>
    <row r="123" spans="1:4" x14ac:dyDescent="0.25">
      <c r="A123" s="89">
        <v>125</v>
      </c>
      <c r="B123" s="80">
        <v>39362</v>
      </c>
      <c r="C123" s="129">
        <v>0.85416666666666663</v>
      </c>
      <c r="D123" s="81" t="s">
        <v>19</v>
      </c>
    </row>
    <row r="124" spans="1:4" x14ac:dyDescent="0.25">
      <c r="A124" s="18">
        <v>126</v>
      </c>
      <c r="B124" s="19">
        <v>39514</v>
      </c>
      <c r="C124" s="127">
        <v>0.29166666666666669</v>
      </c>
      <c r="D124" s="3" t="s">
        <v>44</v>
      </c>
    </row>
    <row r="125" spans="1:4" x14ac:dyDescent="0.25">
      <c r="A125" s="18">
        <v>127</v>
      </c>
      <c r="B125" s="19">
        <v>39563</v>
      </c>
      <c r="C125" s="127">
        <v>0.29166666666666669</v>
      </c>
      <c r="D125" s="5" t="s">
        <v>23</v>
      </c>
    </row>
    <row r="126" spans="1:4" x14ac:dyDescent="0.25">
      <c r="A126" s="18">
        <v>128</v>
      </c>
      <c r="B126" s="19">
        <v>39620</v>
      </c>
      <c r="C126" s="127">
        <v>0.375</v>
      </c>
      <c r="D126" s="5" t="s">
        <v>44</v>
      </c>
    </row>
    <row r="127" spans="1:4" x14ac:dyDescent="0.25">
      <c r="A127" s="18">
        <v>129</v>
      </c>
      <c r="B127" s="19">
        <v>39699</v>
      </c>
      <c r="C127" s="127">
        <v>0.4375</v>
      </c>
      <c r="D127" s="5" t="s">
        <v>44</v>
      </c>
    </row>
    <row r="128" spans="1:4" x14ac:dyDescent="0.25">
      <c r="A128" s="18">
        <v>130</v>
      </c>
      <c r="B128" s="19">
        <v>39909</v>
      </c>
      <c r="C128" s="127">
        <v>0.29166666666666669</v>
      </c>
      <c r="D128" s="5" t="s">
        <v>44</v>
      </c>
    </row>
    <row r="129" spans="1:4" x14ac:dyDescent="0.25">
      <c r="A129" s="18">
        <v>131</v>
      </c>
      <c r="B129" s="19">
        <v>40050</v>
      </c>
      <c r="C129" s="127">
        <v>0.6875</v>
      </c>
      <c r="D129" s="5" t="s">
        <v>19</v>
      </c>
    </row>
    <row r="130" spans="1:4" x14ac:dyDescent="0.25">
      <c r="A130" s="18">
        <v>132</v>
      </c>
      <c r="B130" s="19">
        <v>40055</v>
      </c>
      <c r="C130" s="127">
        <v>0.77083333333333337</v>
      </c>
      <c r="D130" s="5" t="s">
        <v>44</v>
      </c>
    </row>
    <row r="131" spans="1:4" x14ac:dyDescent="0.25">
      <c r="A131" s="89">
        <v>133</v>
      </c>
      <c r="B131" s="86">
        <v>40110</v>
      </c>
      <c r="C131" s="131">
        <v>0.72916666666666663</v>
      </c>
      <c r="D131" s="10" t="s">
        <v>19</v>
      </c>
    </row>
    <row r="132" spans="1:4" x14ac:dyDescent="0.25">
      <c r="A132" s="18">
        <v>134</v>
      </c>
      <c r="B132" s="19">
        <v>40122</v>
      </c>
      <c r="C132" s="127">
        <v>0.70833333333333337</v>
      </c>
      <c r="D132" s="5" t="s">
        <v>44</v>
      </c>
    </row>
    <row r="133" spans="1:4" x14ac:dyDescent="0.25">
      <c r="A133" s="18">
        <v>135</v>
      </c>
      <c r="B133" s="19">
        <v>40361</v>
      </c>
      <c r="C133" s="127">
        <v>0.63541666666666663</v>
      </c>
      <c r="D133" s="5" t="s">
        <v>44</v>
      </c>
    </row>
    <row r="134" spans="1:4" x14ac:dyDescent="0.25">
      <c r="A134" s="89">
        <v>136</v>
      </c>
      <c r="B134" s="80">
        <v>40361</v>
      </c>
      <c r="C134" s="129">
        <v>0.77083333333333337</v>
      </c>
      <c r="D134" s="84" t="s">
        <v>19</v>
      </c>
    </row>
    <row r="135" spans="1:4" x14ac:dyDescent="0.25">
      <c r="A135" s="18">
        <v>137</v>
      </c>
      <c r="B135" s="19">
        <v>40392</v>
      </c>
      <c r="C135" s="127">
        <v>0.52777777777777779</v>
      </c>
      <c r="D135" s="5" t="s">
        <v>44</v>
      </c>
    </row>
    <row r="136" spans="1:4" x14ac:dyDescent="0.25">
      <c r="A136" s="18">
        <v>138</v>
      </c>
      <c r="B136" s="19">
        <v>40404</v>
      </c>
      <c r="C136" s="127">
        <v>0.41666666666666669</v>
      </c>
      <c r="D136" s="5" t="s">
        <v>44</v>
      </c>
    </row>
    <row r="137" spans="1:4" x14ac:dyDescent="0.25">
      <c r="A137" s="18">
        <v>139</v>
      </c>
      <c r="B137" s="19">
        <v>40473</v>
      </c>
      <c r="C137" s="127">
        <v>0.375</v>
      </c>
      <c r="D137" s="3" t="s">
        <v>23</v>
      </c>
    </row>
    <row r="138" spans="1:4" x14ac:dyDescent="0.25">
      <c r="A138" s="89">
        <v>140</v>
      </c>
      <c r="B138" s="80">
        <v>40700</v>
      </c>
      <c r="C138" s="129">
        <v>0.70833333333333337</v>
      </c>
      <c r="D138" s="81" t="s">
        <v>44</v>
      </c>
    </row>
    <row r="139" spans="1:4" x14ac:dyDescent="0.25">
      <c r="A139" s="18">
        <v>141</v>
      </c>
      <c r="B139" s="19">
        <v>40718</v>
      </c>
      <c r="C139" s="127">
        <v>0.5625</v>
      </c>
      <c r="D139" s="3" t="s">
        <v>44</v>
      </c>
    </row>
    <row r="140" spans="1:4" x14ac:dyDescent="0.25">
      <c r="A140" s="18">
        <v>142</v>
      </c>
      <c r="B140" s="19">
        <v>40797</v>
      </c>
      <c r="C140" s="127">
        <v>0.52083333333333337</v>
      </c>
      <c r="D140" s="3" t="s">
        <v>44</v>
      </c>
    </row>
    <row r="141" spans="1:4" x14ac:dyDescent="0.25">
      <c r="A141" s="18">
        <v>143</v>
      </c>
      <c r="B141" s="19">
        <v>40845</v>
      </c>
      <c r="C141" s="127">
        <v>0.29166666666666669</v>
      </c>
      <c r="D141" s="3" t="s">
        <v>14</v>
      </c>
    </row>
    <row r="142" spans="1:4" x14ac:dyDescent="0.25">
      <c r="A142" s="18">
        <v>144</v>
      </c>
      <c r="B142" s="19">
        <v>40869</v>
      </c>
      <c r="C142" s="127">
        <v>0.47916666666666669</v>
      </c>
      <c r="D142" s="3" t="s">
        <v>44</v>
      </c>
    </row>
    <row r="143" spans="1:4" x14ac:dyDescent="0.25">
      <c r="A143" s="18">
        <v>145</v>
      </c>
      <c r="B143" s="19">
        <v>41035</v>
      </c>
      <c r="C143" s="127">
        <v>0.3125</v>
      </c>
      <c r="D143" s="3" t="s">
        <v>44</v>
      </c>
    </row>
    <row r="144" spans="1:4" x14ac:dyDescent="0.25">
      <c r="A144" s="18">
        <v>146</v>
      </c>
      <c r="B144" s="19">
        <v>41041</v>
      </c>
      <c r="C144" s="127">
        <v>0.5625</v>
      </c>
      <c r="D144" s="3" t="s">
        <v>44</v>
      </c>
    </row>
    <row r="145" spans="1:4" x14ac:dyDescent="0.25">
      <c r="A145" s="18">
        <v>147</v>
      </c>
      <c r="B145" s="19">
        <v>41097</v>
      </c>
      <c r="C145" s="127">
        <v>0.35416666666666669</v>
      </c>
      <c r="D145" s="3" t="s">
        <v>44</v>
      </c>
    </row>
    <row r="146" spans="1:4" x14ac:dyDescent="0.25">
      <c r="A146" s="89">
        <v>148</v>
      </c>
      <c r="B146" s="86">
        <v>41121</v>
      </c>
      <c r="C146" s="131">
        <v>0.28125</v>
      </c>
      <c r="D146" s="7" t="s">
        <v>19</v>
      </c>
    </row>
    <row r="147" spans="1:4" x14ac:dyDescent="0.25">
      <c r="A147" s="18">
        <v>149</v>
      </c>
      <c r="B147" s="19">
        <v>41189</v>
      </c>
      <c r="C147" s="127">
        <v>0.77083333333333337</v>
      </c>
      <c r="D147" s="3" t="s">
        <v>44</v>
      </c>
    </row>
    <row r="148" spans="1:4" x14ac:dyDescent="0.25">
      <c r="A148" s="18">
        <v>150</v>
      </c>
      <c r="B148" s="19">
        <v>41205</v>
      </c>
      <c r="C148" s="127">
        <v>0.45833333333333331</v>
      </c>
      <c r="D148" s="3" t="s">
        <v>23</v>
      </c>
    </row>
    <row r="149" spans="1:4" x14ac:dyDescent="0.25">
      <c r="A149" s="18">
        <v>151</v>
      </c>
      <c r="B149" s="19">
        <v>41212</v>
      </c>
      <c r="C149" s="127">
        <v>0.5</v>
      </c>
      <c r="D149" s="3" t="s">
        <v>14</v>
      </c>
    </row>
    <row r="150" spans="1:4" x14ac:dyDescent="0.25">
      <c r="A150" s="18">
        <v>152</v>
      </c>
      <c r="B150" s="29">
        <v>41450</v>
      </c>
      <c r="C150" s="126">
        <v>0.66666666666666663</v>
      </c>
      <c r="D150" s="18" t="s">
        <v>44</v>
      </c>
    </row>
    <row r="151" spans="1:4" x14ac:dyDescent="0.25">
      <c r="A151" s="18">
        <v>153</v>
      </c>
      <c r="B151" s="29">
        <v>41503</v>
      </c>
      <c r="C151" s="126">
        <v>0.54166666666666663</v>
      </c>
      <c r="D151" s="18" t="s">
        <v>44</v>
      </c>
    </row>
    <row r="152" spans="1:4" x14ac:dyDescent="0.25">
      <c r="A152" s="89">
        <v>154</v>
      </c>
      <c r="B152" s="83">
        <v>41517</v>
      </c>
      <c r="C152" s="132">
        <v>0.95833333333333337</v>
      </c>
      <c r="D152" s="87" t="s">
        <v>19</v>
      </c>
    </row>
    <row r="153" spans="1:4" x14ac:dyDescent="0.25">
      <c r="A153" s="18">
        <v>155</v>
      </c>
      <c r="B153" s="29">
        <v>41553</v>
      </c>
      <c r="C153" s="126">
        <v>0.35416666666666669</v>
      </c>
      <c r="D153" s="18" t="s">
        <v>14</v>
      </c>
    </row>
    <row r="154" spans="1:4" x14ac:dyDescent="0.25">
      <c r="A154" s="18">
        <v>156</v>
      </c>
      <c r="B154" s="29">
        <v>41825</v>
      </c>
      <c r="C154" s="126">
        <v>0.3125</v>
      </c>
      <c r="D154" s="18" t="s">
        <v>44</v>
      </c>
    </row>
    <row r="155" spans="1:4" x14ac:dyDescent="0.25">
      <c r="A155" s="18">
        <v>157</v>
      </c>
      <c r="B155" s="29">
        <v>41895</v>
      </c>
      <c r="C155" s="126">
        <v>0.78125</v>
      </c>
      <c r="D155" s="18" t="s">
        <v>44</v>
      </c>
    </row>
    <row r="156" spans="1:4" x14ac:dyDescent="0.25">
      <c r="A156" s="18">
        <v>158</v>
      </c>
      <c r="B156" s="29">
        <v>41914</v>
      </c>
      <c r="C156" s="126">
        <v>0.72916666666666663</v>
      </c>
      <c r="D156" s="18" t="s">
        <v>19</v>
      </c>
    </row>
    <row r="157" spans="1:4" x14ac:dyDescent="0.25">
      <c r="A157" s="18">
        <v>159</v>
      </c>
      <c r="B157" s="29">
        <v>41915</v>
      </c>
      <c r="C157" s="126">
        <v>0.45833333333333331</v>
      </c>
      <c r="D157" s="18" t="s">
        <v>44</v>
      </c>
    </row>
    <row r="158" spans="1:4" x14ac:dyDescent="0.25">
      <c r="A158" s="18">
        <v>160</v>
      </c>
      <c r="B158" s="29">
        <v>41915</v>
      </c>
      <c r="C158" s="126">
        <v>0.58333333333333337</v>
      </c>
      <c r="D158" s="18" t="s">
        <v>44</v>
      </c>
    </row>
    <row r="159" spans="1:4" x14ac:dyDescent="0.25">
      <c r="A159" s="18">
        <v>161</v>
      </c>
      <c r="B159" s="29">
        <v>41931</v>
      </c>
      <c r="C159" s="126">
        <v>0.60416666666666663</v>
      </c>
      <c r="D159" s="18" t="s">
        <v>44</v>
      </c>
    </row>
    <row r="160" spans="1:4" x14ac:dyDescent="0.25">
      <c r="A160" s="18">
        <v>162</v>
      </c>
      <c r="B160" s="29">
        <v>42001</v>
      </c>
      <c r="C160" s="126">
        <v>0.47916666666666669</v>
      </c>
      <c r="D160" s="18" t="s">
        <v>14</v>
      </c>
    </row>
    <row r="161" spans="1:4" x14ac:dyDescent="0.25">
      <c r="A161" s="18">
        <v>163</v>
      </c>
      <c r="B161" s="29">
        <v>42195</v>
      </c>
      <c r="C161" s="126">
        <v>0.36458333333333331</v>
      </c>
      <c r="D161" s="18" t="s">
        <v>44</v>
      </c>
    </row>
    <row r="162" spans="1:4" x14ac:dyDescent="0.25">
      <c r="A162" s="18">
        <v>164</v>
      </c>
      <c r="B162" s="29">
        <v>42234</v>
      </c>
      <c r="C162" s="126">
        <v>0.3125</v>
      </c>
      <c r="D162" s="18" t="s">
        <v>44</v>
      </c>
    </row>
    <row r="163" spans="1:4" x14ac:dyDescent="0.25">
      <c r="A163" s="18">
        <v>165</v>
      </c>
      <c r="B163" s="29">
        <v>42245</v>
      </c>
      <c r="C163" s="126">
        <v>0.42708333333333331</v>
      </c>
      <c r="D163" s="18" t="s">
        <v>44</v>
      </c>
    </row>
    <row r="164" spans="1:4" x14ac:dyDescent="0.25">
      <c r="A164" s="89">
        <v>166</v>
      </c>
      <c r="B164" s="83">
        <v>42252</v>
      </c>
      <c r="C164" s="132">
        <v>0.625</v>
      </c>
      <c r="D164" s="87" t="s">
        <v>19</v>
      </c>
    </row>
    <row r="165" spans="1:4" x14ac:dyDescent="0.25">
      <c r="A165" s="18">
        <v>167</v>
      </c>
      <c r="B165" s="29">
        <v>42253</v>
      </c>
      <c r="C165" s="126">
        <v>0.72916666666666663</v>
      </c>
      <c r="D165" s="18" t="s">
        <v>44</v>
      </c>
    </row>
    <row r="166" spans="1:4" x14ac:dyDescent="0.25">
      <c r="A166" s="18">
        <v>168</v>
      </c>
      <c r="B166" s="29">
        <v>42267</v>
      </c>
      <c r="C166" s="126">
        <v>0.45833333333333331</v>
      </c>
      <c r="D166" s="18" t="s">
        <v>19</v>
      </c>
    </row>
    <row r="167" spans="1:4" x14ac:dyDescent="0.25">
      <c r="A167" s="18">
        <v>168</v>
      </c>
      <c r="B167" s="29">
        <v>42271</v>
      </c>
      <c r="C167" s="126">
        <v>0.45833333333333331</v>
      </c>
      <c r="D167" s="18" t="s">
        <v>19</v>
      </c>
    </row>
    <row r="168" spans="1:4" x14ac:dyDescent="0.25">
      <c r="A168" s="18">
        <v>169</v>
      </c>
      <c r="B168" s="29">
        <v>42519</v>
      </c>
      <c r="C168" s="126">
        <v>0.625</v>
      </c>
      <c r="D168" s="18" t="s">
        <v>14</v>
      </c>
    </row>
    <row r="169" spans="1:4" x14ac:dyDescent="0.25">
      <c r="A169" s="114" t="s">
        <v>465</v>
      </c>
      <c r="B169" s="115">
        <v>42566</v>
      </c>
      <c r="C169" s="133"/>
      <c r="D169" s="114" t="s">
        <v>507</v>
      </c>
    </row>
    <row r="170" spans="1:4" x14ac:dyDescent="0.25">
      <c r="A170" s="18">
        <v>170</v>
      </c>
      <c r="B170" s="29">
        <v>42614</v>
      </c>
      <c r="C170" s="126">
        <v>0.375</v>
      </c>
      <c r="D170" s="18" t="s">
        <v>19</v>
      </c>
    </row>
    <row r="171" spans="1:4" x14ac:dyDescent="0.25">
      <c r="A171" s="18">
        <v>171</v>
      </c>
      <c r="B171" s="29">
        <v>42630</v>
      </c>
      <c r="C171" s="126" t="s">
        <v>524</v>
      </c>
      <c r="D171" s="18" t="s">
        <v>44</v>
      </c>
    </row>
    <row r="172" spans="1:4" x14ac:dyDescent="0.25">
      <c r="A172" s="18">
        <v>172</v>
      </c>
      <c r="B172" s="29">
        <v>42812</v>
      </c>
      <c r="C172" s="126">
        <v>0.6875</v>
      </c>
      <c r="D172" s="18" t="s">
        <v>44</v>
      </c>
    </row>
    <row r="173" spans="1:4" x14ac:dyDescent="0.25">
      <c r="A173" s="18">
        <v>173</v>
      </c>
      <c r="B173" s="29">
        <v>42854</v>
      </c>
      <c r="C173" s="126">
        <v>0.72916666666666663</v>
      </c>
      <c r="D173" s="18" t="s">
        <v>14</v>
      </c>
    </row>
    <row r="174" spans="1:4" x14ac:dyDescent="0.25">
      <c r="A174" s="18">
        <v>174</v>
      </c>
      <c r="B174" s="29">
        <v>42927</v>
      </c>
      <c r="C174" s="126">
        <v>0.45833333333333331</v>
      </c>
      <c r="D174" s="18" t="s">
        <v>44</v>
      </c>
    </row>
    <row r="175" spans="1:4" x14ac:dyDescent="0.25">
      <c r="A175" s="18">
        <v>175</v>
      </c>
      <c r="B175" s="29">
        <v>42936</v>
      </c>
      <c r="C175" s="126">
        <v>0.33333333333333331</v>
      </c>
      <c r="D175" s="18" t="s">
        <v>44</v>
      </c>
    </row>
    <row r="176" spans="1:4" x14ac:dyDescent="0.25">
      <c r="A176" s="18">
        <v>176</v>
      </c>
      <c r="B176" s="29">
        <v>42936</v>
      </c>
      <c r="C176" s="126">
        <v>0.46875</v>
      </c>
      <c r="D176" s="18" t="s">
        <v>44</v>
      </c>
    </row>
    <row r="177" spans="1:4" x14ac:dyDescent="0.25">
      <c r="A177" s="18">
        <v>177</v>
      </c>
      <c r="B177" s="29">
        <v>42948</v>
      </c>
      <c r="C177" s="126">
        <v>0.44791666666666669</v>
      </c>
      <c r="D177" s="18" t="s">
        <v>44</v>
      </c>
    </row>
    <row r="178" spans="1:4" x14ac:dyDescent="0.25">
      <c r="A178" s="18">
        <v>178</v>
      </c>
      <c r="B178" s="29">
        <v>43063</v>
      </c>
      <c r="C178" s="126">
        <v>0.5625</v>
      </c>
      <c r="D178" s="18" t="s">
        <v>14</v>
      </c>
    </row>
    <row r="179" spans="1:4" x14ac:dyDescent="0.25">
      <c r="A179" s="18">
        <v>179</v>
      </c>
      <c r="B179" s="29">
        <v>43099</v>
      </c>
      <c r="C179" s="126">
        <v>0.625</v>
      </c>
      <c r="D179" s="18" t="s">
        <v>19</v>
      </c>
    </row>
    <row r="180" spans="1:4" x14ac:dyDescent="0.25">
      <c r="A180" s="18">
        <v>180</v>
      </c>
      <c r="B180" s="29">
        <v>43276</v>
      </c>
      <c r="C180" s="125">
        <v>0.75</v>
      </c>
      <c r="D180" s="18" t="s">
        <v>44</v>
      </c>
    </row>
    <row r="181" spans="1:4" x14ac:dyDescent="0.25">
      <c r="A181" s="96" t="s">
        <v>465</v>
      </c>
      <c r="B181" s="97">
        <v>43296</v>
      </c>
      <c r="C181" s="97"/>
      <c r="D181" s="96" t="s">
        <v>472</v>
      </c>
    </row>
    <row r="182" spans="1:4" x14ac:dyDescent="0.25">
      <c r="A182" s="99">
        <v>181</v>
      </c>
      <c r="B182" s="100">
        <v>43336</v>
      </c>
      <c r="C182" s="125">
        <v>0.83333333333333337</v>
      </c>
      <c r="D182" s="99" t="s">
        <v>44</v>
      </c>
    </row>
    <row r="183" spans="1:4" x14ac:dyDescent="0.25">
      <c r="A183" s="96" t="s">
        <v>465</v>
      </c>
      <c r="B183" s="97">
        <v>43370</v>
      </c>
      <c r="C183" s="97"/>
      <c r="D183" s="96" t="s">
        <v>507</v>
      </c>
    </row>
    <row r="184" spans="1:4" x14ac:dyDescent="0.25">
      <c r="A184" s="99">
        <v>182</v>
      </c>
      <c r="B184" s="100">
        <v>43372</v>
      </c>
      <c r="C184" s="125">
        <v>0.29166666666666669</v>
      </c>
      <c r="D184" s="99" t="s">
        <v>14</v>
      </c>
    </row>
    <row r="185" spans="1:4" x14ac:dyDescent="0.25">
      <c r="A185" s="99">
        <v>183</v>
      </c>
      <c r="B185" s="100">
        <v>43396</v>
      </c>
      <c r="C185" s="125">
        <v>0.41666666666666669</v>
      </c>
      <c r="D185" s="99" t="s">
        <v>14</v>
      </c>
    </row>
    <row r="186" spans="1:4" x14ac:dyDescent="0.25">
      <c r="A186" s="99">
        <v>184</v>
      </c>
      <c r="B186" s="100">
        <v>43473</v>
      </c>
      <c r="C186" s="125">
        <v>0.58333333333333337</v>
      </c>
      <c r="D186" s="99" t="s">
        <v>14</v>
      </c>
    </row>
    <row r="187" spans="1:4" x14ac:dyDescent="0.25">
      <c r="A187" s="98">
        <v>185</v>
      </c>
      <c r="B187" s="95">
        <v>43592</v>
      </c>
      <c r="C187" s="95" t="s">
        <v>523</v>
      </c>
      <c r="D187" s="98" t="s">
        <v>44</v>
      </c>
    </row>
    <row r="188" spans="1:4" x14ac:dyDescent="0.25">
      <c r="A188" s="111">
        <v>186</v>
      </c>
      <c r="B188" s="112">
        <v>43709</v>
      </c>
      <c r="C188" s="124">
        <v>0.5</v>
      </c>
      <c r="D188" s="111" t="s">
        <v>44</v>
      </c>
    </row>
    <row r="189" spans="1:4" x14ac:dyDescent="0.25">
      <c r="A189" s="98">
        <v>187</v>
      </c>
      <c r="B189" s="95">
        <v>43743</v>
      </c>
      <c r="C189" s="123">
        <v>0.33333333333333331</v>
      </c>
      <c r="D189" s="98" t="s">
        <v>44</v>
      </c>
    </row>
    <row r="190" spans="1:4" x14ac:dyDescent="0.25">
      <c r="A190" s="98">
        <v>188</v>
      </c>
      <c r="B190" s="95">
        <v>43820</v>
      </c>
      <c r="C190" s="123">
        <v>0.63541666666666663</v>
      </c>
      <c r="D190" s="98" t="s">
        <v>14</v>
      </c>
    </row>
    <row r="191" spans="1:4" x14ac:dyDescent="0.25">
      <c r="A191" s="98">
        <v>189</v>
      </c>
      <c r="B191" s="95">
        <v>43917</v>
      </c>
      <c r="C191" s="123">
        <v>0.79166666666666663</v>
      </c>
      <c r="D191" s="98" t="s">
        <v>44</v>
      </c>
    </row>
    <row r="192" spans="1:4" x14ac:dyDescent="0.25">
      <c r="A192" s="118" t="s">
        <v>465</v>
      </c>
      <c r="B192" s="119">
        <v>43949</v>
      </c>
      <c r="C192" s="119"/>
      <c r="D192" s="118" t="s">
        <v>472</v>
      </c>
    </row>
    <row r="193" spans="1:4" x14ac:dyDescent="0.25">
      <c r="A193" s="98">
        <v>190</v>
      </c>
      <c r="B193" s="95">
        <v>43952</v>
      </c>
      <c r="C193" s="123">
        <v>0.60416666666666663</v>
      </c>
      <c r="D193" s="98" t="s">
        <v>19</v>
      </c>
    </row>
    <row r="194" spans="1:4" x14ac:dyDescent="0.25">
      <c r="A194" s="98">
        <v>191</v>
      </c>
      <c r="B194" s="95">
        <v>43960</v>
      </c>
      <c r="C194" s="123">
        <v>0.5625</v>
      </c>
      <c r="D194" s="98" t="s">
        <v>23</v>
      </c>
    </row>
    <row r="195" spans="1:4" x14ac:dyDescent="0.25">
      <c r="A195" s="99">
        <v>192</v>
      </c>
      <c r="B195" s="95">
        <v>43976</v>
      </c>
      <c r="C195" s="123">
        <v>0.3125</v>
      </c>
      <c r="D195" s="99" t="s">
        <v>44</v>
      </c>
    </row>
    <row r="196" spans="1:4" x14ac:dyDescent="0.25">
      <c r="A196" s="98">
        <v>193</v>
      </c>
      <c r="B196" s="95">
        <v>43976</v>
      </c>
      <c r="C196" s="123">
        <v>0.3125</v>
      </c>
      <c r="D196" s="99" t="s">
        <v>44</v>
      </c>
    </row>
    <row r="197" spans="1:4" x14ac:dyDescent="0.25">
      <c r="A197" s="98">
        <v>194</v>
      </c>
      <c r="B197" s="95">
        <v>44001</v>
      </c>
      <c r="C197" s="123">
        <v>0.66666666666666663</v>
      </c>
      <c r="D197" s="99" t="s">
        <v>44</v>
      </c>
    </row>
    <row r="198" spans="1:4" x14ac:dyDescent="0.25">
      <c r="A198" s="98">
        <v>195</v>
      </c>
      <c r="B198" s="95">
        <v>44055</v>
      </c>
      <c r="C198" s="123">
        <v>0.73749999999999993</v>
      </c>
      <c r="D198" s="99" t="s">
        <v>19</v>
      </c>
    </row>
    <row r="199" spans="1:4" x14ac:dyDescent="0.25">
      <c r="A199" s="98">
        <v>196</v>
      </c>
      <c r="B199" s="95">
        <v>44071</v>
      </c>
      <c r="C199" s="123">
        <v>0.70833333333333337</v>
      </c>
      <c r="D199" s="99" t="s">
        <v>44</v>
      </c>
    </row>
    <row r="200" spans="1:4" x14ac:dyDescent="0.25">
      <c r="A200" s="99">
        <v>197</v>
      </c>
      <c r="B200" s="95">
        <v>44195</v>
      </c>
      <c r="C200" s="123">
        <v>0.58333333333333337</v>
      </c>
      <c r="D200" s="99" t="s">
        <v>44</v>
      </c>
    </row>
    <row r="201" spans="1:4" x14ac:dyDescent="0.25">
      <c r="A201" s="98">
        <v>198</v>
      </c>
      <c r="B201" s="95">
        <v>44373</v>
      </c>
      <c r="C201" s="123">
        <v>0.375</v>
      </c>
      <c r="D201" s="98" t="s">
        <v>14</v>
      </c>
    </row>
    <row r="202" spans="1:4" x14ac:dyDescent="0.25">
      <c r="A202" s="98">
        <v>199</v>
      </c>
      <c r="B202" s="95">
        <v>44377</v>
      </c>
      <c r="C202" s="123">
        <v>0.30208333333333331</v>
      </c>
      <c r="D202" s="98" t="s">
        <v>19</v>
      </c>
    </row>
    <row r="203" spans="1:4" x14ac:dyDescent="0.25">
      <c r="A203" s="98">
        <v>200</v>
      </c>
      <c r="B203" s="95">
        <v>44382</v>
      </c>
      <c r="C203" s="123">
        <v>0.38541666666666669</v>
      </c>
      <c r="D203" s="98" t="s">
        <v>44</v>
      </c>
    </row>
    <row r="204" spans="1:4" x14ac:dyDescent="0.25">
      <c r="A204" s="98">
        <v>201</v>
      </c>
      <c r="B204" s="95">
        <v>44399</v>
      </c>
      <c r="C204" s="123">
        <v>0.46875</v>
      </c>
      <c r="D204" s="98" t="s">
        <v>44</v>
      </c>
    </row>
    <row r="205" spans="1:4" x14ac:dyDescent="0.25">
      <c r="A205" s="98">
        <v>202</v>
      </c>
      <c r="B205" s="95">
        <v>44472</v>
      </c>
      <c r="C205" s="123">
        <v>0.375</v>
      </c>
      <c r="D205" s="98" t="s">
        <v>14</v>
      </c>
    </row>
    <row r="206" spans="1:4" x14ac:dyDescent="0.25">
      <c r="A206" s="98">
        <v>203</v>
      </c>
      <c r="B206" s="95">
        <v>44552</v>
      </c>
      <c r="C206" s="123">
        <v>0.66666666666666663</v>
      </c>
      <c r="D206" s="98" t="s">
        <v>44</v>
      </c>
    </row>
    <row r="207" spans="1:4" x14ac:dyDescent="0.25">
      <c r="A207" s="98">
        <v>204</v>
      </c>
      <c r="B207" s="95">
        <v>44554</v>
      </c>
      <c r="C207" s="123">
        <v>0.44444444444444442</v>
      </c>
      <c r="D207" s="98" t="s">
        <v>23</v>
      </c>
    </row>
    <row r="208" spans="1:4" x14ac:dyDescent="0.25">
      <c r="A208" s="98">
        <v>205</v>
      </c>
      <c r="B208" s="95">
        <v>44618</v>
      </c>
      <c r="C208" s="123">
        <v>0.47916666666666669</v>
      </c>
      <c r="D208" s="98" t="s">
        <v>14</v>
      </c>
    </row>
  </sheetData>
  <dataValidations count="2">
    <dataValidation allowBlank="1" showErrorMessage="1" sqref="D1" xr:uid="{361D942C-EE66-48F6-BC05-7427D69CC7DD}"/>
    <dataValidation type="list" allowBlank="1" showErrorMessage="1" sqref="D2:D186" xr:uid="{BBD1AED8-0056-42D3-B032-D85847786318}">
      <formula1>Injury</formula1>
    </dataValidation>
  </dataValidation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Attacks_1950_2021</vt:lpstr>
      <vt:lpstr>WhiteSharks</vt:lpstr>
      <vt:lpstr>Fatalities</vt:lpstr>
      <vt:lpstr>Counties</vt:lpstr>
      <vt:lpstr>Year</vt:lpstr>
      <vt:lpstr>Species</vt:lpstr>
      <vt:lpstr>Activity</vt:lpstr>
      <vt:lpstr>Month</vt:lpstr>
      <vt:lpstr>TimeofDay</vt:lpstr>
      <vt:lpstr>Moon Phase</vt:lpstr>
      <vt:lpstr>GIS_All_Incidents</vt:lpstr>
      <vt:lpstr>GIS_Injuries</vt:lpstr>
      <vt:lpstr>GIS_Fatalities</vt:lpstr>
    </vt:vector>
  </TitlesOfParts>
  <Company>CDFW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JUgoretz</dc:creator>
  <cp:lastModifiedBy>Ugoretz, John@Wildlife</cp:lastModifiedBy>
  <dcterms:created xsi:type="dcterms:W3CDTF">2017-07-27T23:28:56Z</dcterms:created>
  <dcterms:modified xsi:type="dcterms:W3CDTF">2022-06-15T22:57:34Z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685f86-ed8d-482b-be3a-2b7af73f9b7f_Enabled">
    <vt:lpwstr>True</vt:lpwstr>
  </property>
  <property fmtid="{D5CDD505-2E9C-101B-9397-08002B2CF9AE}" pid="3" name="MSIP_Label_6e685f86-ed8d-482b-be3a-2b7af73f9b7f_SiteId">
    <vt:lpwstr>4b633c25-efbf-4006-9f15-07442ba7aa0b</vt:lpwstr>
  </property>
  <property fmtid="{D5CDD505-2E9C-101B-9397-08002B2CF9AE}" pid="4" name="MSIP_Label_6e685f86-ed8d-482b-be3a-2b7af73f9b7f_Owner">
    <vt:lpwstr>Elizabeth.Hellmers@wildlife.ca.gov</vt:lpwstr>
  </property>
  <property fmtid="{D5CDD505-2E9C-101B-9397-08002B2CF9AE}" pid="5" name="MSIP_Label_6e685f86-ed8d-482b-be3a-2b7af73f9b7f_SetDate">
    <vt:lpwstr>2019-05-10T18:46:25.8179341Z</vt:lpwstr>
  </property>
  <property fmtid="{D5CDD505-2E9C-101B-9397-08002B2CF9AE}" pid="6" name="MSIP_Label_6e685f86-ed8d-482b-be3a-2b7af73f9b7f_Name">
    <vt:lpwstr>General</vt:lpwstr>
  </property>
  <property fmtid="{D5CDD505-2E9C-101B-9397-08002B2CF9AE}" pid="7" name="MSIP_Label_6e685f86-ed8d-482b-be3a-2b7af73f9b7f_Application">
    <vt:lpwstr>Microsoft Azure Information Protection</vt:lpwstr>
  </property>
  <property fmtid="{D5CDD505-2E9C-101B-9397-08002B2CF9AE}" pid="8" name="MSIP_Label_6e685f86-ed8d-482b-be3a-2b7af73f9b7f_Extended_MSFT_Method">
    <vt:lpwstr>Automatic</vt:lpwstr>
  </property>
  <property fmtid="{D5CDD505-2E9C-101B-9397-08002B2CF9AE}" pid="9" name="Sensitivity">
    <vt:lpwstr>General</vt:lpwstr>
  </property>
</Properties>
</file>