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Projects\Altium-Projects\trunk\PSU\DesignFiles\"/>
    </mc:Choice>
  </mc:AlternateContent>
  <xr:revisionPtr revIDLastSave="0" documentId="13_ncr:1_{FE3676BC-08C2-440E-B56E-46905F0B8593}" xr6:coauthVersionLast="33" xr6:coauthVersionMax="33" xr10:uidLastSave="{00000000-0000-0000-0000-000000000000}"/>
  <bookViews>
    <workbookView xWindow="0" yWindow="0" windowWidth="38400" windowHeight="17760" xr2:uid="{00000000-000D-0000-FFFF-FFFF00000000}"/>
  </bookViews>
  <sheets>
    <sheet name="FAN7688 Design Tool" sheetId="1" r:id="rId1"/>
    <sheet name="Sheet2" sheetId="2" state="hidden" r:id="rId2"/>
    <sheet name="Sheet3" sheetId="3" state="hidden" r:id="rId3"/>
  </sheets>
  <definedNames>
    <definedName name="Ae">'FAN7688 Design Tool'!$C$65</definedName>
    <definedName name="answer">'FAN7688 Design Tool'!$C$18</definedName>
    <definedName name="Attn1">'FAN7688 Design Tool'!$C$94</definedName>
    <definedName name="attn2">'FAN7688 Design Tool'!$C$95</definedName>
    <definedName name="Bmax">'FAN7688 Design Tool'!$C$66</definedName>
    <definedName name="C.DT">'FAN7688 Design Tool'!$C$118</definedName>
    <definedName name="Cdl">'FAN7688 Design Tool'!$C$11</definedName>
    <definedName name="CICS">'FAN7688 Design Tool'!$C$92</definedName>
    <definedName name="Cout">'FAN7688 Design Tool'!$C$79</definedName>
    <definedName name="Cr">'FAN7688 Design Tool'!$G$35</definedName>
    <definedName name="Crd">'FAN7688 Design Tool'!$C$37</definedName>
    <definedName name="Eff">'FAN7688 Design Tool'!$C$8</definedName>
    <definedName name="ESR">'FAN7688 Design Tool'!$C$80</definedName>
    <definedName name="f_min">'FAN7688 Design Tool'!$C$73</definedName>
    <definedName name="fo">'FAN7688 Design Tool'!$G$39</definedName>
    <definedName name="fod">'FAN7688 Design Tool'!$C$35</definedName>
    <definedName name="fs_nrm">'FAN7688 Design Tool'!$C$72</definedName>
    <definedName name="Io">'FAN7688 Design Tool'!$C$7</definedName>
    <definedName name="Io.olp">'FAN7688 Design Tool'!$C$85</definedName>
    <definedName name="Iocp">'FAN7688 Design Tool'!$C$71</definedName>
    <definedName name="k">'FAN7688 Design Tool'!$J$1</definedName>
    <definedName name="Lp">'FAN7688 Design Tool'!$G$37</definedName>
    <definedName name="Lr">'FAN7688 Design Tool'!$G$36</definedName>
    <definedName name="Lrd">'FAN7688 Design Tool'!$C$38</definedName>
    <definedName name="M_min">'FAN7688 Design Tool'!$C$24</definedName>
    <definedName name="Ma">'FAN7688 Design Tool'!$G$40</definedName>
    <definedName name="MC">Sheet3!$B$4</definedName>
    <definedName name="mm">'FAN7688 Design Tool'!$C$14</definedName>
    <definedName name="Mv">'FAN7688 Design Tool'!$C$40</definedName>
    <definedName name="n">'FAN7688 Design Tool'!$G$4</definedName>
    <definedName name="nct">'FAN7688 Design Tool'!$C$86</definedName>
    <definedName name="nn">'FAN7688 Design Tool'!$G$28</definedName>
    <definedName name="Np">'FAN7688 Design Tool'!$G$66</definedName>
    <definedName name="Ns">'FAN7688 Design Tool'!$C$68</definedName>
    <definedName name="Pin">'FAN7688 Design Tool'!$G$7</definedName>
    <definedName name="Po">'FAN7688 Design Tool'!$G$6</definedName>
    <definedName name="Q">'FAN7688 Design Tool'!$G$38</definedName>
    <definedName name="Qd">'FAN7688 Design Tool'!$C$36</definedName>
    <definedName name="R.DT">'FAN7688 Design Tool'!$C$119</definedName>
    <definedName name="Rac">'FAN7688 Design Tool'!$G$31</definedName>
    <definedName name="Ro">Sheet3!$B$9</definedName>
    <definedName name="Thu">'FAN7688 Design Tool'!$C$10</definedName>
    <definedName name="u">'FAN7688 Design Tool'!$G$3</definedName>
    <definedName name="VF">'FAN7688 Design Tool'!$C$28</definedName>
    <definedName name="Vin_max">'FAN7688 Design Tool'!$C$9</definedName>
    <definedName name="Vin_min">'FAN7688 Design Tool'!$G$9</definedName>
    <definedName name="wm">Sheet3!$D$10</definedName>
    <definedName name="Vo">'FAN7688 Design Tool'!$C$6</definedName>
    <definedName name="wo">Sheet3!$B$1</definedName>
    <definedName name="wp">Sheet3!$B$2</definedName>
  </definedNames>
  <calcPr calcId="179017" concurrentCalc="0"/>
</workbook>
</file>

<file path=xl/calcChain.xml><?xml version="1.0" encoding="utf-8"?>
<calcChain xmlns="http://schemas.openxmlformats.org/spreadsheetml/2006/main">
  <c r="C90" i="1" l="1"/>
  <c r="G28" i="1"/>
  <c r="Q39" i="2"/>
  <c r="Q38" i="2"/>
  <c r="Q37" i="2"/>
  <c r="Q36" i="2"/>
  <c r="Q35" i="2"/>
  <c r="Q34" i="2"/>
  <c r="Q33" i="2"/>
  <c r="Q32" i="2"/>
  <c r="Q31" i="2"/>
  <c r="Q30" i="2"/>
  <c r="Q29" i="2"/>
  <c r="Q28" i="2"/>
  <c r="P28" i="2"/>
  <c r="P29" i="2"/>
  <c r="P30" i="2"/>
  <c r="P31" i="2"/>
  <c r="P32" i="2"/>
  <c r="P33" i="2"/>
  <c r="P34" i="2"/>
  <c r="P35" i="2"/>
  <c r="P36" i="2"/>
  <c r="P37" i="2"/>
  <c r="P38" i="2"/>
  <c r="P39" i="2"/>
  <c r="O39" i="2"/>
  <c r="O38" i="2"/>
  <c r="O37" i="2"/>
  <c r="O36" i="2"/>
  <c r="O35" i="2"/>
  <c r="O34" i="2"/>
  <c r="O33" i="2"/>
  <c r="O32" i="2"/>
  <c r="O31" i="2"/>
  <c r="O30" i="2"/>
  <c r="O29" i="2"/>
  <c r="O28" i="2"/>
  <c r="B1" i="3"/>
  <c r="B2" i="3"/>
  <c r="P27" i="3"/>
  <c r="P21" i="3"/>
  <c r="P20" i="3"/>
  <c r="P16" i="3"/>
  <c r="P15" i="3"/>
  <c r="D1" i="3"/>
  <c r="N39" i="2"/>
  <c r="M39" i="2"/>
  <c r="L39" i="2"/>
  <c r="K39" i="2"/>
  <c r="J39" i="2"/>
  <c r="I39" i="2"/>
  <c r="H39" i="2"/>
  <c r="G39" i="2"/>
  <c r="F39" i="2"/>
  <c r="E39" i="2"/>
  <c r="N38" i="2"/>
  <c r="M38" i="2"/>
  <c r="L38" i="2"/>
  <c r="K38" i="2"/>
  <c r="J38" i="2"/>
  <c r="I38" i="2"/>
  <c r="H38" i="2"/>
  <c r="G38" i="2"/>
  <c r="F38" i="2"/>
  <c r="E38" i="2"/>
  <c r="N37" i="2"/>
  <c r="M37" i="2"/>
  <c r="L37" i="2"/>
  <c r="K37" i="2"/>
  <c r="J37" i="2"/>
  <c r="I37" i="2"/>
  <c r="H37" i="2"/>
  <c r="G37" i="2"/>
  <c r="F37" i="2"/>
  <c r="E37" i="2"/>
  <c r="N36" i="2"/>
  <c r="M36" i="2"/>
  <c r="L36" i="2"/>
  <c r="K36" i="2"/>
  <c r="J36" i="2"/>
  <c r="I36" i="2"/>
  <c r="H36" i="2"/>
  <c r="G36" i="2"/>
  <c r="F36" i="2"/>
  <c r="E36" i="2"/>
  <c r="N35" i="2"/>
  <c r="M35" i="2"/>
  <c r="L35" i="2"/>
  <c r="K35" i="2"/>
  <c r="J35" i="2"/>
  <c r="I35" i="2"/>
  <c r="H35" i="2"/>
  <c r="G35" i="2"/>
  <c r="F35" i="2"/>
  <c r="E35" i="2"/>
  <c r="N34" i="2"/>
  <c r="M34" i="2"/>
  <c r="L34" i="2"/>
  <c r="K34" i="2"/>
  <c r="J34" i="2"/>
  <c r="I34" i="2"/>
  <c r="H34" i="2"/>
  <c r="G34" i="2"/>
  <c r="F34" i="2"/>
  <c r="E34" i="2"/>
  <c r="N33" i="2"/>
  <c r="M33" i="2"/>
  <c r="L33" i="2"/>
  <c r="K33" i="2"/>
  <c r="J33" i="2"/>
  <c r="I33" i="2"/>
  <c r="H33" i="2"/>
  <c r="G33" i="2"/>
  <c r="F33" i="2"/>
  <c r="E33" i="2"/>
  <c r="N32" i="2"/>
  <c r="M32" i="2"/>
  <c r="L32" i="2"/>
  <c r="K32" i="2"/>
  <c r="J32" i="2"/>
  <c r="I32" i="2"/>
  <c r="H32" i="2"/>
  <c r="G32" i="2"/>
  <c r="F32" i="2"/>
  <c r="E32" i="2"/>
  <c r="N31" i="2"/>
  <c r="M31" i="2"/>
  <c r="L31" i="2"/>
  <c r="K31" i="2"/>
  <c r="J31" i="2"/>
  <c r="I31" i="2"/>
  <c r="H31" i="2"/>
  <c r="G31" i="2"/>
  <c r="F31" i="2"/>
  <c r="E31" i="2"/>
  <c r="N30" i="2"/>
  <c r="M30" i="2"/>
  <c r="L30" i="2"/>
  <c r="K30" i="2"/>
  <c r="J30" i="2"/>
  <c r="I30" i="2"/>
  <c r="H30" i="2"/>
  <c r="G30" i="2"/>
  <c r="F30" i="2"/>
  <c r="E30" i="2"/>
  <c r="N29" i="2"/>
  <c r="M29" i="2"/>
  <c r="L29" i="2"/>
  <c r="K29" i="2"/>
  <c r="J29" i="2"/>
  <c r="I29" i="2"/>
  <c r="H29" i="2"/>
  <c r="G29" i="2"/>
  <c r="F29" i="2"/>
  <c r="E29" i="2"/>
  <c r="N28" i="2"/>
  <c r="M28" i="2"/>
  <c r="L28" i="2"/>
  <c r="K28" i="2"/>
  <c r="J28" i="2"/>
  <c r="I28" i="2"/>
  <c r="H28" i="2"/>
  <c r="G28" i="2"/>
  <c r="F28" i="2"/>
  <c r="E28" i="2"/>
  <c r="D39" i="2"/>
  <c r="D38" i="2"/>
  <c r="D37" i="2"/>
  <c r="D36" i="2"/>
  <c r="D35" i="2"/>
  <c r="D34" i="2"/>
  <c r="D33" i="2"/>
  <c r="D32" i="2"/>
  <c r="D31" i="2"/>
  <c r="D30" i="2"/>
  <c r="D29" i="2"/>
  <c r="D28" i="2"/>
  <c r="C127" i="1"/>
  <c r="C125" i="1"/>
  <c r="C121" i="1"/>
  <c r="C120" i="1"/>
  <c r="C112" i="1"/>
  <c r="C108" i="1"/>
  <c r="C106" i="1"/>
  <c r="C103" i="1"/>
  <c r="C96" i="1"/>
  <c r="C85" i="1"/>
  <c r="C101" i="1"/>
  <c r="G79" i="1"/>
  <c r="G78" i="1"/>
  <c r="G77" i="1"/>
  <c r="G68" i="1"/>
  <c r="G40" i="1"/>
  <c r="F29" i="1"/>
  <c r="C19" i="1"/>
  <c r="G7" i="1"/>
  <c r="G8" i="1"/>
  <c r="G10" i="1"/>
  <c r="G6" i="1"/>
  <c r="C40" i="1"/>
  <c r="B4" i="3"/>
  <c r="G66" i="1"/>
  <c r="G31" i="1"/>
  <c r="P17" i="3"/>
  <c r="P26" i="3"/>
  <c r="B3" i="3"/>
  <c r="P25" i="3"/>
  <c r="C97" i="1"/>
  <c r="G72" i="1"/>
  <c r="G73" i="1"/>
  <c r="C37" i="1"/>
  <c r="C38" i="1"/>
  <c r="C39" i="1"/>
  <c r="P22" i="3"/>
  <c r="C25" i="1"/>
  <c r="G38" i="1"/>
  <c r="G39" i="1"/>
  <c r="G67" i="1"/>
  <c r="C83" i="1"/>
  <c r="G65" i="1"/>
  <c r="G74" i="1"/>
  <c r="C91" i="1"/>
  <c r="G80" i="1"/>
  <c r="G71" i="1"/>
  <c r="C98" i="1"/>
  <c r="A7" i="3"/>
  <c r="C87" i="1"/>
  <c r="C116" i="1"/>
  <c r="C117" i="1"/>
  <c r="A8" i="3"/>
  <c r="B7" i="3"/>
  <c r="B8" i="3"/>
  <c r="A9" i="3"/>
  <c r="E7" i="3"/>
  <c r="D7" i="3"/>
  <c r="G7" i="3"/>
  <c r="F7" i="3"/>
  <c r="C7" i="3"/>
  <c r="G8" i="3"/>
  <c r="F8" i="3"/>
  <c r="E8" i="3"/>
  <c r="C8" i="3"/>
  <c r="D8" i="3"/>
  <c r="B9" i="3"/>
  <c r="A10" i="3"/>
  <c r="A11" i="3"/>
  <c r="B10" i="3"/>
  <c r="D9" i="3"/>
  <c r="G9" i="3"/>
  <c r="P18" i="3"/>
  <c r="F9" i="3"/>
  <c r="E9" i="3"/>
  <c r="C9" i="3"/>
  <c r="E10" i="3"/>
  <c r="G10" i="3"/>
  <c r="D10" i="3"/>
  <c r="P23" i="3"/>
  <c r="F10" i="3"/>
  <c r="C10" i="3"/>
  <c r="A12" i="3"/>
  <c r="B11" i="3"/>
  <c r="B12" i="3"/>
  <c r="A13" i="3"/>
  <c r="G11" i="3"/>
  <c r="E11" i="3"/>
  <c r="F11" i="3"/>
  <c r="C11" i="3"/>
  <c r="D11" i="3"/>
  <c r="A14" i="3"/>
  <c r="B13" i="3"/>
  <c r="E12" i="3"/>
  <c r="D12" i="3"/>
  <c r="F12" i="3"/>
  <c r="G12" i="3"/>
  <c r="C12" i="3"/>
  <c r="D13" i="3"/>
  <c r="E13" i="3"/>
  <c r="C13" i="3"/>
  <c r="G13" i="3"/>
  <c r="F13" i="3"/>
  <c r="B14" i="3"/>
  <c r="A15" i="3"/>
  <c r="G14" i="3"/>
  <c r="F14" i="3"/>
  <c r="D14" i="3"/>
  <c r="C14" i="3"/>
  <c r="E14" i="3"/>
  <c r="A16" i="3"/>
  <c r="B15" i="3"/>
  <c r="G15" i="3"/>
  <c r="C15" i="3"/>
  <c r="D15" i="3"/>
  <c r="F15" i="3"/>
  <c r="E15" i="3"/>
  <c r="B16" i="3"/>
  <c r="A17" i="3"/>
  <c r="C16" i="3"/>
  <c r="F16" i="3"/>
  <c r="G16" i="3"/>
  <c r="E16" i="3"/>
  <c r="D16" i="3"/>
  <c r="B17" i="3"/>
  <c r="A18" i="3"/>
  <c r="E17" i="3"/>
  <c r="C17" i="3"/>
  <c r="D17" i="3"/>
  <c r="G17" i="3"/>
  <c r="F17" i="3"/>
  <c r="A19" i="3"/>
  <c r="B18" i="3"/>
  <c r="A20" i="3"/>
  <c r="B19" i="3"/>
  <c r="D18" i="3"/>
  <c r="C18" i="3"/>
  <c r="G18" i="3"/>
  <c r="F18" i="3"/>
  <c r="E18" i="3"/>
  <c r="B20" i="3"/>
  <c r="A21" i="3"/>
  <c r="G19" i="3"/>
  <c r="F19" i="3"/>
  <c r="D19" i="3"/>
  <c r="E19" i="3"/>
  <c r="C19" i="3"/>
  <c r="D20" i="3"/>
  <c r="E20" i="3"/>
  <c r="F20" i="3"/>
  <c r="G20" i="3"/>
  <c r="C20" i="3"/>
  <c r="B21" i="3"/>
  <c r="A22" i="3"/>
  <c r="A23" i="3"/>
  <c r="B22" i="3"/>
  <c r="E21" i="3"/>
  <c r="G21" i="3"/>
  <c r="D21" i="3"/>
  <c r="F21" i="3"/>
  <c r="C21" i="3"/>
  <c r="A24" i="3"/>
  <c r="B23" i="3"/>
  <c r="G22" i="3"/>
  <c r="F22" i="3"/>
  <c r="E22" i="3"/>
  <c r="D22" i="3"/>
  <c r="C22" i="3"/>
  <c r="C23" i="3"/>
  <c r="D23" i="3"/>
  <c r="G23" i="3"/>
  <c r="F23" i="3"/>
  <c r="E23" i="3"/>
  <c r="B24" i="3"/>
  <c r="A25" i="3"/>
  <c r="F24" i="3"/>
  <c r="G24" i="3"/>
  <c r="E24" i="3"/>
  <c r="D24" i="3"/>
  <c r="C24" i="3"/>
  <c r="B25" i="3"/>
  <c r="A26" i="3"/>
  <c r="A27" i="3"/>
  <c r="B26" i="3"/>
  <c r="E25" i="3"/>
  <c r="F25" i="3"/>
  <c r="C25" i="3"/>
  <c r="D25" i="3"/>
  <c r="G25" i="3"/>
  <c r="A28" i="3"/>
  <c r="B27" i="3"/>
  <c r="E26" i="3"/>
  <c r="D26" i="3"/>
  <c r="C26" i="3"/>
  <c r="G26" i="3"/>
  <c r="F26" i="3"/>
  <c r="B28" i="3"/>
  <c r="A29" i="3"/>
  <c r="C27" i="3"/>
  <c r="F27" i="3"/>
  <c r="E27" i="3"/>
  <c r="D27" i="3"/>
  <c r="G27" i="3"/>
  <c r="A30" i="3"/>
  <c r="B29" i="3"/>
  <c r="E28" i="3"/>
  <c r="G28" i="3"/>
  <c r="F28" i="3"/>
  <c r="C28" i="3"/>
  <c r="D28" i="3"/>
  <c r="B30" i="3"/>
  <c r="A31" i="3"/>
  <c r="C29" i="3"/>
  <c r="E29" i="3"/>
  <c r="D29" i="3"/>
  <c r="F29" i="3"/>
  <c r="G29" i="3"/>
  <c r="E30" i="3"/>
  <c r="C30" i="3"/>
  <c r="D30" i="3"/>
  <c r="F30" i="3"/>
  <c r="G30" i="3"/>
  <c r="A32" i="3"/>
  <c r="B31" i="3"/>
  <c r="G31" i="3"/>
  <c r="E31" i="3"/>
  <c r="F31" i="3"/>
  <c r="D31" i="3"/>
  <c r="C31" i="3"/>
  <c r="A33" i="3"/>
  <c r="B32" i="3"/>
  <c r="B33" i="3"/>
  <c r="A34" i="3"/>
  <c r="G32" i="3"/>
  <c r="C32" i="3"/>
  <c r="F32" i="3"/>
  <c r="E32" i="3"/>
  <c r="D32" i="3"/>
  <c r="C33" i="3"/>
  <c r="F33" i="3"/>
  <c r="D33" i="3"/>
  <c r="E33" i="3"/>
  <c r="G33" i="3"/>
  <c r="A35" i="3"/>
  <c r="B34" i="3"/>
  <c r="G34" i="3"/>
  <c r="F34" i="3"/>
  <c r="E34" i="3"/>
  <c r="C34" i="3"/>
  <c r="D34" i="3"/>
  <c r="A36" i="3"/>
  <c r="B35" i="3"/>
  <c r="D35" i="3"/>
  <c r="G35" i="3"/>
  <c r="E35" i="3"/>
  <c r="C35" i="3"/>
  <c r="F35" i="3"/>
  <c r="B36" i="3"/>
  <c r="A37" i="3"/>
  <c r="B37" i="3"/>
  <c r="A38" i="3"/>
  <c r="D36" i="3"/>
  <c r="E36" i="3"/>
  <c r="C36" i="3"/>
  <c r="F36" i="3"/>
  <c r="G36" i="3"/>
  <c r="B38" i="3"/>
  <c r="A39" i="3"/>
  <c r="C37" i="3"/>
  <c r="G37" i="3"/>
  <c r="F37" i="3"/>
  <c r="E37" i="3"/>
  <c r="D37" i="3"/>
  <c r="G38" i="3"/>
  <c r="C38" i="3"/>
  <c r="D38" i="3"/>
  <c r="E38" i="3"/>
  <c r="F38" i="3"/>
  <c r="B39" i="3"/>
  <c r="A40" i="3"/>
  <c r="A41" i="3"/>
  <c r="B40" i="3"/>
  <c r="E39" i="3"/>
  <c r="F39" i="3"/>
  <c r="D39" i="3"/>
  <c r="C39" i="3"/>
  <c r="G39" i="3"/>
  <c r="B41" i="3"/>
  <c r="A42" i="3"/>
  <c r="G40" i="3"/>
  <c r="F40" i="3"/>
  <c r="C40" i="3"/>
  <c r="D40" i="3"/>
  <c r="E40" i="3"/>
  <c r="B42" i="3"/>
  <c r="A43" i="3"/>
  <c r="F41" i="3"/>
  <c r="E41" i="3"/>
  <c r="D41" i="3"/>
  <c r="C41" i="3"/>
  <c r="G41" i="3"/>
  <c r="G42" i="3"/>
  <c r="C42" i="3"/>
  <c r="E42" i="3"/>
  <c r="F42" i="3"/>
  <c r="D42" i="3"/>
  <c r="B43" i="3"/>
  <c r="A44" i="3"/>
  <c r="E43" i="3"/>
  <c r="G43" i="3"/>
  <c r="C43" i="3"/>
  <c r="D43" i="3"/>
  <c r="F43" i="3"/>
  <c r="B44" i="3"/>
  <c r="A45" i="3"/>
  <c r="D44" i="3"/>
  <c r="G44" i="3"/>
  <c r="F44" i="3"/>
  <c r="C44" i="3"/>
  <c r="E44" i="3"/>
  <c r="B45" i="3"/>
  <c r="A46" i="3"/>
  <c r="B46" i="3"/>
  <c r="A47" i="3"/>
  <c r="F45" i="3"/>
  <c r="G45" i="3"/>
  <c r="C45" i="3"/>
  <c r="D45" i="3"/>
  <c r="E45" i="3"/>
  <c r="D46" i="3"/>
  <c r="C46" i="3"/>
  <c r="G46" i="3"/>
  <c r="E46" i="3"/>
  <c r="F46" i="3"/>
  <c r="B47" i="3"/>
  <c r="A48" i="3"/>
  <c r="F47" i="3"/>
  <c r="E47" i="3"/>
  <c r="C47" i="3"/>
  <c r="D47" i="3"/>
  <c r="G47" i="3"/>
  <c r="B48" i="3"/>
  <c r="A49" i="3"/>
  <c r="C48" i="3"/>
  <c r="D48" i="3"/>
  <c r="F48" i="3"/>
  <c r="E48" i="3"/>
  <c r="G48" i="3"/>
  <c r="B49" i="3"/>
  <c r="A50" i="3"/>
  <c r="E49" i="3"/>
  <c r="D49" i="3"/>
  <c r="C49" i="3"/>
  <c r="F49" i="3"/>
  <c r="G49" i="3"/>
  <c r="A51" i="3"/>
  <c r="B50" i="3"/>
  <c r="G50" i="3"/>
  <c r="F50" i="3"/>
  <c r="C50" i="3"/>
  <c r="E50" i="3"/>
  <c r="D50" i="3"/>
  <c r="A52" i="3"/>
  <c r="B51" i="3"/>
  <c r="F51" i="3"/>
  <c r="E51" i="3"/>
  <c r="G51" i="3"/>
  <c r="D51" i="3"/>
  <c r="C51" i="3"/>
  <c r="B52" i="3"/>
  <c r="A53" i="3"/>
  <c r="B53" i="3"/>
  <c r="A54" i="3"/>
  <c r="G52" i="3"/>
  <c r="C52" i="3"/>
  <c r="E52" i="3"/>
  <c r="D52" i="3"/>
  <c r="F52" i="3"/>
  <c r="A55" i="3"/>
  <c r="B54" i="3"/>
  <c r="F53" i="3"/>
  <c r="E53" i="3"/>
  <c r="C53" i="3"/>
  <c r="G53" i="3"/>
  <c r="D53" i="3"/>
  <c r="A56" i="3"/>
  <c r="B55" i="3"/>
  <c r="C54" i="3"/>
  <c r="G54" i="3"/>
  <c r="E54" i="3"/>
  <c r="D54" i="3"/>
  <c r="F54" i="3"/>
  <c r="B56" i="3"/>
  <c r="A57" i="3"/>
  <c r="E55" i="3"/>
  <c r="C55" i="3"/>
  <c r="F55" i="3"/>
  <c r="D55" i="3"/>
  <c r="G55" i="3"/>
  <c r="B57" i="3"/>
  <c r="A58" i="3"/>
  <c r="G56" i="3"/>
  <c r="E56" i="3"/>
  <c r="F56" i="3"/>
  <c r="D56" i="3"/>
  <c r="C56" i="3"/>
  <c r="F57" i="3"/>
  <c r="G57" i="3"/>
  <c r="D57" i="3"/>
  <c r="C57" i="3"/>
  <c r="E57" i="3"/>
  <c r="A59" i="3"/>
  <c r="B58" i="3"/>
  <c r="E58" i="3"/>
  <c r="G58" i="3"/>
  <c r="C58" i="3"/>
  <c r="F58" i="3"/>
  <c r="D58" i="3"/>
  <c r="B59" i="3"/>
  <c r="A60" i="3"/>
  <c r="B60" i="3"/>
  <c r="A61" i="3"/>
  <c r="E59" i="3"/>
  <c r="F59" i="3"/>
  <c r="G59" i="3"/>
  <c r="D59" i="3"/>
  <c r="C59" i="3"/>
  <c r="G60" i="3"/>
  <c r="C60" i="3"/>
  <c r="F60" i="3"/>
  <c r="E60" i="3"/>
  <c r="D60" i="3"/>
  <c r="A62" i="3"/>
  <c r="B61" i="3"/>
  <c r="E61" i="3"/>
  <c r="G61" i="3"/>
  <c r="F61" i="3"/>
  <c r="C61" i="3"/>
  <c r="D61" i="3"/>
  <c r="A63" i="3"/>
  <c r="B62" i="3"/>
  <c r="C62" i="3"/>
  <c r="D62" i="3"/>
  <c r="G62" i="3"/>
  <c r="F62" i="3"/>
  <c r="E62" i="3"/>
  <c r="A64" i="3"/>
  <c r="B63" i="3"/>
  <c r="D63" i="3"/>
  <c r="E63" i="3"/>
  <c r="C63" i="3"/>
  <c r="F63" i="3"/>
  <c r="G63" i="3"/>
  <c r="B64" i="3"/>
  <c r="A65" i="3"/>
  <c r="C64" i="3"/>
  <c r="F64" i="3"/>
  <c r="E64" i="3"/>
  <c r="D64" i="3"/>
  <c r="G64" i="3"/>
  <c r="A66" i="3"/>
  <c r="B65" i="3"/>
  <c r="B66" i="3"/>
  <c r="A67" i="3"/>
  <c r="E65" i="3"/>
  <c r="D65" i="3"/>
  <c r="C65" i="3"/>
  <c r="G65" i="3"/>
  <c r="F65" i="3"/>
  <c r="B67" i="3"/>
  <c r="A68" i="3"/>
  <c r="F66" i="3"/>
  <c r="C66" i="3"/>
  <c r="G66" i="3"/>
  <c r="D66" i="3"/>
  <c r="E66" i="3"/>
  <c r="B68" i="3"/>
  <c r="A69" i="3"/>
  <c r="D67" i="3"/>
  <c r="E67" i="3"/>
  <c r="F67" i="3"/>
  <c r="C67" i="3"/>
  <c r="G67" i="3"/>
  <c r="B69" i="3"/>
  <c r="A70" i="3"/>
  <c r="E68" i="3"/>
  <c r="F68" i="3"/>
  <c r="G68" i="3"/>
  <c r="C68" i="3"/>
  <c r="D68" i="3"/>
  <c r="C69" i="3"/>
  <c r="E69" i="3"/>
  <c r="G69" i="3"/>
  <c r="D69" i="3"/>
  <c r="F69" i="3"/>
  <c r="A71" i="3"/>
  <c r="B70" i="3"/>
  <c r="A72" i="3"/>
  <c r="B71" i="3"/>
  <c r="C70" i="3"/>
  <c r="G70" i="3"/>
  <c r="E70" i="3"/>
  <c r="D70" i="3"/>
  <c r="F70" i="3"/>
  <c r="B72" i="3"/>
  <c r="A73" i="3"/>
  <c r="D71" i="3"/>
  <c r="F71" i="3"/>
  <c r="G71" i="3"/>
  <c r="E71" i="3"/>
  <c r="C71" i="3"/>
  <c r="E72" i="3"/>
  <c r="F72" i="3"/>
  <c r="D72" i="3"/>
  <c r="G72" i="3"/>
  <c r="C72" i="3"/>
  <c r="B73" i="3"/>
  <c r="A74" i="3"/>
  <c r="E73" i="3"/>
  <c r="F73" i="3"/>
  <c r="G73" i="3"/>
  <c r="C73" i="3"/>
  <c r="D73" i="3"/>
  <c r="A75" i="3"/>
  <c r="B74" i="3"/>
  <c r="B75" i="3"/>
  <c r="A76" i="3"/>
  <c r="G74" i="3"/>
  <c r="E74" i="3"/>
  <c r="F74" i="3"/>
  <c r="C74" i="3"/>
  <c r="D74" i="3"/>
  <c r="C75" i="3"/>
  <c r="D75" i="3"/>
  <c r="E75" i="3"/>
  <c r="F75" i="3"/>
  <c r="G75" i="3"/>
  <c r="B76" i="3"/>
  <c r="A77" i="3"/>
  <c r="B77" i="3"/>
  <c r="A78" i="3"/>
  <c r="F76" i="3"/>
  <c r="G76" i="3"/>
  <c r="D76" i="3"/>
  <c r="C76" i="3"/>
  <c r="E76" i="3"/>
  <c r="A79" i="3"/>
  <c r="B78" i="3"/>
  <c r="D77" i="3"/>
  <c r="F77" i="3"/>
  <c r="C77" i="3"/>
  <c r="E77" i="3"/>
  <c r="G77" i="3"/>
  <c r="A80" i="3"/>
  <c r="B79" i="3"/>
  <c r="G78" i="3"/>
  <c r="F78" i="3"/>
  <c r="C78" i="3"/>
  <c r="D78" i="3"/>
  <c r="E78" i="3"/>
  <c r="B80" i="3"/>
  <c r="A81" i="3"/>
  <c r="C79" i="3"/>
  <c r="F79" i="3"/>
  <c r="E79" i="3"/>
  <c r="D79" i="3"/>
  <c r="G79" i="3"/>
  <c r="D80" i="3"/>
  <c r="C80" i="3"/>
  <c r="E80" i="3"/>
  <c r="G80" i="3"/>
  <c r="F80" i="3"/>
  <c r="B81" i="3"/>
  <c r="A82" i="3"/>
  <c r="A83" i="3"/>
  <c r="B82" i="3"/>
  <c r="F81" i="3"/>
  <c r="D81" i="3"/>
  <c r="G81" i="3"/>
  <c r="C81" i="3"/>
  <c r="E81" i="3"/>
  <c r="B83" i="3"/>
  <c r="A84" i="3"/>
  <c r="D82" i="3"/>
  <c r="C82" i="3"/>
  <c r="G82" i="3"/>
  <c r="E82" i="3"/>
  <c r="F82" i="3"/>
  <c r="G83" i="3"/>
  <c r="C83" i="3"/>
  <c r="E83" i="3"/>
  <c r="D83" i="3"/>
  <c r="F83" i="3"/>
  <c r="B84" i="3"/>
  <c r="A85" i="3"/>
  <c r="A86" i="3"/>
  <c r="B85" i="3"/>
  <c r="C84" i="3"/>
  <c r="F84" i="3"/>
  <c r="G84" i="3"/>
  <c r="D84" i="3"/>
  <c r="E84" i="3"/>
  <c r="F85" i="3"/>
  <c r="E85" i="3"/>
  <c r="D85" i="3"/>
  <c r="G85" i="3"/>
  <c r="C85" i="3"/>
  <c r="B86" i="3"/>
  <c r="A87" i="3"/>
  <c r="A88" i="3"/>
  <c r="B87" i="3"/>
  <c r="D86" i="3"/>
  <c r="G86" i="3"/>
  <c r="E86" i="3"/>
  <c r="F86" i="3"/>
  <c r="C86" i="3"/>
  <c r="A89" i="3"/>
  <c r="B88" i="3"/>
  <c r="F87" i="3"/>
  <c r="C87" i="3"/>
  <c r="D87" i="3"/>
  <c r="G87" i="3"/>
  <c r="E87" i="3"/>
  <c r="B89" i="3"/>
  <c r="A90" i="3"/>
  <c r="C88" i="3"/>
  <c r="E88" i="3"/>
  <c r="G88" i="3"/>
  <c r="D88" i="3"/>
  <c r="F88" i="3"/>
  <c r="A91" i="3"/>
  <c r="B90" i="3"/>
  <c r="F89" i="3"/>
  <c r="E89" i="3"/>
  <c r="C89" i="3"/>
  <c r="D89" i="3"/>
  <c r="G89" i="3"/>
  <c r="A92" i="3"/>
  <c r="B91" i="3"/>
  <c r="C90" i="3"/>
  <c r="D90" i="3"/>
  <c r="G90" i="3"/>
  <c r="E90" i="3"/>
  <c r="F90" i="3"/>
  <c r="A93" i="3"/>
  <c r="B92" i="3"/>
  <c r="F91" i="3"/>
  <c r="C91" i="3"/>
  <c r="D91" i="3"/>
  <c r="G91" i="3"/>
  <c r="E91" i="3"/>
  <c r="B93" i="3"/>
  <c r="A94" i="3"/>
  <c r="E92" i="3"/>
  <c r="D92" i="3"/>
  <c r="G92" i="3"/>
  <c r="C92" i="3"/>
  <c r="F92" i="3"/>
  <c r="C93" i="3"/>
  <c r="E93" i="3"/>
  <c r="D93" i="3"/>
  <c r="F93" i="3"/>
  <c r="G93" i="3"/>
  <c r="A95" i="3"/>
  <c r="B94" i="3"/>
  <c r="A96" i="3"/>
  <c r="B95" i="3"/>
  <c r="D94" i="3"/>
  <c r="E94" i="3"/>
  <c r="F94" i="3"/>
  <c r="C94" i="3"/>
  <c r="G94" i="3"/>
  <c r="A97" i="3"/>
  <c r="B96" i="3"/>
  <c r="D95" i="3"/>
  <c r="F95" i="3"/>
  <c r="C95" i="3"/>
  <c r="E95" i="3"/>
  <c r="G95" i="3"/>
  <c r="A98" i="3"/>
  <c r="B97" i="3"/>
  <c r="E96" i="3"/>
  <c r="D96" i="3"/>
  <c r="C96" i="3"/>
  <c r="F96" i="3"/>
  <c r="G96" i="3"/>
  <c r="B98" i="3"/>
  <c r="A99" i="3"/>
  <c r="G97" i="3"/>
  <c r="C97" i="3"/>
  <c r="E97" i="3"/>
  <c r="D97" i="3"/>
  <c r="F97" i="3"/>
  <c r="A100" i="3"/>
  <c r="B99" i="3"/>
  <c r="F98" i="3"/>
  <c r="D98" i="3"/>
  <c r="G98" i="3"/>
  <c r="E98" i="3"/>
  <c r="C98" i="3"/>
  <c r="B100" i="3"/>
  <c r="A101" i="3"/>
  <c r="G99" i="3"/>
  <c r="F99" i="3"/>
  <c r="D99" i="3"/>
  <c r="C99" i="3"/>
  <c r="E99" i="3"/>
  <c r="E100" i="3"/>
  <c r="F100" i="3"/>
  <c r="G100" i="3"/>
  <c r="D100" i="3"/>
  <c r="C100" i="3"/>
  <c r="B101" i="3"/>
  <c r="A102" i="3"/>
  <c r="A103" i="3"/>
  <c r="B102" i="3"/>
  <c r="E101" i="3"/>
  <c r="G101" i="3"/>
  <c r="C101" i="3"/>
  <c r="F101" i="3"/>
  <c r="D101" i="3"/>
  <c r="D102" i="3"/>
  <c r="C102" i="3"/>
  <c r="G102" i="3"/>
  <c r="E102" i="3"/>
  <c r="F102" i="3"/>
  <c r="A104" i="3"/>
  <c r="B103" i="3"/>
  <c r="G103" i="3"/>
  <c r="F103" i="3"/>
  <c r="E103" i="3"/>
  <c r="C103" i="3"/>
  <c r="D103" i="3"/>
  <c r="B104" i="3"/>
  <c r="A105" i="3"/>
  <c r="C104" i="3"/>
  <c r="E104" i="3"/>
  <c r="D104" i="3"/>
  <c r="F104" i="3"/>
  <c r="G104" i="3"/>
  <c r="B105" i="3"/>
  <c r="A106" i="3"/>
  <c r="E105" i="3"/>
  <c r="D105" i="3"/>
  <c r="F105" i="3"/>
  <c r="C105" i="3"/>
  <c r="G105" i="3"/>
  <c r="A107" i="3"/>
  <c r="B106" i="3"/>
  <c r="E106" i="3"/>
  <c r="F106" i="3"/>
  <c r="G106" i="3"/>
  <c r="D106" i="3"/>
  <c r="C106" i="3"/>
  <c r="A108" i="3"/>
  <c r="B107" i="3"/>
  <c r="E107" i="3"/>
  <c r="F107" i="3"/>
  <c r="C107" i="3"/>
  <c r="G107" i="3"/>
  <c r="D107" i="3"/>
  <c r="A109" i="3"/>
  <c r="B109" i="3"/>
  <c r="B108" i="3"/>
  <c r="D108" i="3"/>
  <c r="F108" i="3"/>
  <c r="G108" i="3"/>
  <c r="C108" i="3"/>
  <c r="E108" i="3"/>
  <c r="E109" i="3"/>
  <c r="F109" i="3"/>
  <c r="C109" i="3"/>
  <c r="G109" i="3"/>
  <c r="D109" i="3"/>
</calcChain>
</file>

<file path=xl/sharedStrings.xml><?xml version="1.0" encoding="utf-8"?>
<sst xmlns="http://schemas.openxmlformats.org/spreadsheetml/2006/main" count="258" uniqueCount="179">
  <si>
    <t>LLC resonant half-bridge converter design tools for FAN7688</t>
  </si>
  <si>
    <t>k</t>
  </si>
  <si>
    <t>Blue cells</t>
  </si>
  <si>
    <t>are the input parameters</t>
  </si>
  <si>
    <t>m</t>
  </si>
  <si>
    <t>Red cells</t>
  </si>
  <si>
    <t>are the output parameters</t>
  </si>
  <si>
    <t>u</t>
  </si>
  <si>
    <t>n</t>
  </si>
  <si>
    <t>1. Define the system specifications</t>
  </si>
  <si>
    <t>Maximum input voltage</t>
  </si>
  <si>
    <t>V</t>
  </si>
  <si>
    <t>Output voltage</t>
  </si>
  <si>
    <t>Output power</t>
  </si>
  <si>
    <t>W</t>
  </si>
  <si>
    <t>Output current</t>
  </si>
  <si>
    <t>A</t>
  </si>
  <si>
    <t>Input Power</t>
  </si>
  <si>
    <t>Estimated efficiency</t>
  </si>
  <si>
    <t>%</t>
  </si>
  <si>
    <t>Holdup time requirement</t>
  </si>
  <si>
    <t>ms</t>
  </si>
  <si>
    <t>Input Bulk capacitor</t>
  </si>
  <si>
    <t>uF</t>
  </si>
  <si>
    <t>2. Determine the maximum and minimum gain of the resonant network</t>
  </si>
  <si>
    <t>Ratio between Lp and Lr (m)</t>
  </si>
  <si>
    <t>:: Lp = primary side inductance with secondary open</t>
  </si>
  <si>
    <t>:: Lr = primary side inductance with secondary short</t>
  </si>
  <si>
    <t>Integrated Tx (YES=1, No=0) ?</t>
  </si>
  <si>
    <t>Gain at the resonant freq</t>
  </si>
  <si>
    <t xml:space="preserve">The min gain should be same as or a little bit </t>
  </si>
  <si>
    <t>higher than the gain at the resonant frequency (fo)</t>
  </si>
  <si>
    <t>Min gain for max input voltage</t>
  </si>
  <si>
    <t>Max gain for min input voltage</t>
  </si>
  <si>
    <t>3. Determine the transformer turns ratio</t>
  </si>
  <si>
    <t>Rectifier diode forward voltage drop</t>
  </si>
  <si>
    <t>turns ratio (n=Np/Ns)</t>
  </si>
  <si>
    <t>4. Calculate the equivalent load resistance</t>
  </si>
  <si>
    <t>Rac</t>
  </si>
  <si>
    <t>Ω</t>
  </si>
  <si>
    <t>5. Design the resonant network</t>
  </si>
  <si>
    <t>Designed resonant network</t>
  </si>
  <si>
    <t>Actual resonant network Design</t>
  </si>
  <si>
    <t>Resonant frequency (fo)</t>
  </si>
  <si>
    <t>kHz</t>
  </si>
  <si>
    <t>Cr</t>
  </si>
  <si>
    <t>nF</t>
  </si>
  <si>
    <t>Q factor from the design graph</t>
  </si>
  <si>
    <t>Lr</t>
  </si>
  <si>
    <t>uH</t>
  </si>
  <si>
    <t>Designed Cr</t>
  </si>
  <si>
    <t>Lp</t>
  </si>
  <si>
    <t>Designed Lr</t>
  </si>
  <si>
    <t>Q factor</t>
  </si>
  <si>
    <t>Designed Lp</t>
  </si>
  <si>
    <t>resonant freq (fo)</t>
  </si>
  <si>
    <t>Mv</t>
  </si>
  <si>
    <t>Ratio between Lp and Lr</t>
  </si>
  <si>
    <t>6. Design the transformer</t>
  </si>
  <si>
    <t>Cross sectional area of the core (Ae)</t>
  </si>
  <si>
    <r>
      <t>mm</t>
    </r>
    <r>
      <rPr>
        <vertAlign val="superscript"/>
        <sz val="10"/>
        <color indexed="12"/>
        <rFont val="Arial"/>
        <family val="2"/>
      </rPr>
      <t>2</t>
    </r>
  </si>
  <si>
    <t>Minimum primary side turns</t>
  </si>
  <si>
    <t>turns</t>
  </si>
  <si>
    <t>T</t>
  </si>
  <si>
    <t>Primary side turns (Np)</t>
  </si>
  <si>
    <t>RMS current in primary winding</t>
  </si>
  <si>
    <t>Arms</t>
  </si>
  <si>
    <t>Secondy side turns (Ns)</t>
  </si>
  <si>
    <t>RMS current in seconadry winding</t>
  </si>
  <si>
    <t>7. Select the resonant capacitor (Cr)</t>
  </si>
  <si>
    <t>Secondary side OCP level</t>
  </si>
  <si>
    <t>RMS current through Cr</t>
  </si>
  <si>
    <t>Switching frequency at Vin.max</t>
  </si>
  <si>
    <t>Max voltage of Cr (Vin.max, Io)</t>
  </si>
  <si>
    <t>switching frequency at Vin.min</t>
  </si>
  <si>
    <t>Max voltage of Cr (Vin.max, Io.ocp)</t>
  </si>
  <si>
    <t>Max voltage of Cr (Vin.min, Io.ocp)</t>
  </si>
  <si>
    <t>8. Rectifier network design</t>
  </si>
  <si>
    <t>This design is for center tap transformer rectifier stage</t>
  </si>
  <si>
    <t>Diode voltage stress</t>
  </si>
  <si>
    <t>RMS current through each diode</t>
  </si>
  <si>
    <t>Output Capacitor</t>
  </si>
  <si>
    <t>RMS current through Co</t>
  </si>
  <si>
    <t>ESR of the output capacitor (Co)</t>
  </si>
  <si>
    <t>mΩ</t>
  </si>
  <si>
    <t>Output Voltage Ripple</t>
  </si>
  <si>
    <t>mV</t>
  </si>
  <si>
    <t>9. Current Sensing Circuit Configuration</t>
  </si>
  <si>
    <t>Primary side peak current</t>
  </si>
  <si>
    <t>OCP Primary side current</t>
  </si>
  <si>
    <t>OLP output current</t>
  </si>
  <si>
    <t>Turns ratio of current transformer (N2/N1)</t>
  </si>
  <si>
    <t>Recommended minimum Rcs1+Rcs2</t>
  </si>
  <si>
    <t>Rcs1+Rcs2 selection</t>
  </si>
  <si>
    <t>Rcs1</t>
  </si>
  <si>
    <t>Rcs2</t>
  </si>
  <si>
    <t>VCM (should be larger than 2V)</t>
  </si>
  <si>
    <t>ICS capacitor (C_ICS)</t>
  </si>
  <si>
    <t>Slope compensation Resistor</t>
  </si>
  <si>
    <t>kΩ</t>
  </si>
  <si>
    <t>VICS attenuation factor for VICS=1.2V</t>
  </si>
  <si>
    <t>VICS attenuation factor for VICS=1.45V</t>
  </si>
  <si>
    <t>Aditional slope on VICS at nominal VIN</t>
  </si>
  <si>
    <t>ICS resistor (R_ICS)</t>
  </si>
  <si>
    <t>VICS at VIN_MIN and full load</t>
  </si>
  <si>
    <t>10. Soft-Start Setting</t>
  </si>
  <si>
    <t>Minimum output voltage rising time</t>
  </si>
  <si>
    <t>Soft-start time</t>
  </si>
  <si>
    <t>Soft-start capacitor</t>
  </si>
  <si>
    <t>11. Minimum frequency setting</t>
  </si>
  <si>
    <t>Switching frequency at Vin.min</t>
  </si>
  <si>
    <t>Minimum frequency setting</t>
  </si>
  <si>
    <r>
      <t>Min frequency setting resistor (R</t>
    </r>
    <r>
      <rPr>
        <b/>
        <vertAlign val="subscript"/>
        <sz val="10"/>
        <color indexed="60"/>
        <rFont val="Arial"/>
        <family val="2"/>
      </rPr>
      <t>FMIN</t>
    </r>
    <r>
      <rPr>
        <b/>
        <sz val="10"/>
        <color indexed="60"/>
        <rFont val="Arial"/>
        <family val="2"/>
      </rPr>
      <t>)</t>
    </r>
  </si>
  <si>
    <t>12. PWM mode setting</t>
  </si>
  <si>
    <t>Vcomp.pwm</t>
  </si>
  <si>
    <t>frequency at PWM mode</t>
  </si>
  <si>
    <t>13. Deadtime Setting</t>
  </si>
  <si>
    <t>Effective Coss of primary side MOSFET</t>
  </si>
  <si>
    <t>pF</t>
  </si>
  <si>
    <t xml:space="preserve">Peak of magnetizing current </t>
  </si>
  <si>
    <t>minimum dead time in the primary side</t>
  </si>
  <si>
    <t>ns</t>
  </si>
  <si>
    <t>CDT</t>
  </si>
  <si>
    <t>RDT</t>
  </si>
  <si>
    <t>Primary side MOSFET dead time</t>
  </si>
  <si>
    <t>Secondary side SR dead time</t>
  </si>
  <si>
    <t>14. SR drain voltage sensing</t>
  </si>
  <si>
    <t>RDS1</t>
  </si>
  <si>
    <t>Minimum RDS2</t>
  </si>
  <si>
    <t>RDS2 selection</t>
  </si>
  <si>
    <t>Maximum filter capacitor on DS1SR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</si>
  <si>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</si>
  <si>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</si>
  <si>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</si>
  <si>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</si>
  <si>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</si>
  <si>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m=4.5</t>
    <phoneticPr fontId="0" type="noConversion"/>
  </si>
  <si>
    <t>m=5</t>
    <phoneticPr fontId="0" type="noConversion"/>
  </si>
  <si>
    <t>m=6</t>
    <phoneticPr fontId="0" type="noConversion"/>
  </si>
  <si>
    <t>m=7</t>
    <phoneticPr fontId="0" type="noConversion"/>
  </si>
  <si>
    <t>m=8</t>
    <phoneticPr fontId="0" type="noConversion"/>
  </si>
  <si>
    <t>m=9</t>
  </si>
  <si>
    <t>m=10</t>
  </si>
  <si>
    <t>m=12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</si>
  <si>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</si>
  <si>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</si>
  <si>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</si>
  <si>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</si>
  <si>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</si>
  <si>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m=6</t>
    <phoneticPr fontId="0" type="noConversion"/>
  </si>
  <si>
    <t>m=7</t>
    <phoneticPr fontId="0" type="noConversion"/>
  </si>
  <si>
    <t>fs</t>
    <phoneticPr fontId="0" type="noConversion"/>
  </si>
  <si>
    <t>ws</t>
    <phoneticPr fontId="0" type="noConversion"/>
  </si>
  <si>
    <t>wo=</t>
    <phoneticPr fontId="0" type="noConversion"/>
  </si>
  <si>
    <t>wp=</t>
    <phoneticPr fontId="0" type="noConversion"/>
  </si>
  <si>
    <t>fo=</t>
    <phoneticPr fontId="0" type="noConversion"/>
  </si>
  <si>
    <t>fp=</t>
    <phoneticPr fontId="0" type="noConversion"/>
  </si>
  <si>
    <t>Outputs</t>
    <phoneticPr fontId="0" type="noConversion"/>
  </si>
  <si>
    <t>Lm=</t>
    <phoneticPr fontId="0" type="noConversion"/>
  </si>
  <si>
    <t>Llk=</t>
    <phoneticPr fontId="0" type="noConversion"/>
  </si>
  <si>
    <t>n=</t>
    <phoneticPr fontId="0" type="noConversion"/>
  </si>
  <si>
    <t>Rac=</t>
    <phoneticPr fontId="0" type="noConversion"/>
  </si>
  <si>
    <t>Q=</t>
    <phoneticPr fontId="0" type="noConversion"/>
  </si>
  <si>
    <t>Qp</t>
    <phoneticPr fontId="0" type="noConversion"/>
  </si>
  <si>
    <t>m</t>
    <phoneticPr fontId="0" type="noConversion"/>
  </si>
  <si>
    <t>rad/s</t>
  </si>
  <si>
    <t>Q=</t>
  </si>
  <si>
    <t>100% load</t>
  </si>
  <si>
    <t>80% load</t>
  </si>
  <si>
    <t>60% load</t>
  </si>
  <si>
    <t>40% load</t>
  </si>
  <si>
    <t>20% load</t>
  </si>
  <si>
    <t>MC=</t>
  </si>
  <si>
    <t>m=14</t>
  </si>
  <si>
    <t>m=16</t>
  </si>
  <si>
    <t>Input voltage during holdup time</t>
  </si>
  <si>
    <t>Minimum input voltage for Design</t>
  </si>
  <si>
    <t>V1.4</t>
    <phoneticPr fontId="23" type="noConversion"/>
  </si>
  <si>
    <t>Maximum flux density Bmax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</si>
</sst>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0.0E+00"/>
    <numFmt numFmtId="166" formatCode="0.0_ "/>
    <numFmt numFmtId="167" formatCode="0.00_ "/>
    <numFmt numFmtId="168" formatCode="0_ "/>
    <numFmt numFmtId="169" formatCode="0.0"/>
    <numFmt numFmtId="170" formatCode="0.00000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indexed="60"/>
      <name val="Arial"/>
      <family val="2"/>
    </font>
    <font>
      <sz val="10"/>
      <color rgb="FF0070C0"/>
      <name val="Arial"/>
      <family val="2"/>
    </font>
    <font>
      <b/>
      <sz val="11"/>
      <name val="돋움"/>
      <family val="3"/>
      <charset val="129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9"/>
      <name val="Calibri"/>
      <family val="3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7A7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7FEEF1"/>
        <bgColor indexed="64"/>
      </patternFill>
    </fill>
    <fill>
      <patternFill patternType="solid">
        <fgColor rgb="FFEE96D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6" fillId="2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5" fillId="0" borderId="0" xfId="0" applyFont="1" applyProtection="1">
      <protection hidden="1"/>
    </xf>
    <xf numFmtId="165" fontId="5" fillId="0" borderId="0" xfId="0" applyNumberFormat="1" applyFont="1" applyProtection="1">
      <protection hidden="1"/>
    </xf>
    <xf numFmtId="0" fontId="7" fillId="3" borderId="0" xfId="0" applyFont="1" applyFill="1" applyProtection="1">
      <protection hidden="1"/>
    </xf>
    <xf numFmtId="0" fontId="6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4" fillId="4" borderId="0" xfId="0" applyFont="1" applyFill="1" applyAlignment="1" applyProtection="1">
      <protection hidden="1"/>
    </xf>
    <xf numFmtId="0" fontId="1" fillId="4" borderId="0" xfId="0" applyFont="1" applyFill="1" applyAlignment="1" applyProtection="1">
      <protection hidden="1"/>
    </xf>
    <xf numFmtId="0" fontId="8" fillId="0" borderId="0" xfId="0" applyFont="1" applyProtection="1">
      <protection hidden="1"/>
    </xf>
    <xf numFmtId="0" fontId="1" fillId="2" borderId="0" xfId="0" applyFont="1" applyFill="1" applyProtection="1">
      <protection locked="0"/>
    </xf>
    <xf numFmtId="0" fontId="9" fillId="0" borderId="0" xfId="0" applyFont="1" applyProtection="1">
      <protection hidden="1"/>
    </xf>
    <xf numFmtId="0" fontId="3" fillId="3" borderId="0" xfId="0" applyFont="1" applyFill="1" applyProtection="1">
      <protection hidden="1"/>
    </xf>
    <xf numFmtId="0" fontId="3" fillId="0" borderId="0" xfId="0" applyFont="1" applyProtection="1">
      <protection hidden="1"/>
    </xf>
    <xf numFmtId="166" fontId="3" fillId="3" borderId="0" xfId="0" applyNumberFormat="1" applyFont="1" applyFill="1" applyProtection="1">
      <protection hidden="1"/>
    </xf>
    <xf numFmtId="0" fontId="10" fillId="5" borderId="1" xfId="0" applyFont="1" applyFill="1" applyBorder="1" applyProtection="1">
      <protection hidden="1"/>
    </xf>
    <xf numFmtId="0" fontId="11" fillId="5" borderId="2" xfId="0" applyFont="1" applyFill="1" applyBorder="1" applyProtection="1">
      <protection hidden="1"/>
    </xf>
    <xf numFmtId="0" fontId="11" fillId="5" borderId="3" xfId="0" applyFont="1" applyFill="1" applyBorder="1" applyProtection="1">
      <protection hidden="1"/>
    </xf>
    <xf numFmtId="0" fontId="10" fillId="5" borderId="4" xfId="0" applyFont="1" applyFill="1" applyBorder="1" applyProtection="1">
      <protection hidden="1"/>
    </xf>
    <xf numFmtId="0" fontId="11" fillId="5" borderId="5" xfId="0" applyFont="1" applyFill="1" applyBorder="1" applyProtection="1">
      <protection hidden="1"/>
    </xf>
    <xf numFmtId="0" fontId="11" fillId="5" borderId="6" xfId="0" applyFont="1" applyFill="1" applyBorder="1" applyProtection="1">
      <protection hidden="1"/>
    </xf>
    <xf numFmtId="167" fontId="3" fillId="3" borderId="0" xfId="0" applyNumberFormat="1" applyFont="1" applyFill="1" applyProtection="1">
      <protection hidden="1"/>
    </xf>
    <xf numFmtId="167" fontId="8" fillId="2" borderId="0" xfId="0" applyNumberFormat="1" applyFont="1" applyFill="1" applyProtection="1">
      <protection locked="0"/>
    </xf>
    <xf numFmtId="0" fontId="12" fillId="0" borderId="0" xfId="0" applyFont="1" applyProtection="1">
      <protection hidden="1"/>
    </xf>
    <xf numFmtId="168" fontId="3" fillId="3" borderId="0" xfId="0" applyNumberFormat="1" applyFont="1" applyFill="1" applyProtection="1">
      <protection hidden="1"/>
    </xf>
    <xf numFmtId="0" fontId="1" fillId="0" borderId="1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13" fillId="0" borderId="7" xfId="0" applyFont="1" applyBorder="1" applyProtection="1">
      <protection hidden="1"/>
    </xf>
    <xf numFmtId="0" fontId="3" fillId="0" borderId="9" xfId="0" applyFont="1" applyBorder="1" applyProtection="1">
      <protection hidden="1"/>
    </xf>
    <xf numFmtId="0" fontId="1" fillId="0" borderId="10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3" fillId="0" borderId="12" xfId="0" applyFont="1" applyBorder="1" applyProtection="1">
      <protection hidden="1"/>
    </xf>
    <xf numFmtId="0" fontId="3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166" fontId="3" fillId="3" borderId="0" xfId="0" applyNumberFormat="1" applyFont="1" applyFill="1" applyBorder="1" applyProtection="1">
      <protection hidden="1"/>
    </xf>
    <xf numFmtId="0" fontId="3" fillId="0" borderId="11" xfId="0" applyFont="1" applyBorder="1" applyProtection="1">
      <protection hidden="1"/>
    </xf>
    <xf numFmtId="168" fontId="3" fillId="3" borderId="0" xfId="0" applyNumberFormat="1" applyFont="1" applyFill="1" applyBorder="1" applyProtection="1">
      <protection hidden="1"/>
    </xf>
    <xf numFmtId="0" fontId="9" fillId="0" borderId="12" xfId="0" applyFont="1" applyBorder="1" applyProtection="1">
      <protection hidden="1"/>
    </xf>
    <xf numFmtId="167" fontId="3" fillId="3" borderId="0" xfId="0" applyNumberFormat="1" applyFont="1" applyFill="1" applyBorder="1" applyProtection="1">
      <protection hidden="1"/>
    </xf>
    <xf numFmtId="0" fontId="9" fillId="0" borderId="4" xfId="0" applyFont="1" applyBorder="1" applyProtection="1">
      <protection hidden="1"/>
    </xf>
    <xf numFmtId="168" fontId="3" fillId="3" borderId="5" xfId="0" applyNumberFormat="1" applyFont="1" applyFill="1" applyBorder="1" applyProtection="1">
      <protection hidden="1"/>
    </xf>
    <xf numFmtId="0" fontId="3" fillId="0" borderId="6" xfId="0" applyFont="1" applyBorder="1" applyProtection="1">
      <protection hidden="1"/>
    </xf>
    <xf numFmtId="0" fontId="9" fillId="0" borderId="14" xfId="0" applyFont="1" applyBorder="1" applyProtection="1">
      <protection hidden="1"/>
    </xf>
    <xf numFmtId="166" fontId="3" fillId="3" borderId="15" xfId="0" applyNumberFormat="1" applyFont="1" applyFill="1" applyBorder="1" applyProtection="1">
      <protection hidden="1"/>
    </xf>
    <xf numFmtId="0" fontId="3" fillId="0" borderId="16" xfId="0" applyFont="1" applyBorder="1" applyProtection="1">
      <protection hidden="1"/>
    </xf>
    <xf numFmtId="0" fontId="15" fillId="0" borderId="0" xfId="0" applyFont="1" applyProtection="1">
      <protection hidden="1"/>
    </xf>
    <xf numFmtId="2" fontId="3" fillId="3" borderId="0" xfId="0" applyNumberFormat="1" applyFont="1" applyFill="1" applyProtection="1">
      <protection hidden="1"/>
    </xf>
    <xf numFmtId="0" fontId="16" fillId="0" borderId="0" xfId="0" applyFont="1" applyProtection="1">
      <protection hidden="1"/>
    </xf>
    <xf numFmtId="2" fontId="1" fillId="6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7" fillId="0" borderId="0" xfId="0" applyFont="1" applyProtection="1">
      <protection hidden="1"/>
    </xf>
    <xf numFmtId="0" fontId="8" fillId="7" borderId="0" xfId="0" applyFont="1" applyFill="1" applyProtection="1">
      <protection hidden="1"/>
    </xf>
    <xf numFmtId="1" fontId="3" fillId="3" borderId="0" xfId="0" applyNumberFormat="1" applyFont="1" applyFill="1" applyProtection="1">
      <protection hidden="1"/>
    </xf>
    <xf numFmtId="4" fontId="3" fillId="3" borderId="0" xfId="0" applyNumberFormat="1" applyFont="1" applyFill="1" applyProtection="1">
      <protection hidden="1"/>
    </xf>
    <xf numFmtId="0" fontId="1" fillId="0" borderId="0" xfId="0" applyFont="1" applyFill="1" applyProtection="1">
      <protection hidden="1"/>
    </xf>
    <xf numFmtId="3" fontId="3" fillId="3" borderId="0" xfId="0" applyNumberFormat="1" applyFont="1" applyFill="1" applyProtection="1">
      <protection hidden="1"/>
    </xf>
    <xf numFmtId="1" fontId="1" fillId="6" borderId="0" xfId="0" applyNumberFormat="1" applyFont="1" applyFill="1" applyProtection="1">
      <protection hidden="1"/>
    </xf>
    <xf numFmtId="169" fontId="1" fillId="6" borderId="0" xfId="0" applyNumberFormat="1" applyFont="1" applyFill="1" applyProtection="1">
      <protection hidden="1"/>
    </xf>
    <xf numFmtId="167" fontId="1" fillId="0" borderId="0" xfId="0" applyNumberFormat="1" applyFont="1" applyProtection="1">
      <protection hidden="1"/>
    </xf>
    <xf numFmtId="11" fontId="1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" fillId="9" borderId="0" xfId="0" applyFont="1" applyFill="1" applyProtection="1">
      <protection hidden="1"/>
    </xf>
    <xf numFmtId="0" fontId="0" fillId="10" borderId="0" xfId="0" applyFill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167" fontId="0" fillId="0" borderId="0" xfId="0" applyNumberFormat="1"/>
    <xf numFmtId="2" fontId="0" fillId="14" borderId="0" xfId="0" applyNumberFormat="1" applyFill="1"/>
    <xf numFmtId="4" fontId="0" fillId="0" borderId="0" xfId="0" applyNumberFormat="1"/>
    <xf numFmtId="11" fontId="0" fillId="0" borderId="0" xfId="0" applyNumberFormat="1"/>
    <xf numFmtId="2" fontId="0" fillId="0" borderId="0" xfId="0" applyNumberFormat="1"/>
    <xf numFmtId="0" fontId="20" fillId="11" borderId="17" xfId="0" applyFont="1" applyFill="1" applyBorder="1" applyAlignment="1">
      <alignment horizontal="right"/>
    </xf>
    <xf numFmtId="164" fontId="20" fillId="11" borderId="18" xfId="0" applyNumberFormat="1" applyFont="1" applyFill="1" applyBorder="1"/>
    <xf numFmtId="3" fontId="20" fillId="11" borderId="18" xfId="0" applyNumberFormat="1" applyFont="1" applyFill="1" applyBorder="1"/>
    <xf numFmtId="11" fontId="20" fillId="11" borderId="18" xfId="0" applyNumberFormat="1" applyFont="1" applyFill="1" applyBorder="1"/>
    <xf numFmtId="166" fontId="20" fillId="11" borderId="18" xfId="0" applyNumberFormat="1" applyFont="1" applyFill="1" applyBorder="1"/>
    <xf numFmtId="0" fontId="20" fillId="11" borderId="17" xfId="0" applyFont="1" applyFill="1" applyBorder="1"/>
    <xf numFmtId="0" fontId="20" fillId="11" borderId="18" xfId="0" applyFont="1" applyFill="1" applyBorder="1"/>
    <xf numFmtId="167" fontId="20" fillId="11" borderId="18" xfId="0" applyNumberFormat="1" applyFont="1" applyFill="1" applyBorder="1"/>
    <xf numFmtId="4" fontId="20" fillId="11" borderId="18" xfId="0" applyNumberFormat="1" applyFont="1" applyFill="1" applyBorder="1"/>
    <xf numFmtId="169" fontId="21" fillId="17" borderId="0" xfId="0" applyNumberFormat="1" applyFont="1" applyFill="1" applyProtection="1">
      <protection hidden="1"/>
    </xf>
    <xf numFmtId="0" fontId="22" fillId="0" borderId="0" xfId="0" applyFont="1" applyProtection="1">
      <protection hidden="1"/>
    </xf>
    <xf numFmtId="0" fontId="22" fillId="2" borderId="0" xfId="0" applyFont="1" applyFill="1" applyProtection="1">
      <protection locked="0"/>
    </xf>
    <xf numFmtId="170" fontId="1" fillId="0" borderId="0" xfId="0" applyNumberFormat="1" applyFont="1" applyProtection="1">
      <protection hidden="1"/>
    </xf>
    <xf numFmtId="166" fontId="3" fillId="16" borderId="0" xfId="0" applyNumberFormat="1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169" fontId="8" fillId="2" borderId="0" xfId="0" applyNumberFormat="1" applyFont="1" applyFill="1" applyProtection="1">
      <protection locked="0"/>
    </xf>
    <xf numFmtId="0" fontId="1" fillId="8" borderId="0" xfId="0" applyFont="1" applyFill="1" applyProtection="1">
      <protection locked="0"/>
    </xf>
    <xf numFmtId="0" fontId="20" fillId="15" borderId="17" xfId="0" applyFont="1" applyFill="1" applyBorder="1" applyAlignment="1">
      <alignment horizontal="center"/>
    </xf>
    <xf numFmtId="0" fontId="0" fillId="15" borderId="1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96D1"/>
      <color rgb="FF7FE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07507579558088"/>
          <c:y val="6.8195047094930683E-2"/>
          <c:w val="0.77217586028893415"/>
          <c:h val="0.7664547976482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0.79154235026023334</c:v>
                </c:pt>
                <c:pt idx="1">
                  <c:v>0.81928763845702945</c:v>
                </c:pt>
                <c:pt idx="2">
                  <c:v>0.84729090196541723</c:v>
                </c:pt>
                <c:pt idx="3">
                  <c:v>0.87544582009802541</c:v>
                </c:pt>
                <c:pt idx="4">
                  <c:v>0.9036346671109462</c:v>
                </c:pt>
                <c:pt idx="5">
                  <c:v>0.93172921252560614</c:v>
                </c:pt>
                <c:pt idx="6">
                  <c:v>0.95959208556133102</c:v>
                </c:pt>
                <c:pt idx="7">
                  <c:v>0.98707862057068796</c:v>
                </c:pt>
                <c:pt idx="8">
                  <c:v>1.0140391725319577</c:v>
                </c:pt>
                <c:pt idx="9">
                  <c:v>1.040321858792755</c:v>
                </c:pt>
                <c:pt idx="10">
                  <c:v>1.0657756478478893</c:v>
                </c:pt>
                <c:pt idx="11">
                  <c:v>1.0902536813982473</c:v>
                </c:pt>
                <c:pt idx="12">
                  <c:v>1.1136166863190038</c:v>
                </c:pt>
                <c:pt idx="13">
                  <c:v>1.1357363125802309</c:v>
                </c:pt>
                <c:pt idx="14">
                  <c:v>1.1564982251148963</c:v>
                </c:pt>
                <c:pt idx="15">
                  <c:v>1.1758047843214359</c:v>
                </c:pt>
                <c:pt idx="16">
                  <c:v>1.193577171688091</c:v>
                </c:pt>
                <c:pt idx="17">
                  <c:v>1.2097568522344109</c:v>
                </c:pt>
                <c:pt idx="18">
                  <c:v>1.2243063104731442</c:v>
                </c:pt>
                <c:pt idx="19">
                  <c:v>1.2372090464240175</c:v>
                </c:pt>
                <c:pt idx="20">
                  <c:v>1.2484688673206084</c:v>
                </c:pt>
                <c:pt idx="21">
                  <c:v>1.2581085538443981</c:v>
                </c:pt>
                <c:pt idx="22">
                  <c:v>1.2661680129300956</c:v>
                </c:pt>
                <c:pt idx="23">
                  <c:v>1.2727020500000721</c:v>
                </c:pt>
                <c:pt idx="24">
                  <c:v>1.2777779013111024</c:v>
                </c:pt>
                <c:pt idx="25">
                  <c:v>1.2814726629917843</c:v>
                </c:pt>
                <c:pt idx="26">
                  <c:v>1.283870739600832</c:v>
                </c:pt>
                <c:pt idx="27">
                  <c:v>1.2850614146156261</c:v>
                </c:pt>
                <c:pt idx="28">
                  <c:v>1.2851366212824766</c:v>
                </c:pt>
                <c:pt idx="29">
                  <c:v>1.2841889675477716</c:v>
                </c:pt>
                <c:pt idx="30">
                  <c:v>1.2823100455878218</c:v>
                </c:pt>
                <c:pt idx="31">
                  <c:v>1.2795890363075568</c:v>
                </c:pt>
                <c:pt idx="32">
                  <c:v>1.2761116029326063</c:v>
                </c:pt>
                <c:pt idx="33">
                  <c:v>1.2719590557298199</c:v>
                </c:pt>
                <c:pt idx="34">
                  <c:v>1.2672077617641195</c:v>
                </c:pt>
                <c:pt idx="35">
                  <c:v>1.2619287689497243</c:v>
                </c:pt>
                <c:pt idx="36">
                  <c:v>1.2561876118452122</c:v>
                </c:pt>
                <c:pt idx="37">
                  <c:v>1.2500442669984511</c:v>
                </c:pt>
                <c:pt idx="38">
                  <c:v>1.2435532275300574</c:v>
                </c:pt>
                <c:pt idx="39">
                  <c:v>1.2367636694969004</c:v>
                </c:pt>
                <c:pt idx="40">
                  <c:v>1.2297196859485344</c:v>
                </c:pt>
                <c:pt idx="41">
                  <c:v>1.2224605681348737</c:v>
                </c:pt>
                <c:pt idx="42">
                  <c:v>1.2150211167968625</c:v>
                </c:pt>
                <c:pt idx="43">
                  <c:v>1.2074319697113922</c:v>
                </c:pt>
                <c:pt idx="44">
                  <c:v>1.1997199345722882</c:v>
                </c:pt>
                <c:pt idx="45">
                  <c:v>1.1919083188266544</c:v>
                </c:pt>
                <c:pt idx="46">
                  <c:v>1.1840172502420365</c:v>
                </c:pt>
                <c:pt idx="47">
                  <c:v>1.1760639837707574</c:v>
                </c:pt>
                <c:pt idx="48">
                  <c:v>1.1680631917338979</c:v>
                </c:pt>
                <c:pt idx="49">
                  <c:v>1.1600272355069108</c:v>
                </c:pt>
                <c:pt idx="50">
                  <c:v>1.1519664177925479</c:v>
                </c:pt>
                <c:pt idx="51">
                  <c:v>1.1438892152547091</c:v>
                </c:pt>
                <c:pt idx="52">
                  <c:v>1.1358024917963947</c:v>
                </c:pt>
                <c:pt idx="53">
                  <c:v>1.1277116931296436</c:v>
                </c:pt>
                <c:pt idx="54">
                  <c:v>1.1196210235344577</c:v>
                </c:pt>
                <c:pt idx="55">
                  <c:v>1.1115336058620984</c:v>
                </c:pt>
                <c:pt idx="56">
                  <c:v>1.103451625926656</c:v>
                </c:pt>
                <c:pt idx="57">
                  <c:v>1.0953764624645155</c:v>
                </c:pt>
                <c:pt idx="58">
                  <c:v>1.0873088038380896</c:v>
                </c:pt>
                <c:pt idx="59">
                  <c:v>1.0792487526290522</c:v>
                </c:pt>
                <c:pt idx="60">
                  <c:v>1.0711959192159199</c:v>
                </c:pt>
                <c:pt idx="61">
                  <c:v>1.063149505367937</c:v>
                </c:pt>
                <c:pt idx="62">
                  <c:v>1.0551083788170161</c:v>
                </c:pt>
                <c:pt idx="63">
                  <c:v>1.0470711396957368</c:v>
                </c:pt>
                <c:pt idx="64">
                  <c:v>1.0390361796550769</c:v>
                </c:pt>
                <c:pt idx="65">
                  <c:v>1.0310017344025659</c:v>
                </c:pt>
                <c:pt idx="66">
                  <c:v>1.0229659303314231</c:v>
                </c:pt>
                <c:pt idx="67">
                  <c:v>1.0149268258448512</c:v>
                </c:pt>
                <c:pt idx="68">
                  <c:v>1.0068824479176188</c:v>
                </c:pt>
                <c:pt idx="69">
                  <c:v>0.99883082437964932</c:v>
                </c:pt>
                <c:pt idx="70">
                  <c:v>0.99077001235367956</c:v>
                </c:pt>
                <c:pt idx="71">
                  <c:v>0.98269812323111427</c:v>
                </c:pt>
                <c:pt idx="72">
                  <c:v>0.97461334452680148</c:v>
                </c:pt>
                <c:pt idx="73">
                  <c:v>0.96651395891448899</c:v>
                </c:pt>
                <c:pt idx="74">
                  <c:v>0.9583983607098121</c:v>
                </c:pt>
                <c:pt idx="75">
                  <c:v>0.95026507003664817</c:v>
                </c:pt>
                <c:pt idx="76">
                  <c:v>0.94211274488521801</c:v>
                </c:pt>
                <c:pt idx="77">
                  <c:v>0.93394019124614591</c:v>
                </c:pt>
                <c:pt idx="78">
                  <c:v>0.92574637148351857</c:v>
                </c:pt>
                <c:pt idx="79">
                  <c:v>0.91753041109156785</c:v>
                </c:pt>
                <c:pt idx="80">
                  <c:v>0.9092916039636546</c:v>
                </c:pt>
                <c:pt idx="81">
                  <c:v>0.90102941628851418</c:v>
                </c:pt>
                <c:pt idx="82">
                  <c:v>0.89274348917702528</c:v>
                </c:pt>
                <c:pt idx="83">
                  <c:v>0.88443364011283332</c:v>
                </c:pt>
                <c:pt idx="84">
                  <c:v>0.87609986331183731</c:v>
                </c:pt>
                <c:pt idx="85">
                  <c:v>0.86774232906860027</c:v>
                </c:pt>
                <c:pt idx="86">
                  <c:v>0.85936138216203117</c:v>
                </c:pt>
                <c:pt idx="87">
                  <c:v>0.85095753938802443</c:v>
                </c:pt>
                <c:pt idx="88">
                  <c:v>0.84253148628299912</c:v>
                </c:pt>
                <c:pt idx="89">
                  <c:v>0.83408407309928134</c:v>
                </c:pt>
                <c:pt idx="90">
                  <c:v>0.82561631009093972</c:v>
                </c:pt>
                <c:pt idx="91">
                  <c:v>0.81712936216685506</c:v>
                </c:pt>
                <c:pt idx="92">
                  <c:v>0.80862454296638309</c:v>
                </c:pt>
                <c:pt idx="93">
                  <c:v>0.80010330841188326</c:v>
                </c:pt>
                <c:pt idx="94">
                  <c:v>0.79156724979149862</c:v>
                </c:pt>
                <c:pt idx="95">
                  <c:v>0.78301808642485171</c:v>
                </c:pt>
                <c:pt idx="96">
                  <c:v>0.77445765796365862</c:v>
                </c:pt>
                <c:pt idx="97">
                  <c:v>0.76588791637863163</c:v>
                </c:pt>
                <c:pt idx="98">
                  <c:v>0.75731091768334902</c:v>
                </c:pt>
                <c:pt idx="99">
                  <c:v>0.74872881344502129</c:v>
                </c:pt>
                <c:pt idx="100">
                  <c:v>0.74014384213119</c:v>
                </c:pt>
                <c:pt idx="101">
                  <c:v>0.73155832034036505</c:v>
                </c:pt>
                <c:pt idx="102">
                  <c:v>0.72297463396341111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78A-96AB-53A6905BD81C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0.96330315559298352</c:v>
                </c:pt>
                <c:pt idx="1">
                  <c:v>1.0023366491357293</c:v>
                </c:pt>
                <c:pt idx="2">
                  <c:v>1.0416821679114046</c:v>
                </c:pt>
                <c:pt idx="3">
                  <c:v>1.0810765828703102</c:v>
                </c:pt>
                <c:pt idx="4">
                  <c:v>1.1202223788531465</c:v>
                </c:pt>
                <c:pt idx="5">
                  <c:v>1.1587918817916678</c:v>
                </c:pt>
                <c:pt idx="6">
                  <c:v>1.1964339701999136</c:v>
                </c:pt>
                <c:pt idx="7">
                  <c:v>1.2327833064756295</c:v>
                </c:pt>
                <c:pt idx="8">
                  <c:v>1.2674718512537728</c:v>
                </c:pt>
                <c:pt idx="9">
                  <c:v>1.3001421116548695</c:v>
                </c:pt>
                <c:pt idx="10">
                  <c:v>1.3304612694151379</c:v>
                </c:pt>
                <c:pt idx="11">
                  <c:v>1.358135097707063</c:v>
                </c:pt>
                <c:pt idx="12">
                  <c:v>1.3829204651119142</c:v>
                </c:pt>
                <c:pt idx="13">
                  <c:v>1.4046352827487796</c:v>
                </c:pt>
                <c:pt idx="14">
                  <c:v>1.4231649838991922</c:v>
                </c:pt>
                <c:pt idx="15">
                  <c:v>1.4384650026572505</c:v>
                </c:pt>
                <c:pt idx="16">
                  <c:v>1.4505591729904488</c:v>
                </c:pt>
                <c:pt idx="17">
                  <c:v>1.4595344185469727</c:v>
                </c:pt>
                <c:pt idx="18">
                  <c:v>1.4655324679944861</c:v>
                </c:pt>
                <c:pt idx="19">
                  <c:v>1.4687395567128558</c:v>
                </c:pt>
                <c:pt idx="20">
                  <c:v>1.4693751445439325</c:v>
                </c:pt>
                <c:pt idx="21">
                  <c:v>1.467680606401381</c:v>
                </c:pt>
                <c:pt idx="22">
                  <c:v>1.4639086771663814</c:v>
                </c:pt>
                <c:pt idx="23">
                  <c:v>1.4583142034866889</c:v>
                </c:pt>
                <c:pt idx="24">
                  <c:v>1.4511465186989747</c:v>
                </c:pt>
                <c:pt idx="25">
                  <c:v>1.4426435473501973</c:v>
                </c:pt>
                <c:pt idx="26">
                  <c:v>1.4330275823122431</c:v>
                </c:pt>
                <c:pt idx="27">
                  <c:v>1.4225025664795636</c:v>
                </c:pt>
                <c:pt idx="28">
                  <c:v>1.4112526489441968</c:v>
                </c:pt>
                <c:pt idx="29">
                  <c:v>1.3994417632052962</c:v>
                </c:pt>
                <c:pt idx="30">
                  <c:v>1.3872139812583468</c:v>
                </c:pt>
                <c:pt idx="31">
                  <c:v>1.3746944216944943</c:v>
                </c:pt>
                <c:pt idx="32">
                  <c:v>1.3619905234507172</c:v>
                </c:pt>
                <c:pt idx="33">
                  <c:v>1.3491935331349609</c:v>
                </c:pt>
                <c:pt idx="34">
                  <c:v>1.3363800886687773</c:v>
                </c:pt>
                <c:pt idx="35">
                  <c:v>1.3236138129282249</c:v>
                </c:pt>
                <c:pt idx="36">
                  <c:v>1.3109468570503215</c:v>
                </c:pt>
                <c:pt idx="37">
                  <c:v>1.2984213539327192</c:v>
                </c:pt>
                <c:pt idx="38">
                  <c:v>1.2860707585481765</c:v>
                </c:pt>
                <c:pt idx="39">
                  <c:v>1.2739210636517631</c:v>
                </c:pt>
                <c:pt idx="40">
                  <c:v>1.2619918879981551</c:v>
                </c:pt>
                <c:pt idx="41">
                  <c:v>1.2502974400137874</c:v>
                </c:pt>
                <c:pt idx="42">
                  <c:v>1.2388473636152975</c:v>
                </c:pt>
                <c:pt idx="43">
                  <c:v>1.2276474750655664</c:v>
                </c:pt>
                <c:pt idx="44">
                  <c:v>1.2167004008443332</c:v>
                </c:pt>
                <c:pt idx="45">
                  <c:v>1.2060061268207041</c:v>
                </c:pt>
                <c:pt idx="46">
                  <c:v>1.1955624688079278</c:v>
                </c:pt>
                <c:pt idx="47">
                  <c:v>1.1853654740477748</c:v>
                </c:pt>
                <c:pt idx="48">
                  <c:v>1.1754097624508535</c:v>
                </c:pt>
                <c:pt idx="49">
                  <c:v>1.1656888156073748</c:v>
                </c:pt>
                <c:pt idx="50">
                  <c:v>1.1561952207462634</c:v>
                </c:pt>
                <c:pt idx="51">
                  <c:v>1.1469208760023162</c:v>
                </c:pt>
                <c:pt idx="52">
                  <c:v>1.1378571625780387</c:v>
                </c:pt>
                <c:pt idx="53">
                  <c:v>1.1289950886737345</c:v>
                </c:pt>
                <c:pt idx="54">
                  <c:v>1.120325409413415</c:v>
                </c:pt>
                <c:pt idx="55">
                  <c:v>1.1118387264165874</c:v>
                </c:pt>
                <c:pt idx="56">
                  <c:v>1.1035255701551441</c:v>
                </c:pt>
                <c:pt idx="57">
                  <c:v>1.09537646778641</c:v>
                </c:pt>
                <c:pt idx="58">
                  <c:v>1.0873819987627789</c:v>
                </c:pt>
                <c:pt idx="59">
                  <c:v>1.0795328401797433</c:v>
                </c:pt>
                <c:pt idx="60">
                  <c:v>1.0718198035317827</c:v>
                </c:pt>
                <c:pt idx="61">
                  <c:v>1.0642338642940758</c:v>
                </c:pt>
                <c:pt idx="62">
                  <c:v>1.0567661855322834</c:v>
                </c:pt>
                <c:pt idx="63">
                  <c:v>1.0494081365579704</c:v>
                </c:pt>
                <c:pt idx="64">
                  <c:v>1.0421513074894817</c:v>
                </c:pt>
                <c:pt idx="65">
                  <c:v>1.0349875204434766</c:v>
                </c:pt>
                <c:pt idx="66">
                  <c:v>1.0279088379676145</c:v>
                </c:pt>
                <c:pt idx="67">
                  <c:v>1.0209075692272067</c:v>
                </c:pt>
                <c:pt idx="68">
                  <c:v>1.013976274375521</c:v>
                </c:pt>
                <c:pt idx="69">
                  <c:v>1.0071077674666944</c:v>
                </c:pt>
                <c:pt idx="70">
                  <c:v>1.0002951182100737</c:v>
                </c:pt>
                <c:pt idx="71">
                  <c:v>0.99353165281365108</c:v>
                </c:pt>
                <c:pt idx="72">
                  <c:v>0.98681095412072317</c:v>
                </c:pt>
                <c:pt idx="73">
                  <c:v>0.98012686120694759</c:v>
                </c:pt>
                <c:pt idx="74">
                  <c:v>0.97347346857344141</c:v>
                </c:pt>
                <c:pt idx="75">
                  <c:v>0.9668451250448129</c:v>
                </c:pt>
                <c:pt idx="76">
                  <c:v>0.96023643245822787</c:v>
                </c:pt>
                <c:pt idx="77">
                  <c:v>0.95364224421024024</c:v>
                </c:pt>
                <c:pt idx="78">
                  <c:v>0.94705766371164612</c:v>
                </c:pt>
                <c:pt idx="79">
                  <c:v>0.94047804278664138</c:v>
                </c:pt>
                <c:pt idx="80">
                  <c:v>0.93389898004072935</c:v>
                </c:pt>
                <c:pt idx="81">
                  <c:v>0.92731631921180135</c:v>
                </c:pt>
                <c:pt idx="82">
                  <c:v>0.92072614751040915</c:v>
                </c:pt>
                <c:pt idx="83">
                  <c:v>0.91412479394819357</c:v>
                </c:pt>
                <c:pt idx="84">
                  <c:v>0.90750882764761731</c:v>
                </c:pt>
                <c:pt idx="85">
                  <c:v>0.90087505612135677</c:v>
                </c:pt>
                <c:pt idx="86">
                  <c:v>0.89422052350588044</c:v>
                </c:pt>
                <c:pt idx="87">
                  <c:v>0.88754250873073193</c:v>
                </c:pt>
                <c:pt idx="88">
                  <c:v>0.88083852360278114</c:v>
                </c:pt>
                <c:pt idx="89">
                  <c:v>0.8741063107831164</c:v>
                </c:pt>
                <c:pt idx="90">
                  <c:v>0.86734384163329192</c:v>
                </c:pt>
                <c:pt idx="91">
                  <c:v>0.86054931390720935</c:v>
                </c:pt>
                <c:pt idx="92">
                  <c:v>0.85372114926501685</c:v>
                </c:pt>
                <c:pt idx="93">
                  <c:v>0.84685799058595712</c:v>
                </c:pt>
                <c:pt idx="94">
                  <c:v>0.8399586990580743</c:v>
                </c:pt>
                <c:pt idx="95">
                  <c:v>0.83302235102405209</c:v>
                </c:pt>
                <c:pt idx="96">
                  <c:v>0.82604823456416387</c:v>
                </c:pt>
                <c:pt idx="97">
                  <c:v>0.8190358457993463</c:v>
                </c:pt>
                <c:pt idx="98">
                  <c:v>0.81198488489969067</c:v>
                </c:pt>
                <c:pt idx="99">
                  <c:v>0.80489525178620613</c:v>
                </c:pt>
                <c:pt idx="100">
                  <c:v>0.79776704151643052</c:v>
                </c:pt>
                <c:pt idx="101">
                  <c:v>0.79060053934737684</c:v>
                </c:pt>
                <c:pt idx="102">
                  <c:v>0.78339621547233507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2-478A-96AB-53A6905BD81C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1.2176855594640483</c:v>
                </c:pt>
                <c:pt idx="1">
                  <c:v>1.2795641290912405</c:v>
                </c:pt>
                <c:pt idx="2">
                  <c:v>1.3423759484679119</c:v>
                </c:pt>
                <c:pt idx="3">
                  <c:v>1.4054079413316469</c:v>
                </c:pt>
                <c:pt idx="4">
                  <c:v>1.4677967799250797</c:v>
                </c:pt>
                <c:pt idx="5">
                  <c:v>1.5285435664976283</c:v>
                </c:pt>
                <c:pt idx="6">
                  <c:v>1.5865468903325384</c:v>
                </c:pt>
                <c:pt idx="7">
                  <c:v>1.6406557732888576</c:v>
                </c:pt>
                <c:pt idx="8">
                  <c:v>1.6897403921123963</c:v>
                </c:pt>
                <c:pt idx="9">
                  <c:v>1.7327739446329546</c:v>
                </c:pt>
                <c:pt idx="10">
                  <c:v>1.7689148530445702</c:v>
                </c:pt>
                <c:pt idx="11">
                  <c:v>1.7975762817622336</c:v>
                </c:pt>
                <c:pt idx="12">
                  <c:v>1.8184709642826089</c:v>
                </c:pt>
                <c:pt idx="13">
                  <c:v>1.8316237592138738</c:v>
                </c:pt>
                <c:pt idx="14">
                  <c:v>1.83735096627035</c:v>
                </c:pt>
                <c:pt idx="15">
                  <c:v>1.8362120695042452</c:v>
                </c:pt>
                <c:pt idx="16">
                  <c:v>1.8289441529067119</c:v>
                </c:pt>
                <c:pt idx="17">
                  <c:v>1.8163906686604705</c:v>
                </c:pt>
                <c:pt idx="18">
                  <c:v>1.7994347479264761</c:v>
                </c:pt>
                <c:pt idx="19">
                  <c:v>1.7789439640173055</c:v>
                </c:pt>
                <c:pt idx="20">
                  <c:v>1.7557297502419085</c:v>
                </c:pt>
                <c:pt idx="21">
                  <c:v>1.730521566908124</c:v>
                </c:pt>
                <c:pt idx="22">
                  <c:v>1.7039538800701897</c:v>
                </c:pt>
                <c:pt idx="23">
                  <c:v>1.6765630629151687</c:v>
                </c:pt>
                <c:pt idx="24">
                  <c:v>1.6487911997714229</c:v>
                </c:pt>
                <c:pt idx="25">
                  <c:v>1.6209941338869334</c:v>
                </c:pt>
                <c:pt idx="26">
                  <c:v>1.5934516734710453</c:v>
                </c:pt>
                <c:pt idx="27">
                  <c:v>1.5663784677875621</c:v>
                </c:pt>
                <c:pt idx="28">
                  <c:v>1.5399345852553108</c:v>
                </c:pt>
                <c:pt idx="29">
                  <c:v>1.5142352307091658</c:v>
                </c:pt>
                <c:pt idx="30">
                  <c:v>1.4893593289231866</c:v>
                </c:pt>
                <c:pt idx="31">
                  <c:v>1.4653568937400383</c:v>
                </c:pt>
                <c:pt idx="32">
                  <c:v>1.4422552195806415</c:v>
                </c:pt>
                <c:pt idx="33">
                  <c:v>1.4200639963962156</c:v>
                </c:pt>
                <c:pt idx="34">
                  <c:v>1.3987794780205687</c:v>
                </c:pt>
                <c:pt idx="35">
                  <c:v>1.378387840683251</c:v>
                </c:pt>
                <c:pt idx="36">
                  <c:v>1.3588678624913304</c:v>
                </c:pt>
                <c:pt idx="37">
                  <c:v>1.3401930421857489</c:v>
                </c:pt>
                <c:pt idx="38">
                  <c:v>1.3223332603403102</c:v>
                </c:pt>
                <c:pt idx="39">
                  <c:v>1.3052560707202476</c:v>
                </c:pt>
                <c:pt idx="40">
                  <c:v>1.2889276950242365</c:v>
                </c:pt>
                <c:pt idx="41">
                  <c:v>1.2733137813038844</c:v>
                </c:pt>
                <c:pt idx="42">
                  <c:v>1.2583799751915541</c:v>
                </c:pt>
                <c:pt idx="43">
                  <c:v>1.2440923436463054</c:v>
                </c:pt>
                <c:pt idx="44">
                  <c:v>1.2304176831063698</c:v>
                </c:pt>
                <c:pt idx="45">
                  <c:v>1.2173237375217361</c:v>
                </c:pt>
                <c:pt idx="46">
                  <c:v>1.2047793465273215</c:v>
                </c:pt>
                <c:pt idx="47">
                  <c:v>1.1927545398104911</c:v>
                </c:pt>
                <c:pt idx="48">
                  <c:v>1.1812205903505728</c:v>
                </c:pt>
                <c:pt idx="49">
                  <c:v>1.1701500365102235</c:v>
                </c:pt>
                <c:pt idx="50">
                  <c:v>1.1595166808101551</c:v>
                </c:pt>
                <c:pt idx="51">
                  <c:v>1.1492955715127402</c:v>
                </c:pt>
                <c:pt idx="52">
                  <c:v>1.139462971788558</c:v>
                </c:pt>
                <c:pt idx="53">
                  <c:v>1.1299963201715217</c:v>
                </c:pt>
                <c:pt idx="54">
                  <c:v>1.1208741851652075</c:v>
                </c:pt>
                <c:pt idx="55">
                  <c:v>1.1120762161990683</c:v>
                </c:pt>
                <c:pt idx="56">
                  <c:v>1.1035830926112908</c:v>
                </c:pt>
                <c:pt idx="57">
                  <c:v>1.0953764719256611</c:v>
                </c:pt>
                <c:pt idx="58">
                  <c:v>1.0874389383693555</c:v>
                </c:pt>
                <c:pt idx="59">
                  <c:v>1.0797539523285016</c:v>
                </c:pt>
                <c:pt idx="60">
                  <c:v>1.0723058012437801</c:v>
                </c:pt>
                <c:pt idx="61">
                  <c:v>1.0650795522975276</c:v>
                </c:pt>
                <c:pt idx="62">
                  <c:v>1.05806100712755</c:v>
                </c:pt>
                <c:pt idx="63">
                  <c:v>1.0512366587136575</c:v>
                </c:pt>
                <c:pt idx="64">
                  <c:v>1.0445936505151288</c:v>
                </c:pt>
                <c:pt idx="65">
                  <c:v>1.038119737886158</c:v>
                </c:pt>
                <c:pt idx="66">
                  <c:v>1.0318032517583069</c:v>
                </c:pt>
                <c:pt idx="67">
                  <c:v>1.0256330645511047</c:v>
                </c:pt>
                <c:pt idx="68">
                  <c:v>1.0195985582520277</c:v>
                </c:pt>
                <c:pt idx="69">
                  <c:v>1.0136895945932611</c:v>
                </c:pt>
                <c:pt idx="70">
                  <c:v>1.007896487243563</c:v>
                </c:pt>
                <c:pt idx="71">
                  <c:v>1.0022099759280605</c:v>
                </c:pt>
                <c:pt idx="72">
                  <c:v>0.99662120238600505</c:v>
                </c:pt>
                <c:pt idx="73">
                  <c:v>0.99112168807579593</c:v>
                </c:pt>
                <c:pt idx="74">
                  <c:v>0.98570331353729324</c:v>
                </c:pt>
                <c:pt idx="75">
                  <c:v>0.98035829932325591</c:v>
                </c:pt>
                <c:pt idx="76">
                  <c:v>0.9750791884142751</c:v>
                </c:pt>
                <c:pt idx="77">
                  <c:v>0.96985883003458984</c:v>
                </c:pt>
                <c:pt idx="78">
                  <c:v>0.9646903647894689</c:v>
                </c:pt>
                <c:pt idx="79">
                  <c:v>0.95956721104826692</c:v>
                </c:pt>
                <c:pt idx="80">
                  <c:v>0.95448305250072019</c:v>
                </c:pt>
                <c:pt idx="81">
                  <c:v>0.94943182681741012</c:v>
                </c:pt>
                <c:pt idx="82">
                  <c:v>0.94440771534858015</c:v>
                </c:pt>
                <c:pt idx="83">
                  <c:v>0.93940513379855306</c:v>
                </c:pt>
                <c:pt idx="84">
                  <c:v>0.93441872381586977</c:v>
                </c:pt>
                <c:pt idx="85">
                  <c:v>0.92944334544191187</c:v>
                </c:pt>
                <c:pt idx="86">
                  <c:v>0.92447407036317497</c:v>
                </c:pt>
                <c:pt idx="87">
                  <c:v>0.91950617591454009</c:v>
                </c:pt>
                <c:pt idx="88">
                  <c:v>0.91453513978283951</c:v>
                </c:pt>
                <c:pt idx="89">
                  <c:v>0.90955663536171671</c:v>
                </c:pt>
                <c:pt idx="90">
                  <c:v>0.90456652771031665</c:v>
                </c:pt>
                <c:pt idx="91">
                  <c:v>0.8995608700696256</c:v>
                </c:pt>
                <c:pt idx="92">
                  <c:v>0.89453590089143542</c:v>
                </c:pt>
                <c:pt idx="93">
                  <c:v>0.88948804133587189</c:v>
                </c:pt>
                <c:pt idx="94">
                  <c:v>0.88441389319425578</c:v>
                </c:pt>
                <c:pt idx="95">
                  <c:v>0.8793102371947924</c:v>
                </c:pt>
                <c:pt idx="96">
                  <c:v>0.8741740316491925</c:v>
                </c:pt>
                <c:pt idx="97">
                  <c:v>0.86900241139889312</c:v>
                </c:pt>
                <c:pt idx="98">
                  <c:v>0.86379268702003087</c:v>
                </c:pt>
                <c:pt idx="99">
                  <c:v>0.85854234424682085</c:v>
                </c:pt>
                <c:pt idx="100">
                  <c:v>0.85324904357346065</c:v>
                </c:pt>
                <c:pt idx="101">
                  <c:v>0.8479106199951868</c:v>
                </c:pt>
                <c:pt idx="102">
                  <c:v>0.8425250828496762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2-478A-96AB-53A6905BD81C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1.6087171252710375</c:v>
                </c:pt>
                <c:pt idx="1">
                  <c:v>1.7249826480801811</c:v>
                </c:pt>
                <c:pt idx="2">
                  <c:v>1.8471955196961554</c:v>
                </c:pt>
                <c:pt idx="3">
                  <c:v>1.9735285494413197</c:v>
                </c:pt>
                <c:pt idx="4">
                  <c:v>2.1011672743583341</c:v>
                </c:pt>
                <c:pt idx="5">
                  <c:v>2.2261988225166363</c:v>
                </c:pt>
                <c:pt idx="6">
                  <c:v>2.3436857855476432</c:v>
                </c:pt>
                <c:pt idx="7">
                  <c:v>2.4480290075139659</c:v>
                </c:pt>
                <c:pt idx="8">
                  <c:v>2.5336595560448059</c:v>
                </c:pt>
                <c:pt idx="9">
                  <c:v>2.5959594742556131</c:v>
                </c:pt>
                <c:pt idx="10">
                  <c:v>2.6321492114981382</c:v>
                </c:pt>
                <c:pt idx="11">
                  <c:v>2.6418155785918125</c:v>
                </c:pt>
                <c:pt idx="12">
                  <c:v>2.6268737727526243</c:v>
                </c:pt>
                <c:pt idx="13">
                  <c:v>2.5910061983684067</c:v>
                </c:pt>
                <c:pt idx="14">
                  <c:v>2.5388312379407667</c:v>
                </c:pt>
                <c:pt idx="15">
                  <c:v>2.4751004317507594</c:v>
                </c:pt>
                <c:pt idx="16">
                  <c:v>2.4041196388792816</c:v>
                </c:pt>
                <c:pt idx="17">
                  <c:v>2.3294450546834811</c:v>
                </c:pt>
                <c:pt idx="18">
                  <c:v>2.2538046721640193</c:v>
                </c:pt>
                <c:pt idx="19">
                  <c:v>2.1791607538407112</c:v>
                </c:pt>
                <c:pt idx="20">
                  <c:v>2.1068377276459556</c:v>
                </c:pt>
                <c:pt idx="21">
                  <c:v>2.0376647761836924</c:v>
                </c:pt>
                <c:pt idx="22">
                  <c:v>1.9721060411971243</c:v>
                </c:pt>
                <c:pt idx="23">
                  <c:v>1.9103677637676402</c:v>
                </c:pt>
                <c:pt idx="24">
                  <c:v>1.8524809453745519</c:v>
                </c:pt>
                <c:pt idx="25">
                  <c:v>1.7983623779681943</c:v>
                </c:pt>
                <c:pt idx="26">
                  <c:v>1.7478582570491124</c:v>
                </c:pt>
                <c:pt idx="27">
                  <c:v>1.7007745313299232</c:v>
                </c:pt>
                <c:pt idx="28">
                  <c:v>1.6568975157572843</c:v>
                </c:pt>
                <c:pt idx="29">
                  <c:v>1.6160075395742071</c:v>
                </c:pt>
                <c:pt idx="30">
                  <c:v>1.5778877091488002</c:v>
                </c:pt>
                <c:pt idx="31">
                  <c:v>1.5423292999556302</c:v>
                </c:pt>
                <c:pt idx="32">
                  <c:v>1.5091348579329713</c:v>
                </c:pt>
                <c:pt idx="33">
                  <c:v>1.478119769280742</c:v>
                </c:pt>
                <c:pt idx="34">
                  <c:v>1.4491128258796206</c:v>
                </c:pt>
                <c:pt idx="35">
                  <c:v>1.4219561488032544</c:v>
                </c:pt>
                <c:pt idx="36">
                  <c:v>1.3965047167431568</c:v>
                </c:pt>
                <c:pt idx="37">
                  <c:v>1.3726256656512394</c:v>
                </c:pt>
                <c:pt idx="38">
                  <c:v>1.3501974702352117</c:v>
                </c:pt>
                <c:pt idx="39">
                  <c:v>1.3291090796846194</c:v>
                </c:pt>
                <c:pt idx="40">
                  <c:v>1.3092590538746036</c:v>
                </c:pt>
                <c:pt idx="41">
                  <c:v>1.2905547285699448</c:v>
                </c:pt>
                <c:pt idx="42">
                  <c:v>1.2729114262321208</c:v>
                </c:pt>
                <c:pt idx="43">
                  <c:v>1.2562517211063273</c:v>
                </c:pt>
                <c:pt idx="44">
                  <c:v>1.2405047620774414</c:v>
                </c:pt>
                <c:pt idx="45">
                  <c:v>1.2256056534640949</c:v>
                </c:pt>
                <c:pt idx="46">
                  <c:v>1.2114948918675605</c:v>
                </c:pt>
                <c:pt idx="47">
                  <c:v>1.1981178559927914</c:v>
                </c:pt>
                <c:pt idx="48">
                  <c:v>1.1854243457275122</c:v>
                </c:pt>
                <c:pt idx="49">
                  <c:v>1.1733681665063369</c:v>
                </c:pt>
                <c:pt idx="50">
                  <c:v>1.1619067549666886</c:v>
                </c:pt>
                <c:pt idx="51">
                  <c:v>1.1510008420310964</c:v>
                </c:pt>
                <c:pt idx="52">
                  <c:v>1.1406141497649633</c:v>
                </c:pt>
                <c:pt idx="53">
                  <c:v>1.1307131186192376</c:v>
                </c:pt>
                <c:pt idx="54">
                  <c:v>1.1212666619467755</c:v>
                </c:pt>
                <c:pt idx="55">
                  <c:v>1.1122459449622673</c:v>
                </c:pt>
                <c:pt idx="56">
                  <c:v>1.1036241855877065</c:v>
                </c:pt>
                <c:pt idx="57">
                  <c:v>1.0953764748822692</c:v>
                </c:pt>
                <c:pt idx="58">
                  <c:v>1.0874796149937223</c:v>
                </c:pt>
                <c:pt idx="59">
                  <c:v>1.0799119727868154</c:v>
                </c:pt>
                <c:pt idx="60">
                  <c:v>1.072653347502317</c:v>
                </c:pt>
                <c:pt idx="61">
                  <c:v>1.0656848509791059</c:v>
                </c:pt>
                <c:pt idx="62">
                  <c:v>1.058988799132182</c:v>
                </c:pt>
                <c:pt idx="63">
                  <c:v>1.0525486135228403</c:v>
                </c:pt>
                <c:pt idx="64">
                  <c:v>1.0463487319851721</c:v>
                </c:pt>
                <c:pt idx="65">
                  <c:v>1.0403745273868095</c:v>
                </c:pt>
                <c:pt idx="66">
                  <c:v>1.0346122337029584</c:v>
                </c:pt>
                <c:pt idx="67">
                  <c:v>1.0290488786725003</c:v>
                </c:pt>
                <c:pt idx="68">
                  <c:v>1.0236722223845975</c:v>
                </c:pt>
                <c:pt idx="69">
                  <c:v>1.0184707012148455</c:v>
                </c:pt>
                <c:pt idx="70">
                  <c:v>1.0134333765926782</c:v>
                </c:pt>
                <c:pt idx="71">
                  <c:v>1.0085498881373132</c:v>
                </c:pt>
                <c:pt idx="72">
                  <c:v>1.0038104107488171</c:v>
                </c:pt>
                <c:pt idx="73">
                  <c:v>0.99920561528470142</c:v>
                </c:pt>
                <c:pt idx="74">
                  <c:v>0.99472663249132764</c:v>
                </c:pt>
                <c:pt idx="75">
                  <c:v>0.99036501989399262</c:v>
                </c:pt>
                <c:pt idx="76">
                  <c:v>0.98611273138033839</c:v>
                </c:pt>
                <c:pt idx="77">
                  <c:v>0.98196208923911599</c:v>
                </c:pt>
                <c:pt idx="78">
                  <c:v>0.9779057584407399</c:v>
                </c:pt>
                <c:pt idx="79">
                  <c:v>0.97393672296783795</c:v>
                </c:pt>
                <c:pt idx="80">
                  <c:v>0.97004826402344402</c:v>
                </c:pt>
                <c:pt idx="81">
                  <c:v>0.96623393996181783</c:v>
                </c:pt>
                <c:pt idx="82">
                  <c:v>0.96248756780241829</c:v>
                </c:pt>
                <c:pt idx="83">
                  <c:v>0.95880320620142789</c:v>
                </c:pt>
                <c:pt idx="84">
                  <c:v>0.9551751397676731</c:v>
                </c:pt>
                <c:pt idx="85">
                  <c:v>0.95159786462092255</c:v>
                </c:pt>
                <c:pt idx="86">
                  <c:v>0.94806607510053487</c:v>
                </c:pt>
                <c:pt idx="87">
                  <c:v>0.94457465154139097</c:v>
                </c:pt>
                <c:pt idx="88">
                  <c:v>0.94111864904208398</c:v>
                </c:pt>
                <c:pt idx="89">
                  <c:v>0.93769328715754741</c:v>
                </c:pt>
                <c:pt idx="90">
                  <c:v>0.93429394045477654</c:v>
                </c:pt>
                <c:pt idx="91">
                  <c:v>0.93091612987610173</c:v>
                </c:pt>
                <c:pt idx="92">
                  <c:v>0.92755551485965315</c:v>
                </c:pt>
                <c:pt idx="93">
                  <c:v>0.92420788617133132</c:v>
                </c:pt>
                <c:pt idx="94">
                  <c:v>0.9208691594067282</c:v>
                </c:pt>
                <c:pt idx="95">
                  <c:v>0.91753536912516487</c:v>
                </c:pt>
                <c:pt idx="96">
                  <c:v>0.91420266358128333</c:v>
                </c:pt>
                <c:pt idx="97">
                  <c:v>0.910867300022564</c:v>
                </c:pt>
                <c:pt idx="98">
                  <c:v>0.9075256405236779</c:v>
                </c:pt>
                <c:pt idx="99">
                  <c:v>0.90417414833085463</c:v>
                </c:pt>
                <c:pt idx="100">
                  <c:v>0.90080938469137606</c:v>
                </c:pt>
                <c:pt idx="101">
                  <c:v>0.89742800614498464</c:v>
                </c:pt>
                <c:pt idx="102">
                  <c:v>0.8940267622554211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2-478A-96AB-53A6905BD81C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2.163743517186024</c:v>
                </c:pt>
                <c:pt idx="1">
                  <c:v>2.416470672329269</c:v>
                </c:pt>
                <c:pt idx="2">
                  <c:v>2.7121611864982262</c:v>
                </c:pt>
                <c:pt idx="3">
                  <c:v>3.0566395851621393</c:v>
                </c:pt>
                <c:pt idx="4">
                  <c:v>3.4521258527463665</c:v>
                </c:pt>
                <c:pt idx="5">
                  <c:v>3.8912220044110262</c:v>
                </c:pt>
                <c:pt idx="6">
                  <c:v>4.3469855690618386</c:v>
                </c:pt>
                <c:pt idx="7">
                  <c:v>4.7628877739742883</c:v>
                </c:pt>
                <c:pt idx="8">
                  <c:v>5.0570848337100278</c:v>
                </c:pt>
                <c:pt idx="9">
                  <c:v>5.1577475635162813</c:v>
                </c:pt>
                <c:pt idx="10">
                  <c:v>5.0514710414660406</c:v>
                </c:pt>
                <c:pt idx="11">
                  <c:v>4.7908855904714667</c:v>
                </c:pt>
                <c:pt idx="12">
                  <c:v>4.4532002890729778</c:v>
                </c:pt>
                <c:pt idx="13">
                  <c:v>4.100061709214045</c:v>
                </c:pt>
                <c:pt idx="14">
                  <c:v>3.7663161648866588</c:v>
                </c:pt>
                <c:pt idx="15">
                  <c:v>3.4663860248267926</c:v>
                </c:pt>
                <c:pt idx="16">
                  <c:v>3.2032797240326518</c:v>
                </c:pt>
                <c:pt idx="17">
                  <c:v>2.9748033343568352</c:v>
                </c:pt>
                <c:pt idx="18">
                  <c:v>2.776902810199815</c:v>
                </c:pt>
                <c:pt idx="19">
                  <c:v>2.6052230589338277</c:v>
                </c:pt>
                <c:pt idx="20">
                  <c:v>2.4557434322216887</c:v>
                </c:pt>
                <c:pt idx="21">
                  <c:v>2.324980370968579</c:v>
                </c:pt>
                <c:pt idx="22">
                  <c:v>2.2100036159543186</c:v>
                </c:pt>
                <c:pt idx="23">
                  <c:v>2.1083814299565904</c:v>
                </c:pt>
                <c:pt idx="24">
                  <c:v>2.0181060210381667</c:v>
                </c:pt>
                <c:pt idx="25">
                  <c:v>1.9375202903852542</c:v>
                </c:pt>
                <c:pt idx="26">
                  <c:v>1.8652534599473996</c:v>
                </c:pt>
                <c:pt idx="27">
                  <c:v>1.8001672791103942</c:v>
                </c:pt>
                <c:pt idx="28">
                  <c:v>1.7413121751132508</c:v>
                </c:pt>
                <c:pt idx="29">
                  <c:v>1.6878919407866984</c:v>
                </c:pt>
                <c:pt idx="30">
                  <c:v>1.6392354436907146</c:v>
                </c:pt>
                <c:pt idx="31">
                  <c:v>1.59477398477111</c:v>
                </c:pt>
                <c:pt idx="32">
                  <c:v>1.5540231529781838</c:v>
                </c:pt>
                <c:pt idx="33">
                  <c:v>1.5165682406293897</c:v>
                </c:pt>
                <c:pt idx="34">
                  <c:v>1.4820524756816065</c:v>
                </c:pt>
                <c:pt idx="35">
                  <c:v>1.4501674850788047</c:v>
                </c:pt>
                <c:pt idx="36">
                  <c:v>1.4206455298039333</c:v>
                </c:pt>
                <c:pt idx="37">
                  <c:v>1.3932531518136044</c:v>
                </c:pt>
                <c:pt idx="38">
                  <c:v>1.3677859507196197</c:v>
                </c:pt>
                <c:pt idx="39">
                  <c:v>1.3440642684659236</c:v>
                </c:pt>
                <c:pt idx="40">
                  <c:v>1.3219296071406019</c:v>
                </c:pt>
                <c:pt idx="41">
                  <c:v>1.3012416415100272</c:v>
                </c:pt>
                <c:pt idx="42">
                  <c:v>1.2818757162548708</c:v>
                </c:pt>
                <c:pt idx="43">
                  <c:v>1.2637207400730539</c:v>
                </c:pt>
                <c:pt idx="44">
                  <c:v>1.2466774062122792</c:v>
                </c:pt>
                <c:pt idx="45">
                  <c:v>1.2306566826916818</c:v>
                </c:pt>
                <c:pt idx="46">
                  <c:v>1.2155785263004479</c:v>
                </c:pt>
                <c:pt idx="47">
                  <c:v>1.2013707830584877</c:v>
                </c:pt>
                <c:pt idx="48">
                  <c:v>1.1879682446795747</c:v>
                </c:pt>
                <c:pt idx="49">
                  <c:v>1.1753118360674832</c:v>
                </c:pt>
                <c:pt idx="50">
                  <c:v>1.1633479132912903</c:v>
                </c:pt>
                <c:pt idx="51">
                  <c:v>1.1520276550524828</c:v>
                </c:pt>
                <c:pt idx="52">
                  <c:v>1.141306533549163</c:v>
                </c:pt>
                <c:pt idx="53">
                  <c:v>1.1311438529982563</c:v>
                </c:pt>
                <c:pt idx="54">
                  <c:v>1.1215023460025777</c:v>
                </c:pt>
                <c:pt idx="55">
                  <c:v>1.1123478195303558</c:v>
                </c:pt>
                <c:pt idx="56">
                  <c:v>1.1036488435770617</c:v>
                </c:pt>
                <c:pt idx="57">
                  <c:v>1.0953764766562339</c:v>
                </c:pt>
                <c:pt idx="58">
                  <c:v>1.0875040231594775</c:v>
                </c:pt>
                <c:pt idx="59">
                  <c:v>1.0800068183698439</c:v>
                </c:pt>
                <c:pt idx="60">
                  <c:v>1.0728620375343727</c:v>
                </c:pt>
                <c:pt idx="61">
                  <c:v>1.0660485259225208</c:v>
                </c:pt>
                <c:pt idx="62">
                  <c:v>1.0595466472352781</c:v>
                </c:pt>
                <c:pt idx="63">
                  <c:v>1.0533381480991404</c:v>
                </c:pt>
                <c:pt idx="64">
                  <c:v>1.0474060366916156</c:v>
                </c:pt>
                <c:pt idx="65">
                  <c:v>1.0417344738099721</c:v>
                </c:pt>
                <c:pt idx="66">
                  <c:v>1.0363086749204256</c:v>
                </c:pt>
                <c:pt idx="67">
                  <c:v>1.0311148219172623</c:v>
                </c:pt>
                <c:pt idx="68">
                  <c:v>1.0261399834858616</c:v>
                </c:pt>
                <c:pt idx="69">
                  <c:v>1.0213720431045683</c:v>
                </c:pt>
                <c:pt idx="70">
                  <c:v>1.0167996338415515</c:v>
                </c:pt>
                <c:pt idx="71">
                  <c:v>1.0124120792071885</c:v>
                </c:pt>
                <c:pt idx="72">
                  <c:v>1.0081993394126485</c:v>
                </c:pt>
                <c:pt idx="73">
                  <c:v>1.0041519624633948</c:v>
                </c:pt>
                <c:pt idx="74">
                  <c:v>1.0002610395839817</c:v>
                </c:pt>
                <c:pt idx="75">
                  <c:v>0.99651816452936037</c:v>
                </c:pt>
                <c:pt idx="76">
                  <c:v>0.99291539638914195</c:v>
                </c:pt>
                <c:pt idx="77">
                  <c:v>0.98944522553599745</c:v>
                </c:pt>
                <c:pt idx="78">
                  <c:v>0.98610054240848233</c:v>
                </c:pt>
                <c:pt idx="79">
                  <c:v>0.98287460885284172</c:v>
                </c:pt>
                <c:pt idx="80">
                  <c:v>0.97976103177845431</c:v>
                </c:pt>
                <c:pt idx="81">
                  <c:v>0.97675373890801453</c:v>
                </c:pt>
                <c:pt idx="82">
                  <c:v>0.97384695642688601</c:v>
                </c:pt>
                <c:pt idx="83">
                  <c:v>0.97103518835662117</c:v>
                </c:pt>
                <c:pt idx="84">
                  <c:v>0.96831319749585176</c:v>
                </c:pt>
                <c:pt idx="85">
                  <c:v>0.96567598778785635</c:v>
                </c:pt>
                <c:pt idx="86">
                  <c:v>0.96311878798841233</c:v>
                </c:pt>
                <c:pt idx="87">
                  <c:v>0.96063703652024135</c:v>
                </c:pt>
                <c:pt idx="88">
                  <c:v>0.95822636741166378</c:v>
                </c:pt>
                <c:pt idx="89">
                  <c:v>0.95588259722714974</c:v>
                </c:pt>
                <c:pt idx="90">
                  <c:v>0.95360171290646323</c:v>
                </c:pt>
                <c:pt idx="91">
                  <c:v>0.95137986043713507</c:v>
                </c:pt>
                <c:pt idx="92">
                  <c:v>0.94921333429220578</c:v>
                </c:pt>
                <c:pt idx="93">
                  <c:v>0.94709856757165467</c:v>
                </c:pt>
                <c:pt idx="94">
                  <c:v>0.94503212279173188</c:v>
                </c:pt>
                <c:pt idx="95">
                  <c:v>0.94301068327164062</c:v>
                </c:pt>
                <c:pt idx="96">
                  <c:v>0.94103104507172819</c:v>
                </c:pt>
                <c:pt idx="97">
                  <c:v>0.93909010944160065</c:v>
                </c:pt>
                <c:pt idx="98">
                  <c:v>0.93718487574041109</c:v>
                </c:pt>
                <c:pt idx="99">
                  <c:v>0.93531243479507242</c:v>
                </c:pt>
                <c:pt idx="100">
                  <c:v>0.93346996266528837</c:v>
                </c:pt>
                <c:pt idx="101">
                  <c:v>0.93165471478717443</c:v>
                </c:pt>
                <c:pt idx="102">
                  <c:v>0.92986402046985628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2-478A-96AB-53A6905B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1984"/>
        <c:axId val="112523904"/>
      </c:scatterChart>
      <c:valAx>
        <c:axId val="112521984"/>
        <c:scaling>
          <c:orientation val="minMax"/>
          <c:max val="150"/>
          <c:min val="39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freq (kHz)</a:t>
                </a:r>
              </a:p>
            </c:rich>
          </c:tx>
          <c:overlay val="0"/>
        </c:title>
        <c:numFmt formatCode="#,##0_ " sourceLinked="0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3904"/>
        <c:crosses val="autoZero"/>
        <c:crossBetween val="midCat"/>
        <c:majorUnit val="10"/>
        <c:minorUnit val="5"/>
      </c:valAx>
      <c:valAx>
        <c:axId val="112523904"/>
        <c:scaling>
          <c:orientation val="minMax"/>
          <c:max val="1.8"/>
          <c:min val="0.80000000100000002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Gain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09403741430203"/>
          <c:y val="0.11136802723692477"/>
          <c:w val="0.26679608262263615"/>
          <c:h val="0.323197827981347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55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4-4601-8B78-FA184A50CD97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4-4601-8B78-FA184A50CD97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4-4601-8B78-FA184A50CD97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4-4601-8B78-FA184A50CD97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D4-4601-8B78-FA184A50CD97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D4-4601-8B78-FA184A50CD97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D4-4601-8B78-FA184A50CD97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D4-4601-8B78-FA184A50CD97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D4-4601-8B78-FA184A50CD97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D4-4601-8B78-FA184A50CD97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D4-4601-8B78-FA184A50CD97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D4-4601-8B78-FA184A50CD97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BD4-4601-8B78-FA184A50CD97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BD4-4601-8B78-FA184A50CD97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D4-4601-8B78-FA184A50CD97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BD4-4601-8B78-FA184A50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952"/>
        <c:axId val="158927488"/>
      </c:scatterChart>
      <c:valAx>
        <c:axId val="15892595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7488"/>
        <c:crosses val="autoZero"/>
        <c:crossBetween val="midCat"/>
        <c:majorUnit val="0.1"/>
      </c:valAx>
      <c:valAx>
        <c:axId val="158927488"/>
        <c:scaling>
          <c:orientation val="minMax"/>
          <c:max val="1.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59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190774881953313"/>
          <c:y val="5.9672057121892032E-2"/>
          <c:w val="0.22311668668535078"/>
          <c:h val="0.583405300143932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600"/>
              <a:t>Peak Gain of LLC Resonant</a:t>
            </a:r>
            <a:r>
              <a:rPr lang="en-US" sz="1600" baseline="0"/>
              <a:t> Converter 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89498783934631"/>
          <c:y val="6.2327210205453114E-2"/>
          <c:w val="0.83316913645126867"/>
          <c:h val="0.85341088404104848"/>
        </c:manualLayout>
      </c:layout>
      <c:scatterChart>
        <c:scatterStyle val="smoothMarker"/>
        <c:varyColors val="0"/>
        <c:ser>
          <c:idx val="2"/>
          <c:order val="0"/>
          <c:spPr>
            <a:ln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[2]Sheet1!$L$27:$L$39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1.415999999999993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1.7069999999999959</c:v>
                </c:pt>
                <c:pt idx="8">
                  <c:v>1.9119999999999964</c:v>
                </c:pt>
                <c:pt idx="9">
                  <c:v>2.2559999999999998</c:v>
                </c:pt>
                <c:pt idx="10">
                  <c:v>2.8759999999999977</c:v>
                </c:pt>
                <c:pt idx="11">
                  <c:v>4.1829999999999945</c:v>
                </c:pt>
                <c:pt idx="12">
                  <c:v>8.2150000000000016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[2]Sheet1!$L$26</c15:sqref>
                        </c15:formulaRef>
                      </c:ext>
                    </c:extLst>
                    <c:strCache>
                      <c:ptCount val="1"/>
                      <c:pt idx="0">
                        <c:v>m=2.5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99-4B4D-B5B5-67D5A8C216A6}"/>
            </c:ext>
          </c:extLst>
        </c:ser>
        <c:ser>
          <c:idx val="3"/>
          <c:order val="1"/>
          <c:spPr>
            <a:ln>
              <a:solidFill>
                <a:srgbClr val="9BBB59">
                  <a:shade val="65000"/>
                  <a:shade val="95000"/>
                  <a:satMod val="105000"/>
                </a:srgb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[2]Sheet1!$M$27:$M$39</c:f>
              <c:numCache>
                <c:formatCode>General</c:formatCode>
                <c:ptCount val="13"/>
                <c:pt idx="1">
                  <c:v>1.2789999999999964</c:v>
                </c:pt>
                <c:pt idx="2">
                  <c:v>1.2909999999999964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1.4259999999999933</c:v>
                </c:pt>
                <c:pt idx="7">
                  <c:v>1.5229999999999964</c:v>
                </c:pt>
                <c:pt idx="8">
                  <c:v>1.6879999999999966</c:v>
                </c:pt>
                <c:pt idx="9">
                  <c:v>1.9760000000000035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[2]Sheet1!$M$26</c15:sqref>
                        </c15:formulaRef>
                      </c:ext>
                    </c:extLst>
                    <c:strCache>
                      <c:ptCount val="1"/>
                      <c:pt idx="0">
                        <c:v>m=3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99-4B4D-B5B5-67D5A8C216A6}"/>
            </c:ext>
          </c:extLst>
        </c:ser>
        <c:ser>
          <c:idx val="4"/>
          <c:order val="2"/>
          <c:spPr>
            <a:ln>
              <a:solidFill>
                <a:srgbClr val="F79646">
                  <a:lumMod val="50000"/>
                </a:srgbClr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[2]Sheet1!$N$27:$N$39</c:f>
              <c:numCache>
                <c:formatCode>General</c:formatCode>
                <c:ptCount val="13"/>
                <c:pt idx="1">
                  <c:v>1.2209999999999961</c:v>
                </c:pt>
                <c:pt idx="2">
                  <c:v>1.23</c:v>
                </c:pt>
                <c:pt idx="3">
                  <c:v>1.2409999999999963</c:v>
                </c:pt>
                <c:pt idx="4">
                  <c:v>1.2589999999999963</c:v>
                </c:pt>
                <c:pt idx="5">
                  <c:v>1.2849999999999964</c:v>
                </c:pt>
                <c:pt idx="6">
                  <c:v>1.3280000000000001</c:v>
                </c:pt>
                <c:pt idx="7">
                  <c:v>1.4039999999999926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6.3579999999999854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[2]Sheet1!$N$26</c15:sqref>
                        </c15:formulaRef>
                      </c:ext>
                    </c:extLst>
                    <c:strCache>
                      <c:ptCount val="1"/>
                      <c:pt idx="0">
                        <c:v>m=3.5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99-4B4D-B5B5-67D5A8C216A6}"/>
            </c:ext>
          </c:extLst>
        </c:ser>
        <c:ser>
          <c:idx val="5"/>
          <c:order val="3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[2]Sheet1!$O$27:$O$39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1.1980000000000033</c:v>
                </c:pt>
                <c:pt idx="4">
                  <c:v>1.2109999999999959</c:v>
                </c:pt>
                <c:pt idx="5">
                  <c:v>1.23</c:v>
                </c:pt>
                <c:pt idx="6">
                  <c:v>1.2629999999999963</c:v>
                </c:pt>
                <c:pt idx="7">
                  <c:v>1.3220000000000001</c:v>
                </c:pt>
                <c:pt idx="8">
                  <c:v>1.4349999999999954</c:v>
                </c:pt>
                <c:pt idx="9">
                  <c:v>1.6519999999999964</c:v>
                </c:pt>
                <c:pt idx="10">
                  <c:v>2.0709999999999997</c:v>
                </c:pt>
                <c:pt idx="11">
                  <c:v>2.9769999999999968</c:v>
                </c:pt>
                <c:pt idx="12">
                  <c:v>5.806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[2]Sheet1!$O$26</c15:sqref>
                        </c15:formulaRef>
                      </c:ext>
                    </c:extLst>
                    <c:strCache>
                      <c:ptCount val="1"/>
                      <c:pt idx="0">
                        <c:v>m=4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99-4B4D-B5B5-67D5A8C216A6}"/>
            </c:ext>
          </c:extLst>
        </c:ser>
        <c:ser>
          <c:idx val="6"/>
          <c:order val="4"/>
          <c:spPr>
            <a:ln>
              <a:solidFill>
                <a:srgbClr val="7030A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[2]Sheet1!$P$27:$P$39</c:f>
              <c:numCache>
                <c:formatCode>General</c:formatCode>
                <c:ptCount val="13"/>
                <c:pt idx="1">
                  <c:v>1.1559999999999964</c:v>
                </c:pt>
                <c:pt idx="2">
                  <c:v>1.1599999999999964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1.1919999999999966</c:v>
                </c:pt>
                <c:pt idx="6">
                  <c:v>1.2169999999999961</c:v>
                </c:pt>
                <c:pt idx="7">
                  <c:v>1.2629999999999963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1.9300000000000033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[2]Sheet1!$P$26</c15:sqref>
                        </c15:formulaRef>
                      </c:ext>
                    </c:extLst>
                    <c:strCache>
                      <c:ptCount val="1"/>
                      <c:pt idx="0">
                        <c:v>m=4.5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499-4B4D-B5B5-67D5A8C216A6}"/>
            </c:ext>
          </c:extLst>
        </c:ser>
        <c:ser>
          <c:idx val="7"/>
          <c:order val="5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[2]Sheet1!$Q$27:$Q$39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1.1439999999999964</c:v>
                </c:pt>
                <c:pt idx="4">
                  <c:v>1.1519999999999964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1.4669999999999961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5.0449999999999955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[2]Sheet1!$Q$26</c15:sqref>
                        </c15:formulaRef>
                      </c:ext>
                    </c:extLst>
                    <c:strCache>
                      <c:ptCount val="1"/>
                      <c:pt idx="0">
                        <c:v>m=5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499-4B4D-B5B5-67D5A8C216A6}"/>
            </c:ext>
          </c:extLst>
        </c:ser>
        <c:ser>
          <c:idx val="8"/>
          <c:order val="6"/>
          <c:spPr>
            <a:ln>
              <a:solidFill>
                <a:srgbClr val="0070C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[2]Sheet1!$R$27:$R$39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1.1379999999999963</c:v>
                </c:pt>
                <c:pt idx="7">
                  <c:v>1.1619999999999964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1.6459999999999964</c:v>
                </c:pt>
                <c:pt idx="11">
                  <c:v>2.3319999999999967</c:v>
                </c:pt>
                <c:pt idx="12">
                  <c:v>4.508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[2]Sheet1!$R$26</c15:sqref>
                        </c15:formulaRef>
                      </c:ext>
                    </c:extLst>
                    <c:strCache>
                      <c:ptCount val="1"/>
                      <c:pt idx="0">
                        <c:v>m=6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499-4B4D-B5B5-67D5A8C216A6}"/>
            </c:ext>
          </c:extLst>
        </c:ser>
        <c:ser>
          <c:idx val="9"/>
          <c:order val="7"/>
          <c:spPr>
            <a:ln>
              <a:solidFill>
                <a:srgbClr val="0070C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[2]Sheet1!$S$27:$S$39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1.1259999999999963</c:v>
                </c:pt>
                <c:pt idx="8">
                  <c:v>1.163</c:v>
                </c:pt>
                <c:pt idx="9">
                  <c:v>1.2649999999999963</c:v>
                </c:pt>
                <c:pt idx="10">
                  <c:v>1.5229999999999964</c:v>
                </c:pt>
                <c:pt idx="11">
                  <c:v>2.14</c:v>
                </c:pt>
                <c:pt idx="12">
                  <c:v>4.1289999999999853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[2]Sheet1!$S$26</c15:sqref>
                        </c15:formulaRef>
                      </c:ext>
                    </c:extLst>
                    <c:strCache>
                      <c:ptCount val="1"/>
                      <c:pt idx="0">
                        <c:v>m=7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499-4B4D-B5B5-67D5A8C216A6}"/>
            </c:ext>
          </c:extLst>
        </c:ser>
        <c:ser>
          <c:idx val="10"/>
          <c:order val="8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[2]Sheet1!$T$27:$T$39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1.1279999999999963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[2]Sheet1!$T$26</c15:sqref>
                        </c15:formulaRef>
                      </c:ext>
                    </c:extLst>
                    <c:strCache>
                      <c:ptCount val="1"/>
                      <c:pt idx="0">
                        <c:v>m=8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499-4B4D-B5B5-67D5A8C216A6}"/>
            </c:ext>
          </c:extLst>
        </c:ser>
        <c:ser>
          <c:idx val="11"/>
          <c:order val="9"/>
          <c:spPr>
            <a:ln>
              <a:solidFill>
                <a:srgbClr val="C0000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[2]Sheet1!$U$27:$U$39</c:f>
              <c:numCache>
                <c:formatCode>General</c:formatCode>
                <c:ptCount val="13"/>
                <c:pt idx="1">
                  <c:v>1.0649999999999966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[2]Sheet1!$U$26</c15:sqref>
                        </c15:formulaRef>
                      </c:ext>
                    </c:extLst>
                    <c:strCache>
                      <c:ptCount val="1"/>
                      <c:pt idx="0">
                        <c:v>m=9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499-4B4D-B5B5-67D5A8C216A6}"/>
            </c:ext>
          </c:extLst>
        </c:ser>
        <c:ser>
          <c:idx val="12"/>
          <c:order val="1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[2]Sheet1!$V$27:$V$39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1.0589999999999966</c:v>
                </c:pt>
                <c:pt idx="3">
                  <c:v>1.06</c:v>
                </c:pt>
                <c:pt idx="4">
                  <c:v>1.0609999999999966</c:v>
                </c:pt>
                <c:pt idx="5">
                  <c:v>1.0640000000000001</c:v>
                </c:pt>
                <c:pt idx="6">
                  <c:v>1.0669999999999966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1.2989999999999966</c:v>
                </c:pt>
                <c:pt idx="11">
                  <c:v>1.7769999999999964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[2]Sheet1!$V$26</c15:sqref>
                        </c15:formulaRef>
                      </c:ext>
                    </c:extLst>
                    <c:strCache>
                      <c:ptCount val="1"/>
                      <c:pt idx="0">
                        <c:v>m=10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499-4B4D-B5B5-67D5A8C216A6}"/>
            </c:ext>
          </c:extLst>
        </c:ser>
        <c:ser>
          <c:idx val="14"/>
          <c:order val="11"/>
          <c:spPr>
            <a:ln>
              <a:solidFill>
                <a:srgbClr val="000000"/>
              </a:solidFill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[2]Sheet1!$X$27:$X$39</c:f>
              <c:numCache>
                <c:formatCode>General</c:formatCode>
                <c:ptCount val="13"/>
                <c:pt idx="1">
                  <c:v>1.0469999999999966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1.0489999999999966</c:v>
                </c:pt>
                <c:pt idx="5">
                  <c:v>1.0509999999999966</c:v>
                </c:pt>
                <c:pt idx="6">
                  <c:v>1.0529999999999966</c:v>
                </c:pt>
                <c:pt idx="7">
                  <c:v>1.0569999999999966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1.6259999999999963</c:v>
                </c:pt>
                <c:pt idx="12">
                  <c:v>3.069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[2]Sheet1!$X$26</c15:sqref>
                        </c15:formulaRef>
                      </c:ext>
                    </c:extLst>
                    <c:strCache>
                      <c:ptCount val="1"/>
                      <c:pt idx="0">
                        <c:v>m=12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499-4B4D-B5B5-67D5A8C2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9872"/>
        <c:axId val="159042176"/>
      </c:scatterChart>
      <c:valAx>
        <c:axId val="15903987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sv-SE"/>
          </a:p>
        </c:txPr>
        <c:crossAx val="159042176"/>
        <c:crosses val="autoZero"/>
        <c:crossBetween val="midCat"/>
        <c:minorUnit val="0.05"/>
      </c:valAx>
      <c:valAx>
        <c:axId val="159042176"/>
        <c:scaling>
          <c:orientation val="minMax"/>
          <c:max val="2.2000000000000002"/>
          <c:min val="1.1000000000000001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 sz="1100"/>
                </a:pPr>
                <a:r>
                  <a:rPr lang="en-US" sz="1400"/>
                  <a:t>Peak Gain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n-US" sz="1050"/>
            </a:pPr>
            <a:endParaRPr lang="sv-SE"/>
          </a:p>
        </c:txPr>
        <c:crossAx val="159039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2228004489837283"/>
          <c:y val="6.6152429841623894E-2"/>
          <c:w val="0.20542127845205041"/>
          <c:h val="0.42808936712596846"/>
        </c:manualLayout>
      </c:layout>
      <c:overlay val="0"/>
      <c:txPr>
        <a:bodyPr/>
        <a:lstStyle/>
        <a:p>
          <a:pPr>
            <a:defRPr lang="en-US" sz="1400"/>
          </a:pPr>
          <a:endParaRPr lang="sv-SE"/>
        </a:p>
      </c:txPr>
    </c:legend>
    <c:plotVisOnly val="1"/>
    <c:dispBlanksAs val="gap"/>
    <c:showDLblsOverMax val="0"/>
  </c:chart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27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D-48E6-AD49-780B7B4AC89E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D-48E6-AD49-780B7B4AC89E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D-48E6-AD49-780B7B4AC89E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9D-48E6-AD49-780B7B4AC89E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9D-48E6-AD49-780B7B4AC89E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9D-48E6-AD49-780B7B4AC89E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9D-48E6-AD49-780B7B4AC89E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9D-48E6-AD49-780B7B4AC89E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9D-48E6-AD49-780B7B4AC89E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9D-48E6-AD49-780B7B4AC89E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9D-48E6-AD49-780B7B4AC89E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9D-48E6-AD49-780B7B4AC89E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9D-48E6-AD49-780B7B4AC89E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9D-48E6-AD49-780B7B4AC89E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9D-48E6-AD49-780B7B4AC89E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9D-48E6-AD49-780B7B4A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7376"/>
        <c:axId val="158855552"/>
      </c:scatterChart>
      <c:valAx>
        <c:axId val="158837376"/>
        <c:scaling>
          <c:orientation val="minMax"/>
          <c:max val="1"/>
          <c:min val="0.1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55552"/>
        <c:crosses val="autoZero"/>
        <c:crossBetween val="midCat"/>
        <c:majorUnit val="0.1"/>
      </c:valAx>
      <c:valAx>
        <c:axId val="158855552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373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5765435238319003"/>
          <c:y val="8.1177484120056501E-2"/>
          <c:w val="0.10043720636546996"/>
          <c:h val="0.5081363818905317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8370203724552"/>
          <c:y val="2.8856451423104276E-2"/>
          <c:w val="0.82827157926013961"/>
          <c:h val="0.906032038392861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0.79154235026023334</c:v>
                </c:pt>
                <c:pt idx="1">
                  <c:v>0.81928763845702945</c:v>
                </c:pt>
                <c:pt idx="2">
                  <c:v>0.84729090196541723</c:v>
                </c:pt>
                <c:pt idx="3">
                  <c:v>0.87544582009802541</c:v>
                </c:pt>
                <c:pt idx="4">
                  <c:v>0.9036346671109462</c:v>
                </c:pt>
                <c:pt idx="5">
                  <c:v>0.93172921252560614</c:v>
                </c:pt>
                <c:pt idx="6">
                  <c:v>0.95959208556133102</c:v>
                </c:pt>
                <c:pt idx="7">
                  <c:v>0.98707862057068796</c:v>
                </c:pt>
                <c:pt idx="8">
                  <c:v>1.0140391725319577</c:v>
                </c:pt>
                <c:pt idx="9">
                  <c:v>1.040321858792755</c:v>
                </c:pt>
                <c:pt idx="10">
                  <c:v>1.0657756478478893</c:v>
                </c:pt>
                <c:pt idx="11">
                  <c:v>1.0902536813982473</c:v>
                </c:pt>
                <c:pt idx="12">
                  <c:v>1.1136166863190038</c:v>
                </c:pt>
                <c:pt idx="13">
                  <c:v>1.1357363125802309</c:v>
                </c:pt>
                <c:pt idx="14">
                  <c:v>1.1564982251148963</c:v>
                </c:pt>
                <c:pt idx="15">
                  <c:v>1.1758047843214359</c:v>
                </c:pt>
                <c:pt idx="16">
                  <c:v>1.193577171688091</c:v>
                </c:pt>
                <c:pt idx="17">
                  <c:v>1.2097568522344109</c:v>
                </c:pt>
                <c:pt idx="18">
                  <c:v>1.2243063104731442</c:v>
                </c:pt>
                <c:pt idx="19">
                  <c:v>1.2372090464240175</c:v>
                </c:pt>
                <c:pt idx="20">
                  <c:v>1.2484688673206084</c:v>
                </c:pt>
                <c:pt idx="21">
                  <c:v>1.2581085538443981</c:v>
                </c:pt>
                <c:pt idx="22">
                  <c:v>1.2661680129300956</c:v>
                </c:pt>
                <c:pt idx="23">
                  <c:v>1.2727020500000721</c:v>
                </c:pt>
                <c:pt idx="24">
                  <c:v>1.2777779013111024</c:v>
                </c:pt>
                <c:pt idx="25">
                  <c:v>1.2814726629917843</c:v>
                </c:pt>
                <c:pt idx="26">
                  <c:v>1.283870739600832</c:v>
                </c:pt>
                <c:pt idx="27">
                  <c:v>1.2850614146156261</c:v>
                </c:pt>
                <c:pt idx="28">
                  <c:v>1.2851366212824766</c:v>
                </c:pt>
                <c:pt idx="29">
                  <c:v>1.2841889675477716</c:v>
                </c:pt>
                <c:pt idx="30">
                  <c:v>1.2823100455878218</c:v>
                </c:pt>
                <c:pt idx="31">
                  <c:v>1.2795890363075568</c:v>
                </c:pt>
                <c:pt idx="32">
                  <c:v>1.2761116029326063</c:v>
                </c:pt>
                <c:pt idx="33">
                  <c:v>1.2719590557298199</c:v>
                </c:pt>
                <c:pt idx="34">
                  <c:v>1.2672077617641195</c:v>
                </c:pt>
                <c:pt idx="35">
                  <c:v>1.2619287689497243</c:v>
                </c:pt>
                <c:pt idx="36">
                  <c:v>1.2561876118452122</c:v>
                </c:pt>
                <c:pt idx="37">
                  <c:v>1.2500442669984511</c:v>
                </c:pt>
                <c:pt idx="38">
                  <c:v>1.2435532275300574</c:v>
                </c:pt>
                <c:pt idx="39">
                  <c:v>1.2367636694969004</c:v>
                </c:pt>
                <c:pt idx="40">
                  <c:v>1.2297196859485344</c:v>
                </c:pt>
                <c:pt idx="41">
                  <c:v>1.2224605681348737</c:v>
                </c:pt>
                <c:pt idx="42">
                  <c:v>1.2150211167968625</c:v>
                </c:pt>
                <c:pt idx="43">
                  <c:v>1.2074319697113922</c:v>
                </c:pt>
                <c:pt idx="44">
                  <c:v>1.1997199345722882</c:v>
                </c:pt>
                <c:pt idx="45">
                  <c:v>1.1919083188266544</c:v>
                </c:pt>
                <c:pt idx="46">
                  <c:v>1.1840172502420365</c:v>
                </c:pt>
                <c:pt idx="47">
                  <c:v>1.1760639837707574</c:v>
                </c:pt>
                <c:pt idx="48">
                  <c:v>1.1680631917338979</c:v>
                </c:pt>
                <c:pt idx="49">
                  <c:v>1.1600272355069108</c:v>
                </c:pt>
                <c:pt idx="50">
                  <c:v>1.1519664177925479</c:v>
                </c:pt>
                <c:pt idx="51">
                  <c:v>1.1438892152547091</c:v>
                </c:pt>
                <c:pt idx="52">
                  <c:v>1.1358024917963947</c:v>
                </c:pt>
                <c:pt idx="53">
                  <c:v>1.1277116931296436</c:v>
                </c:pt>
                <c:pt idx="54">
                  <c:v>1.1196210235344577</c:v>
                </c:pt>
                <c:pt idx="55">
                  <c:v>1.1115336058620984</c:v>
                </c:pt>
                <c:pt idx="56">
                  <c:v>1.103451625926656</c:v>
                </c:pt>
                <c:pt idx="57">
                  <c:v>1.0953764624645155</c:v>
                </c:pt>
                <c:pt idx="58">
                  <c:v>1.0873088038380896</c:v>
                </c:pt>
                <c:pt idx="59">
                  <c:v>1.0792487526290522</c:v>
                </c:pt>
                <c:pt idx="60">
                  <c:v>1.0711959192159199</c:v>
                </c:pt>
                <c:pt idx="61">
                  <c:v>1.063149505367937</c:v>
                </c:pt>
                <c:pt idx="62">
                  <c:v>1.0551083788170161</c:v>
                </c:pt>
                <c:pt idx="63">
                  <c:v>1.0470711396957368</c:v>
                </c:pt>
                <c:pt idx="64">
                  <c:v>1.0390361796550769</c:v>
                </c:pt>
                <c:pt idx="65">
                  <c:v>1.0310017344025659</c:v>
                </c:pt>
                <c:pt idx="66">
                  <c:v>1.0229659303314231</c:v>
                </c:pt>
                <c:pt idx="67">
                  <c:v>1.0149268258448512</c:v>
                </c:pt>
                <c:pt idx="68">
                  <c:v>1.0068824479176188</c:v>
                </c:pt>
                <c:pt idx="69">
                  <c:v>0.99883082437964932</c:v>
                </c:pt>
                <c:pt idx="70">
                  <c:v>0.99077001235367956</c:v>
                </c:pt>
                <c:pt idx="71">
                  <c:v>0.98269812323111427</c:v>
                </c:pt>
                <c:pt idx="72">
                  <c:v>0.97461334452680148</c:v>
                </c:pt>
                <c:pt idx="73">
                  <c:v>0.96651395891448899</c:v>
                </c:pt>
                <c:pt idx="74">
                  <c:v>0.9583983607098121</c:v>
                </c:pt>
                <c:pt idx="75">
                  <c:v>0.95026507003664817</c:v>
                </c:pt>
                <c:pt idx="76">
                  <c:v>0.94211274488521801</c:v>
                </c:pt>
                <c:pt idx="77">
                  <c:v>0.93394019124614591</c:v>
                </c:pt>
                <c:pt idx="78">
                  <c:v>0.92574637148351857</c:v>
                </c:pt>
                <c:pt idx="79">
                  <c:v>0.91753041109156785</c:v>
                </c:pt>
                <c:pt idx="80">
                  <c:v>0.9092916039636546</c:v>
                </c:pt>
                <c:pt idx="81">
                  <c:v>0.90102941628851418</c:v>
                </c:pt>
                <c:pt idx="82">
                  <c:v>0.89274348917702528</c:v>
                </c:pt>
                <c:pt idx="83">
                  <c:v>0.88443364011283332</c:v>
                </c:pt>
                <c:pt idx="84">
                  <c:v>0.87609986331183731</c:v>
                </c:pt>
                <c:pt idx="85">
                  <c:v>0.86774232906860027</c:v>
                </c:pt>
                <c:pt idx="86">
                  <c:v>0.85936138216203117</c:v>
                </c:pt>
                <c:pt idx="87">
                  <c:v>0.85095753938802443</c:v>
                </c:pt>
                <c:pt idx="88">
                  <c:v>0.84253148628299912</c:v>
                </c:pt>
                <c:pt idx="89">
                  <c:v>0.83408407309928134</c:v>
                </c:pt>
                <c:pt idx="90">
                  <c:v>0.82561631009093972</c:v>
                </c:pt>
                <c:pt idx="91">
                  <c:v>0.81712936216685506</c:v>
                </c:pt>
                <c:pt idx="92">
                  <c:v>0.80862454296638309</c:v>
                </c:pt>
                <c:pt idx="93">
                  <c:v>0.80010330841188326</c:v>
                </c:pt>
                <c:pt idx="94">
                  <c:v>0.79156724979149862</c:v>
                </c:pt>
                <c:pt idx="95">
                  <c:v>0.78301808642485171</c:v>
                </c:pt>
                <c:pt idx="96">
                  <c:v>0.77445765796365862</c:v>
                </c:pt>
                <c:pt idx="97">
                  <c:v>0.76588791637863163</c:v>
                </c:pt>
                <c:pt idx="98">
                  <c:v>0.75731091768334902</c:v>
                </c:pt>
                <c:pt idx="99">
                  <c:v>0.74872881344502129</c:v>
                </c:pt>
                <c:pt idx="100">
                  <c:v>0.74014384213119</c:v>
                </c:pt>
                <c:pt idx="101">
                  <c:v>0.73155832034036505</c:v>
                </c:pt>
                <c:pt idx="102">
                  <c:v>0.72297463396341111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3-4073-AF4C-AE81F1EFBA04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0.96330315559298352</c:v>
                </c:pt>
                <c:pt idx="1">
                  <c:v>1.0023366491357293</c:v>
                </c:pt>
                <c:pt idx="2">
                  <c:v>1.0416821679114046</c:v>
                </c:pt>
                <c:pt idx="3">
                  <c:v>1.0810765828703102</c:v>
                </c:pt>
                <c:pt idx="4">
                  <c:v>1.1202223788531465</c:v>
                </c:pt>
                <c:pt idx="5">
                  <c:v>1.1587918817916678</c:v>
                </c:pt>
                <c:pt idx="6">
                  <c:v>1.1964339701999136</c:v>
                </c:pt>
                <c:pt idx="7">
                  <c:v>1.2327833064756295</c:v>
                </c:pt>
                <c:pt idx="8">
                  <c:v>1.2674718512537728</c:v>
                </c:pt>
                <c:pt idx="9">
                  <c:v>1.3001421116548695</c:v>
                </c:pt>
                <c:pt idx="10">
                  <c:v>1.3304612694151379</c:v>
                </c:pt>
                <c:pt idx="11">
                  <c:v>1.358135097707063</c:v>
                </c:pt>
                <c:pt idx="12">
                  <c:v>1.3829204651119142</c:v>
                </c:pt>
                <c:pt idx="13">
                  <c:v>1.4046352827487796</c:v>
                </c:pt>
                <c:pt idx="14">
                  <c:v>1.4231649838991922</c:v>
                </c:pt>
                <c:pt idx="15">
                  <c:v>1.4384650026572505</c:v>
                </c:pt>
                <c:pt idx="16">
                  <c:v>1.4505591729904488</c:v>
                </c:pt>
                <c:pt idx="17">
                  <c:v>1.4595344185469727</c:v>
                </c:pt>
                <c:pt idx="18">
                  <c:v>1.4655324679944861</c:v>
                </c:pt>
                <c:pt idx="19">
                  <c:v>1.4687395567128558</c:v>
                </c:pt>
                <c:pt idx="20">
                  <c:v>1.4693751445439325</c:v>
                </c:pt>
                <c:pt idx="21">
                  <c:v>1.467680606401381</c:v>
                </c:pt>
                <c:pt idx="22">
                  <c:v>1.4639086771663814</c:v>
                </c:pt>
                <c:pt idx="23">
                  <c:v>1.4583142034866889</c:v>
                </c:pt>
                <c:pt idx="24">
                  <c:v>1.4511465186989747</c:v>
                </c:pt>
                <c:pt idx="25">
                  <c:v>1.4426435473501973</c:v>
                </c:pt>
                <c:pt idx="26">
                  <c:v>1.4330275823122431</c:v>
                </c:pt>
                <c:pt idx="27">
                  <c:v>1.4225025664795636</c:v>
                </c:pt>
                <c:pt idx="28">
                  <c:v>1.4112526489441968</c:v>
                </c:pt>
                <c:pt idx="29">
                  <c:v>1.3994417632052962</c:v>
                </c:pt>
                <c:pt idx="30">
                  <c:v>1.3872139812583468</c:v>
                </c:pt>
                <c:pt idx="31">
                  <c:v>1.3746944216944943</c:v>
                </c:pt>
                <c:pt idx="32">
                  <c:v>1.3619905234507172</c:v>
                </c:pt>
                <c:pt idx="33">
                  <c:v>1.3491935331349609</c:v>
                </c:pt>
                <c:pt idx="34">
                  <c:v>1.3363800886687773</c:v>
                </c:pt>
                <c:pt idx="35">
                  <c:v>1.3236138129282249</c:v>
                </c:pt>
                <c:pt idx="36">
                  <c:v>1.3109468570503215</c:v>
                </c:pt>
                <c:pt idx="37">
                  <c:v>1.2984213539327192</c:v>
                </c:pt>
                <c:pt idx="38">
                  <c:v>1.2860707585481765</c:v>
                </c:pt>
                <c:pt idx="39">
                  <c:v>1.2739210636517631</c:v>
                </c:pt>
                <c:pt idx="40">
                  <c:v>1.2619918879981551</c:v>
                </c:pt>
                <c:pt idx="41">
                  <c:v>1.2502974400137874</c:v>
                </c:pt>
                <c:pt idx="42">
                  <c:v>1.2388473636152975</c:v>
                </c:pt>
                <c:pt idx="43">
                  <c:v>1.2276474750655664</c:v>
                </c:pt>
                <c:pt idx="44">
                  <c:v>1.2167004008443332</c:v>
                </c:pt>
                <c:pt idx="45">
                  <c:v>1.2060061268207041</c:v>
                </c:pt>
                <c:pt idx="46">
                  <c:v>1.1955624688079278</c:v>
                </c:pt>
                <c:pt idx="47">
                  <c:v>1.1853654740477748</c:v>
                </c:pt>
                <c:pt idx="48">
                  <c:v>1.1754097624508535</c:v>
                </c:pt>
                <c:pt idx="49">
                  <c:v>1.1656888156073748</c:v>
                </c:pt>
                <c:pt idx="50">
                  <c:v>1.1561952207462634</c:v>
                </c:pt>
                <c:pt idx="51">
                  <c:v>1.1469208760023162</c:v>
                </c:pt>
                <c:pt idx="52">
                  <c:v>1.1378571625780387</c:v>
                </c:pt>
                <c:pt idx="53">
                  <c:v>1.1289950886737345</c:v>
                </c:pt>
                <c:pt idx="54">
                  <c:v>1.120325409413415</c:v>
                </c:pt>
                <c:pt idx="55">
                  <c:v>1.1118387264165874</c:v>
                </c:pt>
                <c:pt idx="56">
                  <c:v>1.1035255701551441</c:v>
                </c:pt>
                <c:pt idx="57">
                  <c:v>1.09537646778641</c:v>
                </c:pt>
                <c:pt idx="58">
                  <c:v>1.0873819987627789</c:v>
                </c:pt>
                <c:pt idx="59">
                  <c:v>1.0795328401797433</c:v>
                </c:pt>
                <c:pt idx="60">
                  <c:v>1.0718198035317827</c:v>
                </c:pt>
                <c:pt idx="61">
                  <c:v>1.0642338642940758</c:v>
                </c:pt>
                <c:pt idx="62">
                  <c:v>1.0567661855322834</c:v>
                </c:pt>
                <c:pt idx="63">
                  <c:v>1.0494081365579704</c:v>
                </c:pt>
                <c:pt idx="64">
                  <c:v>1.0421513074894817</c:v>
                </c:pt>
                <c:pt idx="65">
                  <c:v>1.0349875204434766</c:v>
                </c:pt>
                <c:pt idx="66">
                  <c:v>1.0279088379676145</c:v>
                </c:pt>
                <c:pt idx="67">
                  <c:v>1.0209075692272067</c:v>
                </c:pt>
                <c:pt idx="68">
                  <c:v>1.013976274375521</c:v>
                </c:pt>
                <c:pt idx="69">
                  <c:v>1.0071077674666944</c:v>
                </c:pt>
                <c:pt idx="70">
                  <c:v>1.0002951182100737</c:v>
                </c:pt>
                <c:pt idx="71">
                  <c:v>0.99353165281365108</c:v>
                </c:pt>
                <c:pt idx="72">
                  <c:v>0.98681095412072317</c:v>
                </c:pt>
                <c:pt idx="73">
                  <c:v>0.98012686120694759</c:v>
                </c:pt>
                <c:pt idx="74">
                  <c:v>0.97347346857344141</c:v>
                </c:pt>
                <c:pt idx="75">
                  <c:v>0.9668451250448129</c:v>
                </c:pt>
                <c:pt idx="76">
                  <c:v>0.96023643245822787</c:v>
                </c:pt>
                <c:pt idx="77">
                  <c:v>0.95364224421024024</c:v>
                </c:pt>
                <c:pt idx="78">
                  <c:v>0.94705766371164612</c:v>
                </c:pt>
                <c:pt idx="79">
                  <c:v>0.94047804278664138</c:v>
                </c:pt>
                <c:pt idx="80">
                  <c:v>0.93389898004072935</c:v>
                </c:pt>
                <c:pt idx="81">
                  <c:v>0.92731631921180135</c:v>
                </c:pt>
                <c:pt idx="82">
                  <c:v>0.92072614751040915</c:v>
                </c:pt>
                <c:pt idx="83">
                  <c:v>0.91412479394819357</c:v>
                </c:pt>
                <c:pt idx="84">
                  <c:v>0.90750882764761731</c:v>
                </c:pt>
                <c:pt idx="85">
                  <c:v>0.90087505612135677</c:v>
                </c:pt>
                <c:pt idx="86">
                  <c:v>0.89422052350588044</c:v>
                </c:pt>
                <c:pt idx="87">
                  <c:v>0.88754250873073193</c:v>
                </c:pt>
                <c:pt idx="88">
                  <c:v>0.88083852360278114</c:v>
                </c:pt>
                <c:pt idx="89">
                  <c:v>0.8741063107831164</c:v>
                </c:pt>
                <c:pt idx="90">
                  <c:v>0.86734384163329192</c:v>
                </c:pt>
                <c:pt idx="91">
                  <c:v>0.86054931390720935</c:v>
                </c:pt>
                <c:pt idx="92">
                  <c:v>0.85372114926501685</c:v>
                </c:pt>
                <c:pt idx="93">
                  <c:v>0.84685799058595712</c:v>
                </c:pt>
                <c:pt idx="94">
                  <c:v>0.8399586990580743</c:v>
                </c:pt>
                <c:pt idx="95">
                  <c:v>0.83302235102405209</c:v>
                </c:pt>
                <c:pt idx="96">
                  <c:v>0.82604823456416387</c:v>
                </c:pt>
                <c:pt idx="97">
                  <c:v>0.8190358457993463</c:v>
                </c:pt>
                <c:pt idx="98">
                  <c:v>0.81198488489969067</c:v>
                </c:pt>
                <c:pt idx="99">
                  <c:v>0.80489525178620613</c:v>
                </c:pt>
                <c:pt idx="100">
                  <c:v>0.79776704151643052</c:v>
                </c:pt>
                <c:pt idx="101">
                  <c:v>0.79060053934737684</c:v>
                </c:pt>
                <c:pt idx="102">
                  <c:v>0.78339621547233507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3-4073-AF4C-AE81F1EFBA04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1.2176855594640483</c:v>
                </c:pt>
                <c:pt idx="1">
                  <c:v>1.2795641290912405</c:v>
                </c:pt>
                <c:pt idx="2">
                  <c:v>1.3423759484679119</c:v>
                </c:pt>
                <c:pt idx="3">
                  <c:v>1.4054079413316469</c:v>
                </c:pt>
                <c:pt idx="4">
                  <c:v>1.4677967799250797</c:v>
                </c:pt>
                <c:pt idx="5">
                  <c:v>1.5285435664976283</c:v>
                </c:pt>
                <c:pt idx="6">
                  <c:v>1.5865468903325384</c:v>
                </c:pt>
                <c:pt idx="7">
                  <c:v>1.6406557732888576</c:v>
                </c:pt>
                <c:pt idx="8">
                  <c:v>1.6897403921123963</c:v>
                </c:pt>
                <c:pt idx="9">
                  <c:v>1.7327739446329546</c:v>
                </c:pt>
                <c:pt idx="10">
                  <c:v>1.7689148530445702</c:v>
                </c:pt>
                <c:pt idx="11">
                  <c:v>1.7975762817622336</c:v>
                </c:pt>
                <c:pt idx="12">
                  <c:v>1.8184709642826089</c:v>
                </c:pt>
                <c:pt idx="13">
                  <c:v>1.8316237592138738</c:v>
                </c:pt>
                <c:pt idx="14">
                  <c:v>1.83735096627035</c:v>
                </c:pt>
                <c:pt idx="15">
                  <c:v>1.8362120695042452</c:v>
                </c:pt>
                <c:pt idx="16">
                  <c:v>1.8289441529067119</c:v>
                </c:pt>
                <c:pt idx="17">
                  <c:v>1.8163906686604705</c:v>
                </c:pt>
                <c:pt idx="18">
                  <c:v>1.7994347479264761</c:v>
                </c:pt>
                <c:pt idx="19">
                  <c:v>1.7789439640173055</c:v>
                </c:pt>
                <c:pt idx="20">
                  <c:v>1.7557297502419085</c:v>
                </c:pt>
                <c:pt idx="21">
                  <c:v>1.730521566908124</c:v>
                </c:pt>
                <c:pt idx="22">
                  <c:v>1.7039538800701897</c:v>
                </c:pt>
                <c:pt idx="23">
                  <c:v>1.6765630629151687</c:v>
                </c:pt>
                <c:pt idx="24">
                  <c:v>1.6487911997714229</c:v>
                </c:pt>
                <c:pt idx="25">
                  <c:v>1.6209941338869334</c:v>
                </c:pt>
                <c:pt idx="26">
                  <c:v>1.5934516734710453</c:v>
                </c:pt>
                <c:pt idx="27">
                  <c:v>1.5663784677875621</c:v>
                </c:pt>
                <c:pt idx="28">
                  <c:v>1.5399345852553108</c:v>
                </c:pt>
                <c:pt idx="29">
                  <c:v>1.5142352307091658</c:v>
                </c:pt>
                <c:pt idx="30">
                  <c:v>1.4893593289231866</c:v>
                </c:pt>
                <c:pt idx="31">
                  <c:v>1.4653568937400383</c:v>
                </c:pt>
                <c:pt idx="32">
                  <c:v>1.4422552195806415</c:v>
                </c:pt>
                <c:pt idx="33">
                  <c:v>1.4200639963962156</c:v>
                </c:pt>
                <c:pt idx="34">
                  <c:v>1.3987794780205687</c:v>
                </c:pt>
                <c:pt idx="35">
                  <c:v>1.378387840683251</c:v>
                </c:pt>
                <c:pt idx="36">
                  <c:v>1.3588678624913304</c:v>
                </c:pt>
                <c:pt idx="37">
                  <c:v>1.3401930421857489</c:v>
                </c:pt>
                <c:pt idx="38">
                  <c:v>1.3223332603403102</c:v>
                </c:pt>
                <c:pt idx="39">
                  <c:v>1.3052560707202476</c:v>
                </c:pt>
                <c:pt idx="40">
                  <c:v>1.2889276950242365</c:v>
                </c:pt>
                <c:pt idx="41">
                  <c:v>1.2733137813038844</c:v>
                </c:pt>
                <c:pt idx="42">
                  <c:v>1.2583799751915541</c:v>
                </c:pt>
                <c:pt idx="43">
                  <c:v>1.2440923436463054</c:v>
                </c:pt>
                <c:pt idx="44">
                  <c:v>1.2304176831063698</c:v>
                </c:pt>
                <c:pt idx="45">
                  <c:v>1.2173237375217361</c:v>
                </c:pt>
                <c:pt idx="46">
                  <c:v>1.2047793465273215</c:v>
                </c:pt>
                <c:pt idx="47">
                  <c:v>1.1927545398104911</c:v>
                </c:pt>
                <c:pt idx="48">
                  <c:v>1.1812205903505728</c:v>
                </c:pt>
                <c:pt idx="49">
                  <c:v>1.1701500365102235</c:v>
                </c:pt>
                <c:pt idx="50">
                  <c:v>1.1595166808101551</c:v>
                </c:pt>
                <c:pt idx="51">
                  <c:v>1.1492955715127402</c:v>
                </c:pt>
                <c:pt idx="52">
                  <c:v>1.139462971788558</c:v>
                </c:pt>
                <c:pt idx="53">
                  <c:v>1.1299963201715217</c:v>
                </c:pt>
                <c:pt idx="54">
                  <c:v>1.1208741851652075</c:v>
                </c:pt>
                <c:pt idx="55">
                  <c:v>1.1120762161990683</c:v>
                </c:pt>
                <c:pt idx="56">
                  <c:v>1.1035830926112908</c:v>
                </c:pt>
                <c:pt idx="57">
                  <c:v>1.0953764719256611</c:v>
                </c:pt>
                <c:pt idx="58">
                  <c:v>1.0874389383693555</c:v>
                </c:pt>
                <c:pt idx="59">
                  <c:v>1.0797539523285016</c:v>
                </c:pt>
                <c:pt idx="60">
                  <c:v>1.0723058012437801</c:v>
                </c:pt>
                <c:pt idx="61">
                  <c:v>1.0650795522975276</c:v>
                </c:pt>
                <c:pt idx="62">
                  <c:v>1.05806100712755</c:v>
                </c:pt>
                <c:pt idx="63">
                  <c:v>1.0512366587136575</c:v>
                </c:pt>
                <c:pt idx="64">
                  <c:v>1.0445936505151288</c:v>
                </c:pt>
                <c:pt idx="65">
                  <c:v>1.038119737886158</c:v>
                </c:pt>
                <c:pt idx="66">
                  <c:v>1.0318032517583069</c:v>
                </c:pt>
                <c:pt idx="67">
                  <c:v>1.0256330645511047</c:v>
                </c:pt>
                <c:pt idx="68">
                  <c:v>1.0195985582520277</c:v>
                </c:pt>
                <c:pt idx="69">
                  <c:v>1.0136895945932611</c:v>
                </c:pt>
                <c:pt idx="70">
                  <c:v>1.007896487243563</c:v>
                </c:pt>
                <c:pt idx="71">
                  <c:v>1.0022099759280605</c:v>
                </c:pt>
                <c:pt idx="72">
                  <c:v>0.99662120238600505</c:v>
                </c:pt>
                <c:pt idx="73">
                  <c:v>0.99112168807579593</c:v>
                </c:pt>
                <c:pt idx="74">
                  <c:v>0.98570331353729324</c:v>
                </c:pt>
                <c:pt idx="75">
                  <c:v>0.98035829932325591</c:v>
                </c:pt>
                <c:pt idx="76">
                  <c:v>0.9750791884142751</c:v>
                </c:pt>
                <c:pt idx="77">
                  <c:v>0.96985883003458984</c:v>
                </c:pt>
                <c:pt idx="78">
                  <c:v>0.9646903647894689</c:v>
                </c:pt>
                <c:pt idx="79">
                  <c:v>0.95956721104826692</c:v>
                </c:pt>
                <c:pt idx="80">
                  <c:v>0.95448305250072019</c:v>
                </c:pt>
                <c:pt idx="81">
                  <c:v>0.94943182681741012</c:v>
                </c:pt>
                <c:pt idx="82">
                  <c:v>0.94440771534858015</c:v>
                </c:pt>
                <c:pt idx="83">
                  <c:v>0.93940513379855306</c:v>
                </c:pt>
                <c:pt idx="84">
                  <c:v>0.93441872381586977</c:v>
                </c:pt>
                <c:pt idx="85">
                  <c:v>0.92944334544191187</c:v>
                </c:pt>
                <c:pt idx="86">
                  <c:v>0.92447407036317497</c:v>
                </c:pt>
                <c:pt idx="87">
                  <c:v>0.91950617591454009</c:v>
                </c:pt>
                <c:pt idx="88">
                  <c:v>0.91453513978283951</c:v>
                </c:pt>
                <c:pt idx="89">
                  <c:v>0.90955663536171671</c:v>
                </c:pt>
                <c:pt idx="90">
                  <c:v>0.90456652771031665</c:v>
                </c:pt>
                <c:pt idx="91">
                  <c:v>0.8995608700696256</c:v>
                </c:pt>
                <c:pt idx="92">
                  <c:v>0.89453590089143542</c:v>
                </c:pt>
                <c:pt idx="93">
                  <c:v>0.88948804133587189</c:v>
                </c:pt>
                <c:pt idx="94">
                  <c:v>0.88441389319425578</c:v>
                </c:pt>
                <c:pt idx="95">
                  <c:v>0.8793102371947924</c:v>
                </c:pt>
                <c:pt idx="96">
                  <c:v>0.8741740316491925</c:v>
                </c:pt>
                <c:pt idx="97">
                  <c:v>0.86900241139889312</c:v>
                </c:pt>
                <c:pt idx="98">
                  <c:v>0.86379268702003087</c:v>
                </c:pt>
                <c:pt idx="99">
                  <c:v>0.85854234424682085</c:v>
                </c:pt>
                <c:pt idx="100">
                  <c:v>0.85324904357346065</c:v>
                </c:pt>
                <c:pt idx="101">
                  <c:v>0.8479106199951868</c:v>
                </c:pt>
                <c:pt idx="102">
                  <c:v>0.8425250828496762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3-4073-AF4C-AE81F1EFBA04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1.6087171252710375</c:v>
                </c:pt>
                <c:pt idx="1">
                  <c:v>1.7249826480801811</c:v>
                </c:pt>
                <c:pt idx="2">
                  <c:v>1.8471955196961554</c:v>
                </c:pt>
                <c:pt idx="3">
                  <c:v>1.9735285494413197</c:v>
                </c:pt>
                <c:pt idx="4">
                  <c:v>2.1011672743583341</c:v>
                </c:pt>
                <c:pt idx="5">
                  <c:v>2.2261988225166363</c:v>
                </c:pt>
                <c:pt idx="6">
                  <c:v>2.3436857855476432</c:v>
                </c:pt>
                <c:pt idx="7">
                  <c:v>2.4480290075139659</c:v>
                </c:pt>
                <c:pt idx="8">
                  <c:v>2.5336595560448059</c:v>
                </c:pt>
                <c:pt idx="9">
                  <c:v>2.5959594742556131</c:v>
                </c:pt>
                <c:pt idx="10">
                  <c:v>2.6321492114981382</c:v>
                </c:pt>
                <c:pt idx="11">
                  <c:v>2.6418155785918125</c:v>
                </c:pt>
                <c:pt idx="12">
                  <c:v>2.6268737727526243</c:v>
                </c:pt>
                <c:pt idx="13">
                  <c:v>2.5910061983684067</c:v>
                </c:pt>
                <c:pt idx="14">
                  <c:v>2.5388312379407667</c:v>
                </c:pt>
                <c:pt idx="15">
                  <c:v>2.4751004317507594</c:v>
                </c:pt>
                <c:pt idx="16">
                  <c:v>2.4041196388792816</c:v>
                </c:pt>
                <c:pt idx="17">
                  <c:v>2.3294450546834811</c:v>
                </c:pt>
                <c:pt idx="18">
                  <c:v>2.2538046721640193</c:v>
                </c:pt>
                <c:pt idx="19">
                  <c:v>2.1791607538407112</c:v>
                </c:pt>
                <c:pt idx="20">
                  <c:v>2.1068377276459556</c:v>
                </c:pt>
                <c:pt idx="21">
                  <c:v>2.0376647761836924</c:v>
                </c:pt>
                <c:pt idx="22">
                  <c:v>1.9721060411971243</c:v>
                </c:pt>
                <c:pt idx="23">
                  <c:v>1.9103677637676402</c:v>
                </c:pt>
                <c:pt idx="24">
                  <c:v>1.8524809453745519</c:v>
                </c:pt>
                <c:pt idx="25">
                  <c:v>1.7983623779681943</c:v>
                </c:pt>
                <c:pt idx="26">
                  <c:v>1.7478582570491124</c:v>
                </c:pt>
                <c:pt idx="27">
                  <c:v>1.7007745313299232</c:v>
                </c:pt>
                <c:pt idx="28">
                  <c:v>1.6568975157572843</c:v>
                </c:pt>
                <c:pt idx="29">
                  <c:v>1.6160075395742071</c:v>
                </c:pt>
                <c:pt idx="30">
                  <c:v>1.5778877091488002</c:v>
                </c:pt>
                <c:pt idx="31">
                  <c:v>1.5423292999556302</c:v>
                </c:pt>
                <c:pt idx="32">
                  <c:v>1.5091348579329713</c:v>
                </c:pt>
                <c:pt idx="33">
                  <c:v>1.478119769280742</c:v>
                </c:pt>
                <c:pt idx="34">
                  <c:v>1.4491128258796206</c:v>
                </c:pt>
                <c:pt idx="35">
                  <c:v>1.4219561488032544</c:v>
                </c:pt>
                <c:pt idx="36">
                  <c:v>1.3965047167431568</c:v>
                </c:pt>
                <c:pt idx="37">
                  <c:v>1.3726256656512394</c:v>
                </c:pt>
                <c:pt idx="38">
                  <c:v>1.3501974702352117</c:v>
                </c:pt>
                <c:pt idx="39">
                  <c:v>1.3291090796846194</c:v>
                </c:pt>
                <c:pt idx="40">
                  <c:v>1.3092590538746036</c:v>
                </c:pt>
                <c:pt idx="41">
                  <c:v>1.2905547285699448</c:v>
                </c:pt>
                <c:pt idx="42">
                  <c:v>1.2729114262321208</c:v>
                </c:pt>
                <c:pt idx="43">
                  <c:v>1.2562517211063273</c:v>
                </c:pt>
                <c:pt idx="44">
                  <c:v>1.2405047620774414</c:v>
                </c:pt>
                <c:pt idx="45">
                  <c:v>1.2256056534640949</c:v>
                </c:pt>
                <c:pt idx="46">
                  <c:v>1.2114948918675605</c:v>
                </c:pt>
                <c:pt idx="47">
                  <c:v>1.1981178559927914</c:v>
                </c:pt>
                <c:pt idx="48">
                  <c:v>1.1854243457275122</c:v>
                </c:pt>
                <c:pt idx="49">
                  <c:v>1.1733681665063369</c:v>
                </c:pt>
                <c:pt idx="50">
                  <c:v>1.1619067549666886</c:v>
                </c:pt>
                <c:pt idx="51">
                  <c:v>1.1510008420310964</c:v>
                </c:pt>
                <c:pt idx="52">
                  <c:v>1.1406141497649633</c:v>
                </c:pt>
                <c:pt idx="53">
                  <c:v>1.1307131186192376</c:v>
                </c:pt>
                <c:pt idx="54">
                  <c:v>1.1212666619467755</c:v>
                </c:pt>
                <c:pt idx="55">
                  <c:v>1.1122459449622673</c:v>
                </c:pt>
                <c:pt idx="56">
                  <c:v>1.1036241855877065</c:v>
                </c:pt>
                <c:pt idx="57">
                  <c:v>1.0953764748822692</c:v>
                </c:pt>
                <c:pt idx="58">
                  <c:v>1.0874796149937223</c:v>
                </c:pt>
                <c:pt idx="59">
                  <c:v>1.0799119727868154</c:v>
                </c:pt>
                <c:pt idx="60">
                  <c:v>1.072653347502317</c:v>
                </c:pt>
                <c:pt idx="61">
                  <c:v>1.0656848509791059</c:v>
                </c:pt>
                <c:pt idx="62">
                  <c:v>1.058988799132182</c:v>
                </c:pt>
                <c:pt idx="63">
                  <c:v>1.0525486135228403</c:v>
                </c:pt>
                <c:pt idx="64">
                  <c:v>1.0463487319851721</c:v>
                </c:pt>
                <c:pt idx="65">
                  <c:v>1.0403745273868095</c:v>
                </c:pt>
                <c:pt idx="66">
                  <c:v>1.0346122337029584</c:v>
                </c:pt>
                <c:pt idx="67">
                  <c:v>1.0290488786725003</c:v>
                </c:pt>
                <c:pt idx="68">
                  <c:v>1.0236722223845975</c:v>
                </c:pt>
                <c:pt idx="69">
                  <c:v>1.0184707012148455</c:v>
                </c:pt>
                <c:pt idx="70">
                  <c:v>1.0134333765926782</c:v>
                </c:pt>
                <c:pt idx="71">
                  <c:v>1.0085498881373132</c:v>
                </c:pt>
                <c:pt idx="72">
                  <c:v>1.0038104107488171</c:v>
                </c:pt>
                <c:pt idx="73">
                  <c:v>0.99920561528470142</c:v>
                </c:pt>
                <c:pt idx="74">
                  <c:v>0.99472663249132764</c:v>
                </c:pt>
                <c:pt idx="75">
                  <c:v>0.99036501989399262</c:v>
                </c:pt>
                <c:pt idx="76">
                  <c:v>0.98611273138033839</c:v>
                </c:pt>
                <c:pt idx="77">
                  <c:v>0.98196208923911599</c:v>
                </c:pt>
                <c:pt idx="78">
                  <c:v>0.9779057584407399</c:v>
                </c:pt>
                <c:pt idx="79">
                  <c:v>0.97393672296783795</c:v>
                </c:pt>
                <c:pt idx="80">
                  <c:v>0.97004826402344402</c:v>
                </c:pt>
                <c:pt idx="81">
                  <c:v>0.96623393996181783</c:v>
                </c:pt>
                <c:pt idx="82">
                  <c:v>0.96248756780241829</c:v>
                </c:pt>
                <c:pt idx="83">
                  <c:v>0.95880320620142789</c:v>
                </c:pt>
                <c:pt idx="84">
                  <c:v>0.9551751397676731</c:v>
                </c:pt>
                <c:pt idx="85">
                  <c:v>0.95159786462092255</c:v>
                </c:pt>
                <c:pt idx="86">
                  <c:v>0.94806607510053487</c:v>
                </c:pt>
                <c:pt idx="87">
                  <c:v>0.94457465154139097</c:v>
                </c:pt>
                <c:pt idx="88">
                  <c:v>0.94111864904208398</c:v>
                </c:pt>
                <c:pt idx="89">
                  <c:v>0.93769328715754741</c:v>
                </c:pt>
                <c:pt idx="90">
                  <c:v>0.93429394045477654</c:v>
                </c:pt>
                <c:pt idx="91">
                  <c:v>0.93091612987610173</c:v>
                </c:pt>
                <c:pt idx="92">
                  <c:v>0.92755551485965315</c:v>
                </c:pt>
                <c:pt idx="93">
                  <c:v>0.92420788617133132</c:v>
                </c:pt>
                <c:pt idx="94">
                  <c:v>0.9208691594067282</c:v>
                </c:pt>
                <c:pt idx="95">
                  <c:v>0.91753536912516487</c:v>
                </c:pt>
                <c:pt idx="96">
                  <c:v>0.91420266358128333</c:v>
                </c:pt>
                <c:pt idx="97">
                  <c:v>0.910867300022564</c:v>
                </c:pt>
                <c:pt idx="98">
                  <c:v>0.9075256405236779</c:v>
                </c:pt>
                <c:pt idx="99">
                  <c:v>0.90417414833085463</c:v>
                </c:pt>
                <c:pt idx="100">
                  <c:v>0.90080938469137606</c:v>
                </c:pt>
                <c:pt idx="101">
                  <c:v>0.89742800614498464</c:v>
                </c:pt>
                <c:pt idx="102">
                  <c:v>0.8940267622554211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3-4073-AF4C-AE81F1EFBA04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82.173064736009536</c:v>
                </c:pt>
                <c:pt idx="1">
                  <c:v>83.700776070112752</c:v>
                </c:pt>
                <c:pt idx="2">
                  <c:v>85.256889678462954</c:v>
                </c:pt>
                <c:pt idx="3">
                  <c:v>86.841933598762296</c:v>
                </c:pt>
                <c:pt idx="4">
                  <c:v>88.456445685666736</c:v>
                </c:pt>
                <c:pt idx="5">
                  <c:v>90.100973793296873</c:v>
                </c:pt>
                <c:pt idx="6">
                  <c:v>91.776075961141871</c:v>
                </c:pt>
                <c:pt idx="7">
                  <c:v>93.482320603419566</c:v>
                </c:pt>
                <c:pt idx="8">
                  <c:v>95.220286701957107</c:v>
                </c:pt>
                <c:pt idx="9">
                  <c:v>96.99056400265745</c:v>
                </c:pt>
                <c:pt idx="10">
                  <c:v>98.793753215618509</c:v>
                </c:pt>
                <c:pt idx="11">
                  <c:v>100.63046621897273</c:v>
                </c:pt>
                <c:pt idx="12">
                  <c:v>102.50132626651634</c:v>
                </c:pt>
                <c:pt idx="13">
                  <c:v>104.40696819919879</c:v>
                </c:pt>
                <c:pt idx="14">
                  <c:v>106.34803866054393</c:v>
                </c:pt>
                <c:pt idx="15">
                  <c:v>108.32519631607633</c:v>
                </c:pt>
                <c:pt idx="16">
                  <c:v>110.33911207682689</c:v>
                </c:pt>
                <c:pt idx="17">
                  <c:v>112.39046932699388</c:v>
                </c:pt>
                <c:pt idx="18">
                  <c:v>114.47996415583634</c:v>
                </c:pt>
                <c:pt idx="19">
                  <c:v>116.60830559387888</c:v>
                </c:pt>
                <c:pt idx="20">
                  <c:v>118.77621585350774</c:v>
                </c:pt>
                <c:pt idx="21">
                  <c:v>120.98443057403985</c:v>
                </c:pt>
                <c:pt idx="22">
                  <c:v>123.23369907134818</c:v>
                </c:pt>
                <c:pt idx="23">
                  <c:v>125.52478459212787</c:v>
                </c:pt>
                <c:pt idx="24">
                  <c:v>127.85846457288955</c:v>
                </c:pt>
                <c:pt idx="25">
                  <c:v>130.23553090376768</c:v>
                </c:pt>
                <c:pt idx="26">
                  <c:v>132.65679019723356</c:v>
                </c:pt>
                <c:pt idx="27">
                  <c:v>135.12306406180389</c:v>
                </c:pt>
                <c:pt idx="28">
                  <c:v>137.63518938083817</c:v>
                </c:pt>
                <c:pt idx="29">
                  <c:v>140.19401859651919</c:v>
                </c:pt>
                <c:pt idx="30">
                  <c:v>142.80041999911316</c:v>
                </c:pt>
                <c:pt idx="31">
                  <c:v>145.45527802160754</c:v>
                </c:pt>
                <c:pt idx="32">
                  <c:v>148.15949353982671</c:v>
                </c:pt>
                <c:pt idx="33">
                  <c:v>150.91398417812704</c:v>
                </c:pt>
                <c:pt idx="34">
                  <c:v>153.71968462077544</c:v>
                </c:pt>
                <c:pt idx="35">
                  <c:v>156.57754692911672</c:v>
                </c:pt>
                <c:pt idx="36">
                  <c:v>159.48854086463763</c:v>
                </c:pt>
                <c:pt idx="37">
                  <c:v>162.45365421803697</c:v>
                </c:pt>
                <c:pt idx="38">
                  <c:v>165.47389314441381</c:v>
                </c:pt>
                <c:pt idx="39">
                  <c:v>168.55028250468706</c:v>
                </c:pt>
                <c:pt idx="40">
                  <c:v>171.68386621336273</c:v>
                </c:pt>
                <c:pt idx="41">
                  <c:v>174.87570759276645</c:v>
                </c:pt>
                <c:pt idx="42">
                  <c:v>178.12688973386184</c:v>
                </c:pt>
                <c:pt idx="43">
                  <c:v>181.43851586377696</c:v>
                </c:pt>
                <c:pt idx="44">
                  <c:v>184.81170972016346</c:v>
                </c:pt>
                <c:pt idx="45">
                  <c:v>188.24761593251583</c:v>
                </c:pt>
                <c:pt idx="46">
                  <c:v>191.74740041057959</c:v>
                </c:pt>
                <c:pt idx="47">
                  <c:v>195.31225073998081</c:v>
                </c:pt>
                <c:pt idx="48">
                  <c:v>198.94337658521076</c:v>
                </c:pt>
                <c:pt idx="49">
                  <c:v>202.64201010010271</c:v>
                </c:pt>
                <c:pt idx="50">
                  <c:v>206.40940634594</c:v>
                </c:pt>
                <c:pt idx="51">
                  <c:v>210.24684371733727</c:v>
                </c:pt>
                <c:pt idx="52">
                  <c:v>214.15562437603955</c:v>
                </c:pt>
                <c:pt idx="53">
                  <c:v>218.1370746927862</c:v>
                </c:pt>
                <c:pt idx="54">
                  <c:v>222.19254569738968</c:v>
                </c:pt>
                <c:pt idx="55">
                  <c:v>226.32341353718195</c:v>
                </c:pt>
                <c:pt idx="56">
                  <c:v>230.53107994398405</c:v>
                </c:pt>
                <c:pt idx="57">
                  <c:v>234.81697270975729</c:v>
                </c:pt>
                <c:pt idx="58">
                  <c:v>239.18254617109736</c:v>
                </c:pt>
                <c:pt idx="59">
                  <c:v>243.62928170273594</c:v>
                </c:pt>
                <c:pt idx="60">
                  <c:v>248.15868822021724</c:v>
                </c:pt>
                <c:pt idx="61">
                  <c:v>252.77230269191989</c:v>
                </c:pt>
                <c:pt idx="62">
                  <c:v>257.47169066059809</c:v>
                </c:pt>
                <c:pt idx="63">
                  <c:v>262.25844677461879</c:v>
                </c:pt>
                <c:pt idx="64">
                  <c:v>267.13419532907568</c:v>
                </c:pt>
                <c:pt idx="65">
                  <c:v>272.10059081696278</c:v>
                </c:pt>
                <c:pt idx="66">
                  <c:v>277.15931849059541</c:v>
                </c:pt>
                <c:pt idx="67">
                  <c:v>282.31209493346864</c:v>
                </c:pt>
                <c:pt idx="68">
                  <c:v>287.56066864274743</c:v>
                </c:pt>
                <c:pt idx="69">
                  <c:v>292.90682062258605</c:v>
                </c:pt>
                <c:pt idx="70">
                  <c:v>298.35236498847814</c:v>
                </c:pt>
                <c:pt idx="71">
                  <c:v>303.89914958284243</c:v>
                </c:pt>
                <c:pt idx="72">
                  <c:v>309.54905660205316</c:v>
                </c:pt>
                <c:pt idx="73">
                  <c:v>315.30400323512771</c:v>
                </c:pt>
                <c:pt idx="74">
                  <c:v>321.16594231428849</c:v>
                </c:pt>
                <c:pt idx="75">
                  <c:v>327.13686297761956</c:v>
                </c:pt>
                <c:pt idx="76">
                  <c:v>333.21879134404293</c:v>
                </c:pt>
                <c:pt idx="77">
                  <c:v>339.41379120084383</c:v>
                </c:pt>
                <c:pt idx="78">
                  <c:v>345.72396470397774</c:v>
                </c:pt>
                <c:pt idx="79">
                  <c:v>352.15145309139717</c:v>
                </c:pt>
                <c:pt idx="80">
                  <c:v>358.69843740964046</c:v>
                </c:pt>
                <c:pt idx="81">
                  <c:v>365.36713925392843</c:v>
                </c:pt>
                <c:pt idx="82">
                  <c:v>372.15982152202076</c:v>
                </c:pt>
                <c:pt idx="83">
                  <c:v>379.07878918208752</c:v>
                </c:pt>
                <c:pt idx="84">
                  <c:v>386.12639005485647</c:v>
                </c:pt>
                <c:pt idx="85">
                  <c:v>393.30501561030161</c:v>
                </c:pt>
                <c:pt idx="86">
                  <c:v>400.61710177914324</c:v>
                </c:pt>
                <c:pt idx="87">
                  <c:v>408.06512977943493</c:v>
                </c:pt>
                <c:pt idx="88">
                  <c:v>415.65162695851797</c:v>
                </c:pt>
                <c:pt idx="89">
                  <c:v>423.3791676506288</c:v>
                </c:pt>
                <c:pt idx="90">
                  <c:v>431.25037405045066</c:v>
                </c:pt>
                <c:pt idx="91">
                  <c:v>439.26791710290564</c:v>
                </c:pt>
                <c:pt idx="92">
                  <c:v>447.43451740948939</c:v>
                </c:pt>
                <c:pt idx="93">
                  <c:v>455.75294615145572</c:v>
                </c:pt>
                <c:pt idx="94">
                  <c:v>464.22602603016446</c:v>
                </c:pt>
                <c:pt idx="95">
                  <c:v>472.85663222491183</c:v>
                </c:pt>
                <c:pt idx="96">
                  <c:v>481.64769336856801</c:v>
                </c:pt>
                <c:pt idx="97">
                  <c:v>490.60219254135336</c:v>
                </c:pt>
                <c:pt idx="98">
                  <c:v>499.72316828309022</c:v>
                </c:pt>
                <c:pt idx="99">
                  <c:v>509.01371562427391</c:v>
                </c:pt>
                <c:pt idx="100">
                  <c:v>518.47698713631269</c:v>
                </c:pt>
                <c:pt idx="101">
                  <c:v>528.11619400129325</c:v>
                </c:pt>
                <c:pt idx="102">
                  <c:v>537.93460710163458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2.163743517186024</c:v>
                </c:pt>
                <c:pt idx="1">
                  <c:v>2.416470672329269</c:v>
                </c:pt>
                <c:pt idx="2">
                  <c:v>2.7121611864982262</c:v>
                </c:pt>
                <c:pt idx="3">
                  <c:v>3.0566395851621393</c:v>
                </c:pt>
                <c:pt idx="4">
                  <c:v>3.4521258527463665</c:v>
                </c:pt>
                <c:pt idx="5">
                  <c:v>3.8912220044110262</c:v>
                </c:pt>
                <c:pt idx="6">
                  <c:v>4.3469855690618386</c:v>
                </c:pt>
                <c:pt idx="7">
                  <c:v>4.7628877739742883</c:v>
                </c:pt>
                <c:pt idx="8">
                  <c:v>5.0570848337100278</c:v>
                </c:pt>
                <c:pt idx="9">
                  <c:v>5.1577475635162813</c:v>
                </c:pt>
                <c:pt idx="10">
                  <c:v>5.0514710414660406</c:v>
                </c:pt>
                <c:pt idx="11">
                  <c:v>4.7908855904714667</c:v>
                </c:pt>
                <c:pt idx="12">
                  <c:v>4.4532002890729778</c:v>
                </c:pt>
                <c:pt idx="13">
                  <c:v>4.100061709214045</c:v>
                </c:pt>
                <c:pt idx="14">
                  <c:v>3.7663161648866588</c:v>
                </c:pt>
                <c:pt idx="15">
                  <c:v>3.4663860248267926</c:v>
                </c:pt>
                <c:pt idx="16">
                  <c:v>3.2032797240326518</c:v>
                </c:pt>
                <c:pt idx="17">
                  <c:v>2.9748033343568352</c:v>
                </c:pt>
                <c:pt idx="18">
                  <c:v>2.776902810199815</c:v>
                </c:pt>
                <c:pt idx="19">
                  <c:v>2.6052230589338277</c:v>
                </c:pt>
                <c:pt idx="20">
                  <c:v>2.4557434322216887</c:v>
                </c:pt>
                <c:pt idx="21">
                  <c:v>2.324980370968579</c:v>
                </c:pt>
                <c:pt idx="22">
                  <c:v>2.2100036159543186</c:v>
                </c:pt>
                <c:pt idx="23">
                  <c:v>2.1083814299565904</c:v>
                </c:pt>
                <c:pt idx="24">
                  <c:v>2.0181060210381667</c:v>
                </c:pt>
                <c:pt idx="25">
                  <c:v>1.9375202903852542</c:v>
                </c:pt>
                <c:pt idx="26">
                  <c:v>1.8652534599473996</c:v>
                </c:pt>
                <c:pt idx="27">
                  <c:v>1.8001672791103942</c:v>
                </c:pt>
                <c:pt idx="28">
                  <c:v>1.7413121751132508</c:v>
                </c:pt>
                <c:pt idx="29">
                  <c:v>1.6878919407866984</c:v>
                </c:pt>
                <c:pt idx="30">
                  <c:v>1.6392354436907146</c:v>
                </c:pt>
                <c:pt idx="31">
                  <c:v>1.59477398477111</c:v>
                </c:pt>
                <c:pt idx="32">
                  <c:v>1.5540231529781838</c:v>
                </c:pt>
                <c:pt idx="33">
                  <c:v>1.5165682406293897</c:v>
                </c:pt>
                <c:pt idx="34">
                  <c:v>1.4820524756816065</c:v>
                </c:pt>
                <c:pt idx="35">
                  <c:v>1.4501674850788047</c:v>
                </c:pt>
                <c:pt idx="36">
                  <c:v>1.4206455298039333</c:v>
                </c:pt>
                <c:pt idx="37">
                  <c:v>1.3932531518136044</c:v>
                </c:pt>
                <c:pt idx="38">
                  <c:v>1.3677859507196197</c:v>
                </c:pt>
                <c:pt idx="39">
                  <c:v>1.3440642684659236</c:v>
                </c:pt>
                <c:pt idx="40">
                  <c:v>1.3219296071406019</c:v>
                </c:pt>
                <c:pt idx="41">
                  <c:v>1.3012416415100272</c:v>
                </c:pt>
                <c:pt idx="42">
                  <c:v>1.2818757162548708</c:v>
                </c:pt>
                <c:pt idx="43">
                  <c:v>1.2637207400730539</c:v>
                </c:pt>
                <c:pt idx="44">
                  <c:v>1.2466774062122792</c:v>
                </c:pt>
                <c:pt idx="45">
                  <c:v>1.2306566826916818</c:v>
                </c:pt>
                <c:pt idx="46">
                  <c:v>1.2155785263004479</c:v>
                </c:pt>
                <c:pt idx="47">
                  <c:v>1.2013707830584877</c:v>
                </c:pt>
                <c:pt idx="48">
                  <c:v>1.1879682446795747</c:v>
                </c:pt>
                <c:pt idx="49">
                  <c:v>1.1753118360674832</c:v>
                </c:pt>
                <c:pt idx="50">
                  <c:v>1.1633479132912903</c:v>
                </c:pt>
                <c:pt idx="51">
                  <c:v>1.1520276550524828</c:v>
                </c:pt>
                <c:pt idx="52">
                  <c:v>1.141306533549163</c:v>
                </c:pt>
                <c:pt idx="53">
                  <c:v>1.1311438529982563</c:v>
                </c:pt>
                <c:pt idx="54">
                  <c:v>1.1215023460025777</c:v>
                </c:pt>
                <c:pt idx="55">
                  <c:v>1.1123478195303558</c:v>
                </c:pt>
                <c:pt idx="56">
                  <c:v>1.1036488435770617</c:v>
                </c:pt>
                <c:pt idx="57">
                  <c:v>1.0953764766562339</c:v>
                </c:pt>
                <c:pt idx="58">
                  <c:v>1.0875040231594775</c:v>
                </c:pt>
                <c:pt idx="59">
                  <c:v>1.0800068183698439</c:v>
                </c:pt>
                <c:pt idx="60">
                  <c:v>1.0728620375343727</c:v>
                </c:pt>
                <c:pt idx="61">
                  <c:v>1.0660485259225208</c:v>
                </c:pt>
                <c:pt idx="62">
                  <c:v>1.0595466472352781</c:v>
                </c:pt>
                <c:pt idx="63">
                  <c:v>1.0533381480991404</c:v>
                </c:pt>
                <c:pt idx="64">
                  <c:v>1.0474060366916156</c:v>
                </c:pt>
                <c:pt idx="65">
                  <c:v>1.0417344738099721</c:v>
                </c:pt>
                <c:pt idx="66">
                  <c:v>1.0363086749204256</c:v>
                </c:pt>
                <c:pt idx="67">
                  <c:v>1.0311148219172623</c:v>
                </c:pt>
                <c:pt idx="68">
                  <c:v>1.0261399834858616</c:v>
                </c:pt>
                <c:pt idx="69">
                  <c:v>1.0213720431045683</c:v>
                </c:pt>
                <c:pt idx="70">
                  <c:v>1.0167996338415515</c:v>
                </c:pt>
                <c:pt idx="71">
                  <c:v>1.0124120792071885</c:v>
                </c:pt>
                <c:pt idx="72">
                  <c:v>1.0081993394126485</c:v>
                </c:pt>
                <c:pt idx="73">
                  <c:v>1.0041519624633948</c:v>
                </c:pt>
                <c:pt idx="74">
                  <c:v>1.0002610395839817</c:v>
                </c:pt>
                <c:pt idx="75">
                  <c:v>0.99651816452936037</c:v>
                </c:pt>
                <c:pt idx="76">
                  <c:v>0.99291539638914195</c:v>
                </c:pt>
                <c:pt idx="77">
                  <c:v>0.98944522553599745</c:v>
                </c:pt>
                <c:pt idx="78">
                  <c:v>0.98610054240848233</c:v>
                </c:pt>
                <c:pt idx="79">
                  <c:v>0.98287460885284172</c:v>
                </c:pt>
                <c:pt idx="80">
                  <c:v>0.97976103177845431</c:v>
                </c:pt>
                <c:pt idx="81">
                  <c:v>0.97675373890801453</c:v>
                </c:pt>
                <c:pt idx="82">
                  <c:v>0.97384695642688601</c:v>
                </c:pt>
                <c:pt idx="83">
                  <c:v>0.97103518835662117</c:v>
                </c:pt>
                <c:pt idx="84">
                  <c:v>0.96831319749585176</c:v>
                </c:pt>
                <c:pt idx="85">
                  <c:v>0.96567598778785635</c:v>
                </c:pt>
                <c:pt idx="86">
                  <c:v>0.96311878798841233</c:v>
                </c:pt>
                <c:pt idx="87">
                  <c:v>0.96063703652024135</c:v>
                </c:pt>
                <c:pt idx="88">
                  <c:v>0.95822636741166378</c:v>
                </c:pt>
                <c:pt idx="89">
                  <c:v>0.95588259722714974</c:v>
                </c:pt>
                <c:pt idx="90">
                  <c:v>0.95360171290646323</c:v>
                </c:pt>
                <c:pt idx="91">
                  <c:v>0.95137986043713507</c:v>
                </c:pt>
                <c:pt idx="92">
                  <c:v>0.94921333429220578</c:v>
                </c:pt>
                <c:pt idx="93">
                  <c:v>0.94709856757165467</c:v>
                </c:pt>
                <c:pt idx="94">
                  <c:v>0.94503212279173188</c:v>
                </c:pt>
                <c:pt idx="95">
                  <c:v>0.94301068327164062</c:v>
                </c:pt>
                <c:pt idx="96">
                  <c:v>0.94103104507172819</c:v>
                </c:pt>
                <c:pt idx="97">
                  <c:v>0.93909010944160065</c:v>
                </c:pt>
                <c:pt idx="98">
                  <c:v>0.93718487574041109</c:v>
                </c:pt>
                <c:pt idx="99">
                  <c:v>0.93531243479507242</c:v>
                </c:pt>
                <c:pt idx="100">
                  <c:v>0.93346996266528837</c:v>
                </c:pt>
                <c:pt idx="101">
                  <c:v>0.93165471478717443</c:v>
                </c:pt>
                <c:pt idx="102">
                  <c:v>0.92986402046985628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A3-4073-AF4C-AE81F1EF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1264"/>
        <c:axId val="167937152"/>
      </c:scatterChart>
      <c:valAx>
        <c:axId val="167931264"/>
        <c:scaling>
          <c:orientation val="minMax"/>
          <c:max val="120"/>
          <c:min val="3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min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7152"/>
        <c:crosses val="autoZero"/>
        <c:crossBetween val="midCat"/>
        <c:majorUnit val="10"/>
        <c:minorUnit val="5"/>
      </c:valAx>
      <c:valAx>
        <c:axId val="167937152"/>
        <c:scaling>
          <c:orientation val="minMax"/>
          <c:max val="1.7"/>
          <c:min val="0.70000000000000062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25384326959164"/>
          <c:y val="5.2417716791249104E-2"/>
          <c:w val="0.18172336948447543"/>
          <c:h val="0.234995625546807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314326</xdr:colOff>
      <xdr:row>0</xdr:row>
      <xdr:rowOff>15325</xdr:rowOff>
    </xdr:from>
    <xdr:to>
      <xdr:col>1</xdr:col>
      <xdr:colOff>1857376</xdr:colOff>
      <xdr:row>2</xdr:row>
      <xdr:rowOff>133351</xdr:rowOff>
    </xdr:to>
    <xdr:pic>
      <xdr:nvPicPr>
        <xdr:cNvPr id="4" name="Picture 2" descr="Fairchild_TM_PMS.ep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15325"/>
          <a:ext cx="1543050" cy="441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600075</xdr:colOff>
      <xdr:row>40</xdr:row>
      <xdr:rowOff>47626</xdr:rowOff>
    </xdr:from>
    <xdr:to>
      <xdr:col>10</xdr:col>
      <xdr:colOff>19050</xdr:colOff>
      <xdr:row>62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40</xdr:row>
      <xdr:rowOff>57150</xdr:rowOff>
    </xdr:from>
    <xdr:to>
      <xdr:col>5</xdr:col>
      <xdr:colOff>457200</xdr:colOff>
      <xdr:row>62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1428750</xdr:colOff>
      <xdr:row>41</xdr:row>
      <xdr:rowOff>19050</xdr:rowOff>
    </xdr:from>
    <xdr:to>
      <xdr:col>1</xdr:col>
      <xdr:colOff>1438277</xdr:colOff>
      <xdr:row>60</xdr:row>
      <xdr:rowOff>123826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600200" y="6677025"/>
          <a:ext cx="9527" cy="318135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292344</xdr:colOff>
      <xdr:row>42</xdr:row>
      <xdr:rowOff>51289</xdr:rowOff>
    </xdr:from>
    <xdr:to>
      <xdr:col>5</xdr:col>
      <xdr:colOff>104775</xdr:colOff>
      <xdr:row>42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463794" y="6871189"/>
          <a:ext cx="3222381" cy="586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</xdr:row>
          <xdr:rowOff>38100</xdr:rowOff>
        </xdr:from>
        <xdr:to>
          <xdr:col>6</xdr:col>
          <xdr:colOff>82550</xdr:colOff>
          <xdr:row>24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19050</xdr:rowOff>
        </xdr:from>
        <xdr:to>
          <xdr:col>7</xdr:col>
          <xdr:colOff>177800</xdr:colOff>
          <xdr:row>97</xdr:row>
          <xdr:rowOff>69850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48747</xdr:colOff>
      <xdr:row>81</xdr:row>
      <xdr:rowOff>132229</xdr:rowOff>
    </xdr:from>
    <xdr:to>
      <xdr:col>10</xdr:col>
      <xdr:colOff>246530</xdr:colOff>
      <xdr:row>128</xdr:row>
      <xdr:rowOff>11766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544285</xdr:colOff>
      <xdr:row>18</xdr:row>
      <xdr:rowOff>0</xdr:rowOff>
    </xdr:from>
    <xdr:to>
      <xdr:col>29</xdr:col>
      <xdr:colOff>231321</xdr:colOff>
      <xdr:row>51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123825</xdr:rowOff>
    </xdr:from>
    <xdr:to>
      <xdr:col>15</xdr:col>
      <xdr:colOff>714375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"/>
  <sheetViews>
    <sheetView tabSelected="1" workbookViewId="0">
      <selection activeCell="C37" sqref="C37"/>
    </sheetView>
  </sheetViews>
  <sheetFormatPr defaultColWidth="9.1796875" defaultRowHeight="12.5"/>
  <cols>
    <col min="1" max="1" width="2.54296875" style="1" customWidth="1"/>
    <col min="2" max="2" width="34.81640625" style="1" customWidth="1"/>
    <col min="3" max="3" width="8.7265625" style="1" customWidth="1"/>
    <col min="4" max="4" width="4.26953125" style="1" customWidth="1"/>
    <col min="5" max="5" width="3.26953125" style="1" customWidth="1"/>
    <col min="6" max="6" width="33.7265625" style="1" customWidth="1"/>
    <col min="7" max="7" width="9.453125" style="1" customWidth="1"/>
    <col min="8" max="8" width="4.26953125" style="1" customWidth="1"/>
    <col min="9" max="9" width="3.7265625" style="1" customWidth="1"/>
    <col min="10" max="10" width="9.1796875" style="1"/>
    <col min="11" max="11" width="12" style="1" bestFit="1" customWidth="1"/>
    <col min="12" max="12" width="9.54296875" style="1" bestFit="1" customWidth="1"/>
    <col min="13" max="16384" width="9.1796875" style="1"/>
  </cols>
  <sheetData>
    <row r="1" spans="1:10" ht="13">
      <c r="C1" s="2" t="s">
        <v>0</v>
      </c>
      <c r="D1" s="3"/>
      <c r="E1" s="3"/>
      <c r="F1" s="3"/>
      <c r="G1" s="2"/>
      <c r="H1" s="3"/>
      <c r="I1" s="4" t="s">
        <v>1</v>
      </c>
      <c r="J1" s="5">
        <v>1000</v>
      </c>
    </row>
    <row r="2" spans="1:10">
      <c r="C2" s="6" t="s">
        <v>2</v>
      </c>
      <c r="D2" s="7" t="s">
        <v>3</v>
      </c>
      <c r="E2" s="7"/>
      <c r="F2" s="7"/>
      <c r="I2" s="8" t="s">
        <v>4</v>
      </c>
    </row>
    <row r="3" spans="1:10" ht="13">
      <c r="C3" s="10" t="s">
        <v>5</v>
      </c>
      <c r="D3" s="11" t="s">
        <v>6</v>
      </c>
      <c r="E3" s="11"/>
      <c r="F3" s="11"/>
      <c r="G3" s="9">
        <v>9.9999999999999995E-7</v>
      </c>
      <c r="I3" s="8" t="s">
        <v>7</v>
      </c>
    </row>
    <row r="4" spans="1:10">
      <c r="B4" s="12" t="s">
        <v>177</v>
      </c>
      <c r="G4" s="9">
        <v>1.0000000000000001E-9</v>
      </c>
      <c r="I4" s="8" t="s">
        <v>8</v>
      </c>
    </row>
    <row r="5" spans="1:10" ht="13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9">
        <v>9.9999999999999998E-13</v>
      </c>
    </row>
    <row r="6" spans="1:10" ht="13">
      <c r="B6" s="15" t="s">
        <v>12</v>
      </c>
      <c r="C6" s="16">
        <v>25.3</v>
      </c>
      <c r="D6" s="1" t="s">
        <v>11</v>
      </c>
      <c r="F6" s="17" t="s">
        <v>13</v>
      </c>
      <c r="G6" s="18">
        <f>Vo*Io</f>
        <v>253</v>
      </c>
      <c r="H6" s="19" t="s">
        <v>14</v>
      </c>
    </row>
    <row r="7" spans="1:10" ht="13">
      <c r="B7" s="15" t="s">
        <v>15</v>
      </c>
      <c r="C7" s="16">
        <v>10</v>
      </c>
      <c r="D7" s="1" t="s">
        <v>16</v>
      </c>
      <c r="F7" s="17" t="s">
        <v>17</v>
      </c>
      <c r="G7" s="20">
        <f>Vo*Io/Eff*100</f>
        <v>263.54166666666663</v>
      </c>
      <c r="H7" s="19" t="s">
        <v>14</v>
      </c>
    </row>
    <row r="8" spans="1:10" ht="13">
      <c r="B8" s="15" t="s">
        <v>18</v>
      </c>
      <c r="C8" s="16">
        <v>96</v>
      </c>
      <c r="D8" s="1" t="s">
        <v>19</v>
      </c>
      <c r="F8" s="17" t="s">
        <v>175</v>
      </c>
      <c r="G8" s="86">
        <f>SQRT(Vin_max^2-2*Pin*Thu*0.001/Cdl/0.000001)</f>
        <v>334.78849044334447</v>
      </c>
      <c r="H8" s="19" t="s">
        <v>11</v>
      </c>
    </row>
    <row r="9" spans="1:10" ht="13">
      <c r="B9" s="87" t="s">
        <v>10</v>
      </c>
      <c r="C9" s="88">
        <v>400</v>
      </c>
      <c r="D9" s="19" t="s">
        <v>11</v>
      </c>
      <c r="E9" s="19"/>
      <c r="F9" s="87" t="s">
        <v>176</v>
      </c>
      <c r="G9" s="90">
        <v>300</v>
      </c>
      <c r="H9" s="19" t="s">
        <v>11</v>
      </c>
    </row>
    <row r="10" spans="1:10" ht="13">
      <c r="B10" s="15" t="s">
        <v>20</v>
      </c>
      <c r="C10" s="16">
        <v>20</v>
      </c>
      <c r="D10" s="1" t="s">
        <v>21</v>
      </c>
      <c r="F10" s="17"/>
      <c r="G10" s="56" t="str">
        <f>IF(G8&lt;Vin_min, "Error! It should be lower than the input voltage during holdup time","OK")</f>
        <v>OK</v>
      </c>
      <c r="H10" s="19"/>
    </row>
    <row r="11" spans="1:10">
      <c r="B11" s="15" t="s">
        <v>22</v>
      </c>
      <c r="C11" s="16">
        <v>220</v>
      </c>
      <c r="D11" s="1" t="s">
        <v>23</v>
      </c>
    </row>
    <row r="13" spans="1:10" ht="13">
      <c r="A13" s="13" t="s">
        <v>24</v>
      </c>
      <c r="B13" s="14"/>
      <c r="C13" s="14"/>
      <c r="D13" s="14"/>
      <c r="E13" s="14"/>
      <c r="F13" s="14"/>
      <c r="G13" s="14"/>
      <c r="H13" s="14"/>
      <c r="I13" s="14"/>
    </row>
    <row r="14" spans="1:10" ht="13">
      <c r="B14" s="15" t="s">
        <v>25</v>
      </c>
      <c r="C14" s="16">
        <v>6</v>
      </c>
      <c r="H14" s="19"/>
    </row>
    <row r="16" spans="1:10">
      <c r="B16" s="21" t="s">
        <v>26</v>
      </c>
      <c r="C16" s="22"/>
      <c r="D16" s="23"/>
    </row>
    <row r="17" spans="1:9">
      <c r="B17" s="24" t="s">
        <v>27</v>
      </c>
      <c r="C17" s="25"/>
      <c r="D17" s="26"/>
    </row>
    <row r="18" spans="1:9">
      <c r="B18" s="1" t="s">
        <v>28</v>
      </c>
      <c r="C18" s="16">
        <v>1</v>
      </c>
    </row>
    <row r="19" spans="1:9" ht="13">
      <c r="B19" s="17" t="s">
        <v>29</v>
      </c>
      <c r="C19" s="27">
        <f>SQRT(mm/(mm-1))*answer+(1-answer)</f>
        <v>1.0954451150103321</v>
      </c>
    </row>
    <row r="21" spans="1:9">
      <c r="B21" s="21" t="s">
        <v>30</v>
      </c>
      <c r="C21" s="22"/>
      <c r="D21" s="23"/>
    </row>
    <row r="22" spans="1:9">
      <c r="B22" s="24" t="s">
        <v>31</v>
      </c>
      <c r="C22" s="25"/>
      <c r="D22" s="26"/>
    </row>
    <row r="24" spans="1:9">
      <c r="B24" s="15" t="s">
        <v>32</v>
      </c>
      <c r="C24" s="28">
        <v>1.1000000000000001</v>
      </c>
    </row>
    <row r="25" spans="1:9" ht="13">
      <c r="B25" s="17" t="s">
        <v>33</v>
      </c>
      <c r="C25" s="27">
        <f>M_min*Vin_max/Vin_min</f>
        <v>1.4666666666666668</v>
      </c>
    </row>
    <row r="27" spans="1:9" ht="13">
      <c r="A27" s="13" t="s">
        <v>34</v>
      </c>
      <c r="B27" s="14"/>
      <c r="C27" s="14"/>
      <c r="D27" s="14"/>
      <c r="E27" s="14"/>
      <c r="F27" s="14"/>
      <c r="G27" s="14"/>
      <c r="H27" s="14"/>
      <c r="I27" s="14"/>
    </row>
    <row r="28" spans="1:9" ht="13">
      <c r="B28" s="15" t="s">
        <v>35</v>
      </c>
      <c r="C28" s="16">
        <v>0</v>
      </c>
      <c r="D28" s="1" t="s">
        <v>11</v>
      </c>
      <c r="F28" s="17" t="s">
        <v>36</v>
      </c>
      <c r="G28" s="27">
        <f>Vin_max*M_min/2/(Vo+VF)</f>
        <v>8.6956521739130448</v>
      </c>
    </row>
    <row r="29" spans="1:9">
      <c r="F29" s="29">
        <f>35/2</f>
        <v>17.5</v>
      </c>
    </row>
    <row r="30" spans="1:9" ht="13">
      <c r="A30" s="13" t="s">
        <v>37</v>
      </c>
      <c r="B30" s="14"/>
      <c r="C30" s="14"/>
      <c r="D30" s="14"/>
      <c r="E30" s="14"/>
      <c r="F30" s="14"/>
      <c r="G30" s="14"/>
      <c r="H30" s="14"/>
      <c r="I30" s="14"/>
    </row>
    <row r="31" spans="1:9" ht="13">
      <c r="F31" s="17" t="s">
        <v>38</v>
      </c>
      <c r="G31" s="30">
        <f>8*nn^2*Vo^2/(3.14)^2/Po</f>
        <v>155.22280646361884</v>
      </c>
      <c r="H31" s="19" t="s">
        <v>39</v>
      </c>
    </row>
    <row r="33" spans="1:9" ht="13">
      <c r="A33" s="13" t="s">
        <v>40</v>
      </c>
      <c r="B33" s="14"/>
      <c r="C33" s="14"/>
      <c r="D33" s="14"/>
      <c r="E33" s="14"/>
      <c r="F33" s="14"/>
      <c r="G33" s="14"/>
      <c r="H33" s="14"/>
      <c r="I33" s="14"/>
    </row>
    <row r="34" spans="1:9" ht="13.5" thickBot="1">
      <c r="B34" s="13" t="s">
        <v>41</v>
      </c>
      <c r="F34" s="13" t="s">
        <v>42</v>
      </c>
    </row>
    <row r="35" spans="1:9" ht="13">
      <c r="B35" s="31" t="s">
        <v>43</v>
      </c>
      <c r="C35" s="91">
        <v>235</v>
      </c>
      <c r="D35" s="32" t="s">
        <v>44</v>
      </c>
      <c r="F35" s="33" t="s">
        <v>45</v>
      </c>
      <c r="G35" s="93">
        <v>10</v>
      </c>
      <c r="H35" s="34" t="s">
        <v>46</v>
      </c>
    </row>
    <row r="36" spans="1:9" ht="13">
      <c r="B36" s="35" t="s">
        <v>47</v>
      </c>
      <c r="C36" s="92">
        <v>0.41</v>
      </c>
      <c r="D36" s="36"/>
      <c r="F36" s="37" t="s">
        <v>48</v>
      </c>
      <c r="G36" s="92">
        <v>46</v>
      </c>
      <c r="H36" s="38" t="s">
        <v>49</v>
      </c>
    </row>
    <row r="37" spans="1:9" ht="13">
      <c r="B37" s="39" t="s">
        <v>50</v>
      </c>
      <c r="C37" s="40">
        <f>1/(2*3.14*Qd*fod*k*Rac)/n</f>
        <v>10.647143463697688</v>
      </c>
      <c r="D37" s="41" t="s">
        <v>46</v>
      </c>
      <c r="F37" s="37" t="s">
        <v>51</v>
      </c>
      <c r="G37" s="92">
        <v>276</v>
      </c>
      <c r="H37" s="38" t="s">
        <v>49</v>
      </c>
    </row>
    <row r="38" spans="1:9" ht="13">
      <c r="B38" s="39" t="s">
        <v>52</v>
      </c>
      <c r="C38" s="42">
        <f>1/(2*3.14*fod)^2/Crd/n</f>
        <v>43.123289504054569</v>
      </c>
      <c r="D38" s="41" t="s">
        <v>49</v>
      </c>
      <c r="F38" s="43" t="s">
        <v>53</v>
      </c>
      <c r="G38" s="44">
        <f>SQRT(Lr*u/Cr/n)/Rac</f>
        <v>0.43694158981173381</v>
      </c>
      <c r="H38" s="38"/>
    </row>
    <row r="39" spans="1:9" ht="13">
      <c r="B39" s="45" t="s">
        <v>54</v>
      </c>
      <c r="C39" s="46">
        <f>mm*Lrd</f>
        <v>258.73973702432738</v>
      </c>
      <c r="D39" s="47" t="s">
        <v>49</v>
      </c>
      <c r="F39" s="43" t="s">
        <v>55</v>
      </c>
      <c r="G39" s="42">
        <f>1/2/3.14/SQRT(Lr*Cr*n*u)/1000</f>
        <v>234.78018496002724</v>
      </c>
      <c r="H39" s="38" t="s">
        <v>44</v>
      </c>
    </row>
    <row r="40" spans="1:9" ht="13.5" thickBot="1">
      <c r="B40" s="8" t="s">
        <v>56</v>
      </c>
      <c r="C40" s="8">
        <f>SQRT(Ma/(Ma-1))</f>
        <v>1.0954451150103321</v>
      </c>
      <c r="F40" s="48" t="s">
        <v>57</v>
      </c>
      <c r="G40" s="49">
        <f>Lp/Lr</f>
        <v>6</v>
      </c>
      <c r="H40" s="50"/>
    </row>
    <row r="49" spans="1:12">
      <c r="L49" s="89"/>
    </row>
    <row r="64" spans="1:12" ht="13">
      <c r="A64" s="13" t="s">
        <v>58</v>
      </c>
      <c r="B64" s="14"/>
      <c r="C64" s="14"/>
      <c r="D64" s="14"/>
      <c r="E64" s="14"/>
      <c r="F64" s="14"/>
      <c r="G64" s="14"/>
      <c r="H64" s="14"/>
      <c r="I64" s="14"/>
    </row>
    <row r="65" spans="1:9" ht="15">
      <c r="B65" s="15" t="s">
        <v>59</v>
      </c>
      <c r="C65" s="94">
        <v>172</v>
      </c>
      <c r="D65" s="15" t="s">
        <v>60</v>
      </c>
      <c r="F65" s="51" t="s">
        <v>61</v>
      </c>
      <c r="G65" s="20">
        <f>nn*(Vo+VF)/(4*fo*Bmax*Ae)*1000</f>
        <v>13.619864977741095</v>
      </c>
      <c r="H65" s="19" t="s">
        <v>62</v>
      </c>
    </row>
    <row r="66" spans="1:9" ht="13">
      <c r="B66" s="15" t="s">
        <v>178</v>
      </c>
      <c r="C66" s="94">
        <v>0.1</v>
      </c>
      <c r="D66" s="15" t="s">
        <v>63</v>
      </c>
      <c r="F66" s="51" t="s">
        <v>64</v>
      </c>
      <c r="G66" s="30">
        <f>Ns*nn</f>
        <v>17.39130434782609</v>
      </c>
      <c r="H66" s="19" t="s">
        <v>62</v>
      </c>
    </row>
    <row r="67" spans="1:9" ht="13">
      <c r="F67" s="51" t="s">
        <v>65</v>
      </c>
      <c r="G67" s="52">
        <f>SQRT((3.14*Io/2/SQRT(2)/nn)^2+(nn*(Vo+VF)/4/SQRT(2)/fo/k/Mv/(Lp-Lr)/u)^2)</f>
        <v>1.4360242702371517</v>
      </c>
      <c r="H67" s="19" t="s">
        <v>66</v>
      </c>
    </row>
    <row r="68" spans="1:9" ht="13">
      <c r="B68" s="15" t="s">
        <v>67</v>
      </c>
      <c r="C68" s="94">
        <v>2</v>
      </c>
      <c r="D68" s="15" t="s">
        <v>62</v>
      </c>
      <c r="F68" s="51" t="s">
        <v>68</v>
      </c>
      <c r="G68" s="52">
        <f>(3.14*Io/4)</f>
        <v>7.8500000000000005</v>
      </c>
      <c r="H68" s="19" t="s">
        <v>66</v>
      </c>
    </row>
    <row r="70" spans="1:9" ht="13">
      <c r="A70" s="13" t="s">
        <v>69</v>
      </c>
      <c r="B70" s="14"/>
      <c r="C70" s="14"/>
      <c r="D70" s="14"/>
      <c r="E70" s="14"/>
      <c r="F70" s="14"/>
      <c r="G70" s="14"/>
      <c r="H70" s="14"/>
      <c r="I70" s="14"/>
    </row>
    <row r="71" spans="1:9" ht="13">
      <c r="B71" s="15" t="s">
        <v>70</v>
      </c>
      <c r="C71" s="94">
        <v>30</v>
      </c>
      <c r="D71" s="15" t="s">
        <v>16</v>
      </c>
      <c r="F71" s="51" t="s">
        <v>71</v>
      </c>
      <c r="G71" s="27">
        <f>SQRT((3.14*Io/2/SQRT(2)/nn)^2+(nn*(Vo+VF)/4/SQRT(2)/fo/k/Mv/(Lp-Lr)/u)^2)</f>
        <v>1.4360242702371517</v>
      </c>
      <c r="H71" s="19" t="s">
        <v>16</v>
      </c>
    </row>
    <row r="72" spans="1:9" ht="13">
      <c r="B72" s="1" t="s">
        <v>72</v>
      </c>
      <c r="C72" s="94">
        <v>110</v>
      </c>
      <c r="D72" s="15" t="s">
        <v>44</v>
      </c>
      <c r="F72" s="51" t="s">
        <v>73</v>
      </c>
      <c r="G72" s="27">
        <f>Vin_max/2+Io/(4*fs_nrm*Np/Ns*Cr)*1000000</f>
        <v>461.36363636363632</v>
      </c>
      <c r="H72" s="19" t="s">
        <v>11</v>
      </c>
    </row>
    <row r="73" spans="1:9" ht="13">
      <c r="B73" s="1" t="s">
        <v>74</v>
      </c>
      <c r="C73" s="94">
        <v>75</v>
      </c>
      <c r="D73" s="15" t="s">
        <v>44</v>
      </c>
      <c r="F73" s="51" t="s">
        <v>75</v>
      </c>
      <c r="G73" s="27">
        <f>Vin_max/2+Iocp/(4*fs_nrm*Np/Ns*Cr)*1000000</f>
        <v>984.09090909090901</v>
      </c>
      <c r="H73" s="19" t="s">
        <v>11</v>
      </c>
    </row>
    <row r="74" spans="1:9" ht="13">
      <c r="F74" s="51" t="s">
        <v>76</v>
      </c>
      <c r="G74" s="27">
        <f>Vin_min/2+Io/(4*f_min*Np/Ns*Cr)*1000000+Np/Ns*(Vo+VF)/(4*Mv*fo*(Lp-Lr))*(1/2/f_min-1/2/fo)/Cr*1000000000</f>
        <v>955.17843454377703</v>
      </c>
      <c r="H74" s="19" t="s">
        <v>11</v>
      </c>
    </row>
    <row r="76" spans="1:9" ht="13">
      <c r="A76" s="13" t="s">
        <v>77</v>
      </c>
      <c r="B76" s="14"/>
      <c r="C76" s="14"/>
      <c r="D76" s="14"/>
      <c r="E76" s="14"/>
      <c r="F76" s="14"/>
      <c r="G76" s="14"/>
      <c r="H76" s="14"/>
      <c r="I76" s="14"/>
    </row>
    <row r="77" spans="1:9" ht="13">
      <c r="B77" s="21" t="s">
        <v>78</v>
      </c>
      <c r="C77" s="22"/>
      <c r="D77" s="23"/>
      <c r="F77" s="51" t="s">
        <v>79</v>
      </c>
      <c r="G77" s="20">
        <f>2*(Vo+VF)</f>
        <v>50.6</v>
      </c>
      <c r="H77" s="19" t="s">
        <v>11</v>
      </c>
    </row>
    <row r="78" spans="1:9" ht="13">
      <c r="B78" s="24"/>
      <c r="C78" s="25"/>
      <c r="D78" s="26"/>
      <c r="F78" s="51" t="s">
        <v>80</v>
      </c>
      <c r="G78" s="27">
        <f>3.14/4*Io</f>
        <v>7.8500000000000005</v>
      </c>
      <c r="H78" s="19" t="s">
        <v>16</v>
      </c>
    </row>
    <row r="79" spans="1:9" ht="13">
      <c r="B79" s="15" t="s">
        <v>81</v>
      </c>
      <c r="C79" s="94">
        <v>7200</v>
      </c>
      <c r="D79" s="19" t="s">
        <v>23</v>
      </c>
      <c r="F79" s="51" t="s">
        <v>82</v>
      </c>
      <c r="G79" s="27">
        <f>SQRT((3.14^2-8)/8)*Io</f>
        <v>4.8213068767710689</v>
      </c>
      <c r="H79" s="19" t="s">
        <v>16</v>
      </c>
    </row>
    <row r="80" spans="1:9" ht="13">
      <c r="B80" s="15" t="s">
        <v>83</v>
      </c>
      <c r="C80" s="94">
        <v>2.25</v>
      </c>
      <c r="D80" s="19" t="s">
        <v>84</v>
      </c>
      <c r="F80" s="51" t="s">
        <v>85</v>
      </c>
      <c r="G80" s="27">
        <f>3.14/2*Io*ESR+3.14/2*Io*67/fo/Cout*1000</f>
        <v>35.94727237041787</v>
      </c>
      <c r="H80" s="19" t="s">
        <v>86</v>
      </c>
    </row>
    <row r="82" spans="1:9" ht="13">
      <c r="A82" s="13" t="s">
        <v>87</v>
      </c>
      <c r="B82" s="14"/>
      <c r="C82" s="14"/>
      <c r="D82" s="14"/>
      <c r="E82" s="14"/>
      <c r="F82" s="14"/>
      <c r="G82" s="14"/>
      <c r="H82" s="14"/>
      <c r="I82" s="14"/>
    </row>
    <row r="83" spans="1:9" ht="13">
      <c r="B83" s="53" t="s">
        <v>88</v>
      </c>
      <c r="C83" s="54">
        <f>SQRT(2)*G67</f>
        <v>2.0308449988663066</v>
      </c>
      <c r="D83" s="19" t="s">
        <v>16</v>
      </c>
    </row>
    <row r="84" spans="1:9" ht="14.5">
      <c r="B84" s="15" t="s">
        <v>89</v>
      </c>
      <c r="C84" s="94">
        <v>5.5</v>
      </c>
      <c r="D84" s="1" t="s">
        <v>16</v>
      </c>
      <c r="F84" s="55"/>
    </row>
    <row r="85" spans="1:9" ht="13">
      <c r="B85" s="56" t="s">
        <v>90</v>
      </c>
      <c r="C85" s="57">
        <f>Iocp</f>
        <v>30</v>
      </c>
      <c r="D85" s="1" t="s">
        <v>16</v>
      </c>
    </row>
    <row r="86" spans="1:9">
      <c r="B86" s="1" t="s">
        <v>91</v>
      </c>
      <c r="C86" s="94">
        <v>50</v>
      </c>
      <c r="D86" s="15"/>
    </row>
    <row r="87" spans="1:9" ht="13">
      <c r="B87" s="53" t="s">
        <v>92</v>
      </c>
      <c r="C87" s="58">
        <f>2.4*nct*4*fo*Mv*(Lp-Lr)/(Np/Ns*(Vo+VF))/1000</f>
        <v>129.06201937005235</v>
      </c>
      <c r="D87" s="19" t="s">
        <v>39</v>
      </c>
    </row>
    <row r="88" spans="1:9" ht="13">
      <c r="B88" s="15" t="s">
        <v>93</v>
      </c>
      <c r="C88" s="94">
        <v>100</v>
      </c>
      <c r="D88" s="19" t="s">
        <v>39</v>
      </c>
    </row>
    <row r="89" spans="1:9" ht="13">
      <c r="B89" s="1" t="s">
        <v>94</v>
      </c>
      <c r="C89" s="95">
        <v>31.8</v>
      </c>
      <c r="D89" s="19" t="s">
        <v>39</v>
      </c>
    </row>
    <row r="90" spans="1:9" ht="13">
      <c r="B90" s="1" t="s">
        <v>95</v>
      </c>
      <c r="C90" s="95">
        <f>C88-C89</f>
        <v>68.2</v>
      </c>
      <c r="D90" s="19" t="s">
        <v>39</v>
      </c>
    </row>
    <row r="91" spans="1:9" ht="13">
      <c r="B91" s="53" t="s">
        <v>96</v>
      </c>
      <c r="C91" s="54">
        <f>(Np/Ns*(Vo+VF))/(nct*4*fo*Mv*(Lp-Lr))*C88*1000</f>
        <v>1.8595710897089039</v>
      </c>
      <c r="D91" s="1" t="s">
        <v>11</v>
      </c>
    </row>
    <row r="92" spans="1:9">
      <c r="B92" s="15" t="s">
        <v>97</v>
      </c>
      <c r="C92" s="94">
        <v>1</v>
      </c>
      <c r="D92" s="15" t="s">
        <v>46</v>
      </c>
    </row>
    <row r="93" spans="1:9" ht="13">
      <c r="B93" s="1" t="s">
        <v>98</v>
      </c>
      <c r="C93" s="94">
        <v>200</v>
      </c>
      <c r="D93" s="19" t="s">
        <v>99</v>
      </c>
    </row>
    <row r="94" spans="1:9" ht="13">
      <c r="B94" s="1" t="s">
        <v>100</v>
      </c>
      <c r="C94" s="94">
        <v>0.9</v>
      </c>
      <c r="D94" s="19"/>
    </row>
    <row r="95" spans="1:9">
      <c r="B95" s="1" t="s">
        <v>101</v>
      </c>
      <c r="C95" s="94">
        <v>0.82</v>
      </c>
    </row>
    <row r="96" spans="1:9" ht="13">
      <c r="B96" s="15" t="s">
        <v>102</v>
      </c>
      <c r="C96" s="59">
        <f>5/C93/CICS*0.5/fs_nrm*1000</f>
        <v>0.11363636363636363</v>
      </c>
      <c r="D96" s="19" t="s">
        <v>11</v>
      </c>
      <c r="F96" s="60"/>
    </row>
    <row r="97" spans="1:9" ht="13">
      <c r="B97" s="15" t="s">
        <v>103</v>
      </c>
      <c r="C97" s="61">
        <f>C88/nct/(1.2-C96)*Attn1/CICS*(Io.olp*Ns/Np*0.5/fs_nrm)*1000000</f>
        <v>25983.263598326354</v>
      </c>
      <c r="D97" s="19" t="s">
        <v>39</v>
      </c>
      <c r="F97" s="60"/>
    </row>
    <row r="98" spans="1:9" ht="13">
      <c r="B98" s="15" t="s">
        <v>104</v>
      </c>
      <c r="C98" s="59">
        <f>(Io*Ns/Np/2/f_min+Np/Ns*(Vo+VF)/(4*Mv*(Lp-Lr)*fo)*(500/f_min-500/fo))*C88/nct/C97/CICS*1000000*attn2+5/C93/CICS*0.5/f_min*1000</f>
        <v>0.9168262037634658</v>
      </c>
      <c r="D98" s="19" t="s">
        <v>11</v>
      </c>
    </row>
    <row r="100" spans="1:9" ht="13">
      <c r="A100" s="13" t="s">
        <v>105</v>
      </c>
      <c r="B100" s="14"/>
      <c r="C100" s="14"/>
      <c r="D100" s="14"/>
      <c r="E100" s="14"/>
      <c r="F100" s="14"/>
      <c r="G100" s="14"/>
      <c r="H100" s="14"/>
      <c r="I100" s="14"/>
    </row>
    <row r="101" spans="1:9" ht="13">
      <c r="B101" s="53" t="s">
        <v>106</v>
      </c>
      <c r="C101" s="54">
        <f>Cout*Vo/(Io.olp-Io)/1000</f>
        <v>9.1080000000000005</v>
      </c>
      <c r="D101" s="19" t="s">
        <v>21</v>
      </c>
    </row>
    <row r="102" spans="1:9" ht="14.5">
      <c r="B102" s="15" t="s">
        <v>107</v>
      </c>
      <c r="C102" s="94">
        <v>50</v>
      </c>
      <c r="D102" s="1" t="s">
        <v>21</v>
      </c>
      <c r="F102" s="55"/>
    </row>
    <row r="103" spans="1:9" ht="13">
      <c r="B103" s="53" t="s">
        <v>108</v>
      </c>
      <c r="C103" s="62">
        <f>C102/2.4*40</f>
        <v>833.33333333333348</v>
      </c>
      <c r="D103" s="19" t="s">
        <v>46</v>
      </c>
    </row>
    <row r="105" spans="1:9" ht="13">
      <c r="A105" s="13" t="s">
        <v>109</v>
      </c>
      <c r="B105" s="14"/>
      <c r="C105" s="14"/>
      <c r="D105" s="14"/>
      <c r="E105" s="14"/>
      <c r="F105" s="14"/>
      <c r="G105" s="14"/>
      <c r="H105" s="14"/>
      <c r="I105" s="14"/>
    </row>
    <row r="106" spans="1:9" ht="13">
      <c r="B106" s="53" t="s">
        <v>110</v>
      </c>
      <c r="C106" s="54">
        <f>f_min</f>
        <v>75</v>
      </c>
      <c r="D106" s="19" t="s">
        <v>44</v>
      </c>
    </row>
    <row r="107" spans="1:9" ht="14.5">
      <c r="B107" s="15" t="s">
        <v>111</v>
      </c>
      <c r="C107" s="94">
        <v>67</v>
      </c>
      <c r="D107" s="1" t="s">
        <v>44</v>
      </c>
      <c r="F107" s="55"/>
    </row>
    <row r="108" spans="1:9" ht="15">
      <c r="B108" s="53" t="s">
        <v>112</v>
      </c>
      <c r="C108" s="63">
        <f>1000/C107</f>
        <v>14.925373134328359</v>
      </c>
      <c r="D108" s="19" t="s">
        <v>99</v>
      </c>
    </row>
    <row r="110" spans="1:9" ht="13">
      <c r="A110" s="13" t="s">
        <v>113</v>
      </c>
      <c r="B110" s="14"/>
      <c r="C110" s="14"/>
      <c r="D110" s="14"/>
      <c r="E110" s="14"/>
      <c r="F110" s="14"/>
      <c r="G110" s="14"/>
      <c r="H110" s="14"/>
      <c r="I110" s="14"/>
    </row>
    <row r="111" spans="1:9">
      <c r="B111" s="15" t="s">
        <v>114</v>
      </c>
      <c r="C111" s="94">
        <v>1.5</v>
      </c>
      <c r="D111" s="1" t="s">
        <v>11</v>
      </c>
    </row>
    <row r="112" spans="1:9" ht="14.5">
      <c r="B112" s="53" t="s">
        <v>115</v>
      </c>
      <c r="C112" s="63">
        <f>C107*2/(C111-1)</f>
        <v>268</v>
      </c>
      <c r="D112" s="19" t="s">
        <v>44</v>
      </c>
      <c r="F112" s="55"/>
    </row>
    <row r="114" spans="1:15" ht="13">
      <c r="A114" s="13" t="s">
        <v>116</v>
      </c>
      <c r="B114" s="14"/>
      <c r="C114" s="14"/>
      <c r="D114" s="14"/>
      <c r="E114" s="14"/>
      <c r="F114" s="14"/>
      <c r="G114" s="14"/>
      <c r="H114" s="14"/>
      <c r="I114" s="14"/>
    </row>
    <row r="115" spans="1:15">
      <c r="B115" s="1" t="s">
        <v>117</v>
      </c>
      <c r="C115" s="96">
        <v>165</v>
      </c>
      <c r="D115" s="1" t="s">
        <v>118</v>
      </c>
    </row>
    <row r="116" spans="1:15" ht="13">
      <c r="B116" s="53" t="s">
        <v>119</v>
      </c>
      <c r="C116" s="54">
        <f>Np/Ns*(Vo+VF)/(Lp-Lr)/4/fo*1000/Mv</f>
        <v>0.92978554485445231</v>
      </c>
      <c r="D116" s="1" t="s">
        <v>16</v>
      </c>
    </row>
    <row r="117" spans="1:15">
      <c r="B117" s="1" t="s">
        <v>120</v>
      </c>
      <c r="C117" s="62">
        <f>3.14/2*Vin_max*2*C115/C116/1000</f>
        <v>222.8901074520804</v>
      </c>
      <c r="D117" s="1" t="s">
        <v>121</v>
      </c>
      <c r="H117" s="64"/>
      <c r="I117" s="64"/>
      <c r="J117" s="64"/>
      <c r="K117" s="64"/>
      <c r="L117" s="64"/>
      <c r="M117" s="64"/>
      <c r="N117" s="64"/>
      <c r="O117" s="64"/>
    </row>
    <row r="118" spans="1:15">
      <c r="A118" s="65"/>
      <c r="B118" s="66" t="s">
        <v>122</v>
      </c>
      <c r="C118" s="96">
        <v>470</v>
      </c>
      <c r="D118" s="1" t="s">
        <v>118</v>
      </c>
    </row>
    <row r="119" spans="1:15" ht="13">
      <c r="A119" s="65"/>
      <c r="B119" s="66" t="s">
        <v>123</v>
      </c>
      <c r="C119" s="96">
        <v>43</v>
      </c>
      <c r="D119" s="19" t="s">
        <v>99</v>
      </c>
    </row>
    <row r="120" spans="1:15" ht="13">
      <c r="A120" s="65"/>
      <c r="B120" s="53" t="s">
        <v>124</v>
      </c>
      <c r="C120" s="67">
        <f>ROUND(1/32/25*(R.DT*C.DT*LN(0.15*R.DT-2)-R.DT*C.DT*LN(0.15*R.DT-4))-0.5,0)*25</f>
        <v>375</v>
      </c>
      <c r="D120" s="1" t="s">
        <v>121</v>
      </c>
    </row>
    <row r="121" spans="1:15" ht="13">
      <c r="A121" s="65"/>
      <c r="B121" s="53" t="s">
        <v>125</v>
      </c>
      <c r="C121" s="67">
        <f>ROUND((-R.DT*C.DT*LN(1-3/5)+C.DT*R.DT*LN(1-1/5))/64/25,0)*25</f>
        <v>225</v>
      </c>
      <c r="D121" s="1" t="s">
        <v>121</v>
      </c>
    </row>
    <row r="122" spans="1:15">
      <c r="A122" s="65"/>
    </row>
    <row r="123" spans="1:15" ht="13">
      <c r="A123" s="13" t="s">
        <v>126</v>
      </c>
      <c r="B123" s="14"/>
      <c r="C123" s="14"/>
      <c r="D123" s="14"/>
      <c r="E123" s="14"/>
      <c r="F123" s="14"/>
      <c r="G123" s="14"/>
      <c r="H123" s="14"/>
      <c r="I123" s="14"/>
      <c r="J123" s="64"/>
      <c r="K123" s="64"/>
      <c r="L123" s="64"/>
      <c r="M123" s="64"/>
      <c r="N123" s="64"/>
      <c r="O123" s="64"/>
    </row>
    <row r="124" spans="1:15" ht="13">
      <c r="B124" s="1" t="s">
        <v>127</v>
      </c>
      <c r="C124" s="96">
        <v>2.7</v>
      </c>
      <c r="D124" s="19" t="s">
        <v>99</v>
      </c>
      <c r="H124" s="64"/>
      <c r="I124" s="64"/>
    </row>
    <row r="125" spans="1:15" ht="13">
      <c r="B125" s="53" t="s">
        <v>128</v>
      </c>
      <c r="C125" s="54">
        <f>(2*Vo/4-1)*C124</f>
        <v>31.455000000000002</v>
      </c>
      <c r="D125" s="19" t="s">
        <v>99</v>
      </c>
    </row>
    <row r="126" spans="1:15" ht="13">
      <c r="A126" s="65"/>
      <c r="B126" s="1" t="s">
        <v>129</v>
      </c>
      <c r="C126" s="96">
        <v>15</v>
      </c>
      <c r="D126" s="19" t="s">
        <v>99</v>
      </c>
    </row>
    <row r="127" spans="1:15" ht="13">
      <c r="A127" s="65"/>
      <c r="B127" s="53" t="s">
        <v>130</v>
      </c>
      <c r="C127" s="54">
        <f>100/C124/C126*(C124+C126)</f>
        <v>43.703703703703702</v>
      </c>
      <c r="D127" s="19" t="s">
        <v>118</v>
      </c>
      <c r="N127" s="64"/>
      <c r="O127" s="64"/>
    </row>
    <row r="128" spans="1:15">
      <c r="A128" s="65"/>
      <c r="H128" s="64"/>
      <c r="I128" s="64"/>
      <c r="J128" s="64"/>
      <c r="K128" s="64"/>
      <c r="L128" s="64"/>
      <c r="M128" s="64"/>
    </row>
    <row r="129" spans="1:21">
      <c r="A129" s="65"/>
    </row>
    <row r="130" spans="1:21">
      <c r="A130" s="65"/>
      <c r="G130" s="65"/>
      <c r="I130" s="64"/>
    </row>
    <row r="131" spans="1:21">
      <c r="A131" s="65"/>
      <c r="F131" s="65"/>
      <c r="G131" s="65"/>
      <c r="N131" s="64"/>
    </row>
    <row r="132" spans="1:21">
      <c r="A132" s="65"/>
      <c r="F132" s="65"/>
      <c r="G132" s="65"/>
    </row>
    <row r="133" spans="1:21">
      <c r="A133" s="65"/>
      <c r="F133" s="65"/>
      <c r="G133" s="65"/>
    </row>
    <row r="134" spans="1:21">
      <c r="A134" s="65"/>
      <c r="F134" s="65"/>
      <c r="G134" s="65"/>
      <c r="I134" s="64"/>
    </row>
    <row r="135" spans="1:21">
      <c r="F135" s="65"/>
      <c r="G135" s="65"/>
      <c r="U135" s="64"/>
    </row>
    <row r="136" spans="1:21">
      <c r="A136" s="65"/>
    </row>
    <row r="137" spans="1:21">
      <c r="A137" s="65"/>
      <c r="B137" s="65"/>
      <c r="C137" s="65"/>
      <c r="D137" s="65"/>
      <c r="E137" s="65"/>
    </row>
    <row r="138" spans="1:21">
      <c r="A138" s="65"/>
      <c r="B138" s="65"/>
      <c r="C138" s="65"/>
      <c r="D138" s="65"/>
      <c r="E138" s="65"/>
    </row>
    <row r="139" spans="1:21">
      <c r="A139" s="65"/>
      <c r="B139" s="65"/>
      <c r="C139" s="65"/>
      <c r="D139" s="65"/>
      <c r="E139" s="65"/>
    </row>
    <row r="140" spans="1:21">
      <c r="A140" s="65"/>
      <c r="B140" s="65"/>
      <c r="C140" s="65"/>
      <c r="D140" s="65"/>
      <c r="E140" s="65"/>
    </row>
    <row r="141" spans="1:21">
      <c r="A141" s="65"/>
      <c r="B141" s="65"/>
      <c r="C141" s="65"/>
      <c r="D141" s="65"/>
      <c r="E141" s="65"/>
    </row>
    <row r="142" spans="1:21">
      <c r="A142" s="65"/>
      <c r="B142" s="65"/>
      <c r="C142" s="65"/>
      <c r="D142" s="65"/>
      <c r="E142" s="65"/>
      <c r="F142" s="65"/>
      <c r="G142" s="65"/>
    </row>
    <row r="143" spans="1:21">
      <c r="A143" s="65"/>
      <c r="B143" s="65"/>
      <c r="C143" s="65"/>
      <c r="D143" s="65"/>
      <c r="E143" s="65"/>
      <c r="F143" s="65"/>
      <c r="G143" s="65"/>
    </row>
    <row r="144" spans="1:21">
      <c r="A144" s="65"/>
      <c r="B144" s="65"/>
      <c r="C144" s="65"/>
      <c r="D144" s="65"/>
      <c r="E144" s="65"/>
      <c r="F144" s="65"/>
      <c r="G144" s="65"/>
    </row>
    <row r="145" spans="1:7">
      <c r="A145" s="65"/>
      <c r="B145" s="65"/>
      <c r="C145" s="65"/>
      <c r="D145" s="65"/>
      <c r="E145" s="65"/>
      <c r="F145" s="65"/>
      <c r="G145" s="65"/>
    </row>
    <row r="146" spans="1:7">
      <c r="A146" s="65"/>
      <c r="B146" s="65"/>
      <c r="C146" s="65"/>
      <c r="D146" s="65"/>
      <c r="E146" s="65"/>
      <c r="F146" s="65"/>
      <c r="G146" s="65"/>
    </row>
    <row r="147" spans="1:7">
      <c r="A147" s="65"/>
      <c r="B147" s="65"/>
      <c r="C147" s="65"/>
      <c r="D147" s="65"/>
      <c r="E147" s="65"/>
      <c r="F147" s="65"/>
      <c r="G147" s="65"/>
    </row>
    <row r="148" spans="1:7">
      <c r="A148" s="65"/>
      <c r="B148" s="65"/>
      <c r="C148" s="65"/>
      <c r="D148" s="65"/>
      <c r="E148" s="65"/>
      <c r="F148" s="65"/>
      <c r="G148" s="65"/>
    </row>
    <row r="149" spans="1:7">
      <c r="A149" s="65"/>
      <c r="B149" s="65"/>
      <c r="C149" s="65"/>
      <c r="D149" s="65"/>
      <c r="E149" s="65"/>
      <c r="F149" s="65"/>
      <c r="G149" s="65"/>
    </row>
    <row r="150" spans="1:7">
      <c r="A150" s="65"/>
      <c r="B150" s="65"/>
      <c r="C150" s="65"/>
      <c r="D150" s="65"/>
      <c r="E150" s="65"/>
      <c r="F150" s="65"/>
      <c r="G150" s="65"/>
    </row>
    <row r="151" spans="1:7">
      <c r="A151" s="65"/>
      <c r="B151" s="65"/>
      <c r="C151" s="65"/>
      <c r="D151" s="65"/>
      <c r="E151" s="65"/>
      <c r="F151" s="65"/>
      <c r="G151" s="65"/>
    </row>
    <row r="152" spans="1:7">
      <c r="A152" s="65"/>
      <c r="B152" s="65"/>
      <c r="C152" s="65"/>
      <c r="D152" s="65"/>
      <c r="E152" s="65"/>
      <c r="F152" s="65"/>
      <c r="G152" s="65"/>
    </row>
    <row r="153" spans="1:7">
      <c r="A153" s="65"/>
      <c r="B153" s="65"/>
      <c r="C153" s="65"/>
      <c r="D153" s="65"/>
      <c r="E153" s="65"/>
      <c r="F153" s="65"/>
      <c r="G153" s="65"/>
    </row>
    <row r="154" spans="1:7">
      <c r="A154" s="65"/>
      <c r="B154" s="65"/>
      <c r="C154" s="65"/>
      <c r="D154" s="65"/>
      <c r="E154" s="65"/>
      <c r="F154" s="65"/>
      <c r="G154" s="65"/>
    </row>
    <row r="155" spans="1:7">
      <c r="A155" s="65"/>
      <c r="B155" s="65"/>
      <c r="C155" s="65"/>
      <c r="D155" s="65"/>
      <c r="E155" s="65"/>
      <c r="F155" s="65"/>
      <c r="G155" s="65"/>
    </row>
    <row r="156" spans="1:7">
      <c r="A156" s="65"/>
      <c r="B156" s="65"/>
      <c r="C156" s="65"/>
      <c r="D156" s="65"/>
      <c r="E156" s="65"/>
      <c r="F156" s="65"/>
      <c r="G156" s="65"/>
    </row>
    <row r="157" spans="1:7">
      <c r="A157" s="65"/>
      <c r="B157" s="65"/>
      <c r="C157" s="65"/>
      <c r="D157" s="65"/>
      <c r="E157" s="65"/>
      <c r="F157" s="65"/>
      <c r="G157" s="65"/>
    </row>
    <row r="158" spans="1:7">
      <c r="A158" s="65"/>
      <c r="B158" s="65"/>
      <c r="C158" s="65"/>
      <c r="D158" s="65"/>
      <c r="E158" s="65"/>
      <c r="F158" s="65"/>
      <c r="G158" s="65"/>
    </row>
    <row r="159" spans="1:7">
      <c r="A159" s="65"/>
      <c r="B159" s="65"/>
      <c r="C159" s="65"/>
      <c r="D159" s="65"/>
      <c r="E159" s="65"/>
      <c r="F159" s="65"/>
      <c r="G159" s="65"/>
    </row>
    <row r="160" spans="1:7">
      <c r="A160" s="65"/>
      <c r="B160" s="65"/>
      <c r="C160" s="65"/>
      <c r="D160" s="65"/>
      <c r="E160" s="65"/>
      <c r="F160" s="65"/>
      <c r="G160" s="65"/>
    </row>
    <row r="161" spans="1:7">
      <c r="A161" s="65"/>
      <c r="B161" s="65"/>
      <c r="C161" s="65"/>
      <c r="D161" s="65"/>
      <c r="E161" s="65"/>
      <c r="F161" s="65"/>
      <c r="G161" s="65"/>
    </row>
    <row r="162" spans="1:7">
      <c r="A162" s="65"/>
      <c r="B162" s="65"/>
      <c r="C162" s="65"/>
      <c r="D162" s="65"/>
      <c r="E162" s="65"/>
      <c r="F162" s="65"/>
      <c r="G162" s="65"/>
    </row>
    <row r="163" spans="1:7">
      <c r="A163" s="65"/>
      <c r="B163" s="65"/>
      <c r="C163" s="65"/>
      <c r="D163" s="65"/>
      <c r="E163" s="65"/>
      <c r="F163" s="65"/>
      <c r="G163" s="65"/>
    </row>
    <row r="164" spans="1:7">
      <c r="A164" s="65"/>
      <c r="B164" s="65"/>
      <c r="C164" s="65"/>
      <c r="D164" s="65"/>
      <c r="E164" s="65"/>
      <c r="F164" s="65"/>
      <c r="G164" s="65"/>
    </row>
    <row r="165" spans="1:7">
      <c r="A165" s="65"/>
      <c r="B165" s="65"/>
      <c r="C165" s="65"/>
      <c r="D165" s="65"/>
      <c r="E165" s="65"/>
      <c r="F165" s="65"/>
      <c r="G165" s="65"/>
    </row>
    <row r="166" spans="1:7">
      <c r="A166" s="65"/>
      <c r="B166" s="65"/>
      <c r="C166" s="65"/>
      <c r="D166" s="65"/>
      <c r="E166" s="65"/>
      <c r="F166" s="65"/>
      <c r="G166" s="65"/>
    </row>
    <row r="167" spans="1:7">
      <c r="A167" s="65"/>
      <c r="B167" s="65"/>
      <c r="C167" s="65"/>
      <c r="D167" s="65"/>
      <c r="E167" s="65"/>
      <c r="F167" s="65"/>
      <c r="G167" s="65"/>
    </row>
    <row r="168" spans="1:7">
      <c r="A168" s="65"/>
      <c r="B168" s="65"/>
      <c r="C168" s="65"/>
      <c r="D168" s="65"/>
      <c r="E168" s="65"/>
      <c r="F168" s="65"/>
      <c r="G168" s="65"/>
    </row>
    <row r="169" spans="1:7">
      <c r="A169" s="65"/>
      <c r="B169" s="65"/>
      <c r="C169" s="65"/>
      <c r="D169" s="65"/>
      <c r="E169" s="65"/>
      <c r="F169" s="65"/>
      <c r="G169" s="65"/>
    </row>
    <row r="170" spans="1:7">
      <c r="A170" s="65"/>
      <c r="B170" s="65"/>
      <c r="C170" s="65"/>
      <c r="D170" s="65"/>
      <c r="E170" s="65"/>
      <c r="F170" s="65"/>
      <c r="G170" s="65"/>
    </row>
    <row r="171" spans="1:7">
      <c r="A171" s="65"/>
      <c r="B171" s="65"/>
      <c r="C171" s="65"/>
      <c r="D171" s="65"/>
      <c r="E171" s="65"/>
      <c r="F171" s="65"/>
      <c r="G171" s="65"/>
    </row>
    <row r="172" spans="1:7">
      <c r="A172" s="65"/>
      <c r="B172" s="65"/>
      <c r="C172" s="65"/>
      <c r="D172" s="65"/>
      <c r="E172" s="65"/>
      <c r="F172" s="65"/>
      <c r="G172" s="65"/>
    </row>
    <row r="173" spans="1:7">
      <c r="A173" s="65"/>
      <c r="B173" s="65"/>
      <c r="C173" s="65"/>
      <c r="D173" s="65"/>
      <c r="E173" s="65"/>
      <c r="F173" s="65"/>
      <c r="G173" s="65"/>
    </row>
    <row r="174" spans="1:7">
      <c r="A174" s="65"/>
      <c r="B174" s="65"/>
      <c r="C174" s="65"/>
      <c r="D174" s="65"/>
      <c r="E174" s="65"/>
      <c r="F174" s="65"/>
      <c r="G174" s="65"/>
    </row>
    <row r="175" spans="1:7">
      <c r="A175" s="65"/>
      <c r="B175" s="65"/>
      <c r="C175" s="65"/>
      <c r="D175" s="65"/>
      <c r="E175" s="65"/>
      <c r="F175" s="65"/>
      <c r="G175" s="65"/>
    </row>
    <row r="176" spans="1:7">
      <c r="A176" s="65"/>
      <c r="B176" s="65"/>
      <c r="C176" s="65"/>
      <c r="D176" s="65"/>
      <c r="E176" s="65"/>
      <c r="F176" s="65"/>
      <c r="G176" s="65"/>
    </row>
    <row r="177" spans="1:7">
      <c r="A177" s="65"/>
      <c r="B177" s="65"/>
      <c r="C177" s="65"/>
      <c r="D177" s="65"/>
      <c r="E177" s="65"/>
      <c r="F177" s="65"/>
      <c r="G177" s="65"/>
    </row>
    <row r="178" spans="1:7">
      <c r="A178" s="65"/>
      <c r="B178" s="65"/>
      <c r="C178" s="65"/>
      <c r="D178" s="65"/>
      <c r="E178" s="65"/>
      <c r="F178" s="65"/>
      <c r="G178" s="65"/>
    </row>
    <row r="179" spans="1:7">
      <c r="A179" s="65"/>
      <c r="B179" s="65"/>
      <c r="C179" s="65"/>
      <c r="D179" s="65"/>
      <c r="E179" s="65"/>
      <c r="F179" s="65"/>
      <c r="G179" s="65"/>
    </row>
    <row r="180" spans="1:7">
      <c r="A180" s="65"/>
      <c r="B180" s="65"/>
      <c r="C180" s="65"/>
      <c r="D180" s="65"/>
      <c r="E180" s="65"/>
      <c r="F180" s="65"/>
      <c r="G180" s="65"/>
    </row>
    <row r="181" spans="1:7">
      <c r="A181" s="65"/>
      <c r="B181" s="65"/>
      <c r="C181" s="65"/>
      <c r="D181" s="65"/>
      <c r="E181" s="65"/>
      <c r="F181" s="65"/>
      <c r="G181" s="65"/>
    </row>
    <row r="182" spans="1:7">
      <c r="A182" s="65"/>
      <c r="B182" s="65"/>
      <c r="C182" s="65"/>
      <c r="D182" s="65"/>
      <c r="E182" s="65"/>
      <c r="F182" s="65"/>
      <c r="G182" s="65"/>
    </row>
    <row r="183" spans="1:7">
      <c r="A183" s="65"/>
      <c r="B183" s="65"/>
      <c r="C183" s="65"/>
      <c r="D183" s="65"/>
      <c r="E183" s="65"/>
      <c r="F183" s="65"/>
      <c r="G183" s="65"/>
    </row>
    <row r="184" spans="1:7">
      <c r="A184" s="65"/>
      <c r="B184" s="65"/>
      <c r="C184" s="65"/>
      <c r="D184" s="65"/>
      <c r="E184" s="65"/>
      <c r="F184" s="65"/>
      <c r="G184" s="65"/>
    </row>
    <row r="187" spans="1:7">
      <c r="C187" s="65"/>
      <c r="D187" s="65"/>
      <c r="E187" s="65"/>
      <c r="F187" s="65"/>
      <c r="G187" s="65"/>
    </row>
    <row r="189" spans="1:7">
      <c r="B189" s="65"/>
    </row>
  </sheetData>
  <sheetProtection password="CA9C" sheet="1"/>
  <phoneticPr fontId="2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6" shapeId="1025" r:id="rId4">
          <objectPr defaultSize="0" autoPict="0" r:id="rId5">
            <anchor moveWithCells="1">
              <from>
                <xdr:col>5</xdr:col>
                <xdr:colOff>38100</xdr:colOff>
                <xdr:row>13</xdr:row>
                <xdr:rowOff>38100</xdr:rowOff>
              </from>
              <to>
                <xdr:col>6</xdr:col>
                <xdr:colOff>82550</xdr:colOff>
                <xdr:row>24</xdr:row>
                <xdr:rowOff>19050</xdr:rowOff>
              </to>
            </anchor>
          </objectPr>
        </oleObject>
      </mc:Choice>
      <mc:Fallback>
        <oleObject progId="Visio.Drawing.6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 sizeWithCells="1">
              <from>
                <xdr:col>5</xdr:col>
                <xdr:colOff>0</xdr:colOff>
                <xdr:row>81</xdr:row>
                <xdr:rowOff>19050</xdr:rowOff>
              </from>
              <to>
                <xdr:col>7</xdr:col>
                <xdr:colOff>177800</xdr:colOff>
                <xdr:row>97</xdr:row>
                <xdr:rowOff>69850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10"/>
  <sheetViews>
    <sheetView zoomScale="70" zoomScaleNormal="70" workbookViewId="0">
      <selection sqref="A1:AJ54"/>
    </sheetView>
  </sheetViews>
  <sheetFormatPr defaultRowHeight="14.5"/>
  <sheetData>
    <row r="3" spans="1:35">
      <c r="A3" s="68" t="s">
        <v>131</v>
      </c>
      <c r="B3" s="68"/>
      <c r="C3" s="68"/>
      <c r="D3" s="68" t="s">
        <v>132</v>
      </c>
      <c r="E3" s="68" t="s">
        <v>133</v>
      </c>
      <c r="F3" s="68" t="s">
        <v>134</v>
      </c>
      <c r="G3" s="68" t="s">
        <v>135</v>
      </c>
      <c r="H3" s="68" t="s">
        <v>136</v>
      </c>
      <c r="I3" s="68" t="s">
        <v>137</v>
      </c>
      <c r="J3" s="68" t="s">
        <v>138</v>
      </c>
      <c r="K3" s="68" t="s">
        <v>139</v>
      </c>
      <c r="L3" s="68" t="s">
        <v>140</v>
      </c>
      <c r="M3" s="68" t="s">
        <v>141</v>
      </c>
      <c r="N3" s="68" t="s">
        <v>142</v>
      </c>
      <c r="O3" s="68" t="s">
        <v>143</v>
      </c>
      <c r="P3" s="68" t="s">
        <v>173</v>
      </c>
      <c r="Q3" s="68" t="s">
        <v>174</v>
      </c>
      <c r="S3" s="68" t="s">
        <v>144</v>
      </c>
      <c r="T3" s="68"/>
      <c r="U3" s="68"/>
      <c r="V3" s="68" t="s">
        <v>145</v>
      </c>
      <c r="W3" s="68" t="s">
        <v>146</v>
      </c>
      <c r="X3" s="68" t="s">
        <v>147</v>
      </c>
      <c r="Y3" s="68" t="s">
        <v>148</v>
      </c>
      <c r="Z3" s="68" t="s">
        <v>136</v>
      </c>
      <c r="AA3" s="68" t="s">
        <v>137</v>
      </c>
      <c r="AB3" s="68" t="s">
        <v>149</v>
      </c>
      <c r="AC3" s="68" t="s">
        <v>150</v>
      </c>
      <c r="AD3" s="68" t="s">
        <v>140</v>
      </c>
      <c r="AE3" s="68" t="s">
        <v>141</v>
      </c>
      <c r="AF3" s="68" t="s">
        <v>142</v>
      </c>
      <c r="AG3" s="68" t="s">
        <v>143</v>
      </c>
      <c r="AH3" s="68" t="s">
        <v>173</v>
      </c>
      <c r="AI3" s="68" t="s">
        <v>174</v>
      </c>
    </row>
    <row r="5" spans="1:35">
      <c r="A5" s="69">
        <v>1.2</v>
      </c>
      <c r="B5" s="69"/>
      <c r="C5" s="69"/>
      <c r="D5" s="69">
        <v>1.373</v>
      </c>
      <c r="E5" s="69">
        <v>1.2789999999999999</v>
      </c>
      <c r="F5" s="69">
        <v>1.2210000000000001</v>
      </c>
      <c r="G5" s="69">
        <v>1.1830000000000001</v>
      </c>
      <c r="H5" s="69">
        <v>1.1559999999999999</v>
      </c>
      <c r="I5" s="69">
        <v>1.135</v>
      </c>
      <c r="J5" s="69">
        <v>1.107</v>
      </c>
      <c r="K5" s="69">
        <v>1.0880000000000001</v>
      </c>
      <c r="L5" s="69">
        <v>1.075</v>
      </c>
      <c r="M5" s="69">
        <v>1.0649999999999999</v>
      </c>
      <c r="N5" s="69">
        <v>1.0580000000000001</v>
      </c>
      <c r="O5" s="69">
        <v>1.0469999999999999</v>
      </c>
      <c r="P5" s="69">
        <v>1.04</v>
      </c>
      <c r="Q5" s="69">
        <v>1.034</v>
      </c>
      <c r="S5" s="69">
        <v>1.2</v>
      </c>
      <c r="T5" s="69"/>
      <c r="U5" s="69"/>
      <c r="V5" s="69">
        <v>1.0640000000000001</v>
      </c>
      <c r="W5" s="69">
        <v>1.044</v>
      </c>
      <c r="X5" s="69">
        <v>1.032</v>
      </c>
      <c r="Y5" s="69">
        <v>1.024</v>
      </c>
      <c r="Z5" s="69">
        <v>1.0189999999999999</v>
      </c>
      <c r="AA5" s="69">
        <v>1.0149999999999999</v>
      </c>
      <c r="AB5" s="69">
        <v>1.0109999999999999</v>
      </c>
      <c r="AC5" s="69">
        <v>1.008</v>
      </c>
      <c r="AD5" s="69">
        <v>1.006</v>
      </c>
      <c r="AE5" s="69">
        <v>1.004</v>
      </c>
      <c r="AF5" s="69">
        <v>1.004</v>
      </c>
      <c r="AG5" s="69">
        <v>1.0029999999999999</v>
      </c>
      <c r="AH5" s="69">
        <v>1.002</v>
      </c>
      <c r="AI5" s="69">
        <v>1.0009999999999999</v>
      </c>
    </row>
    <row r="6" spans="1:35">
      <c r="A6" s="70">
        <v>1.1000000000000001</v>
      </c>
      <c r="B6" s="70"/>
      <c r="C6" s="70"/>
      <c r="D6" s="70">
        <v>1.391</v>
      </c>
      <c r="E6" s="70">
        <v>1.2909999999999999</v>
      </c>
      <c r="F6" s="70">
        <v>1.23</v>
      </c>
      <c r="G6" s="70">
        <v>1.1890000000000001</v>
      </c>
      <c r="H6" s="70">
        <v>1.1599999999999999</v>
      </c>
      <c r="I6" s="70">
        <v>1.139</v>
      </c>
      <c r="J6" s="70">
        <v>1.1100000000000001</v>
      </c>
      <c r="K6" s="70">
        <v>1.0900000000000001</v>
      </c>
      <c r="L6" s="70">
        <v>1.077</v>
      </c>
      <c r="M6" s="70">
        <v>1.0660000000000001</v>
      </c>
      <c r="N6" s="70">
        <v>1.0589999999999999</v>
      </c>
      <c r="O6" s="70">
        <v>1.048</v>
      </c>
      <c r="P6" s="70">
        <v>1.04</v>
      </c>
      <c r="Q6" s="70">
        <v>1.0349999999999999</v>
      </c>
      <c r="S6" s="70">
        <v>1.1000000000000001</v>
      </c>
      <c r="T6" s="70"/>
      <c r="U6" s="70"/>
      <c r="V6" s="70">
        <v>1.077</v>
      </c>
      <c r="W6" s="70">
        <v>1.054</v>
      </c>
      <c r="X6" s="70">
        <v>1.0389999999999999</v>
      </c>
      <c r="Y6" s="70">
        <v>1.03</v>
      </c>
      <c r="Z6" s="70">
        <v>1.0229999999999999</v>
      </c>
      <c r="AA6" s="70">
        <v>1.0189999999999999</v>
      </c>
      <c r="AB6" s="70">
        <v>1.0129999999999999</v>
      </c>
      <c r="AC6" s="70">
        <v>1.0089999999999999</v>
      </c>
      <c r="AD6" s="70">
        <v>1.0069999999999999</v>
      </c>
      <c r="AE6" s="70">
        <v>1.006</v>
      </c>
      <c r="AF6" s="70">
        <v>1.004</v>
      </c>
      <c r="AG6" s="70">
        <v>1.0029999999999999</v>
      </c>
      <c r="AH6" s="70">
        <v>1.002</v>
      </c>
      <c r="AI6" s="70">
        <v>1.002</v>
      </c>
    </row>
    <row r="7" spans="1:35">
      <c r="A7" s="69">
        <v>1</v>
      </c>
      <c r="B7" s="69"/>
      <c r="C7" s="69"/>
      <c r="D7" s="69">
        <v>1.4159999999999999</v>
      </c>
      <c r="E7" s="69">
        <v>1.3080000000000001</v>
      </c>
      <c r="F7" s="69">
        <v>1.2410000000000001</v>
      </c>
      <c r="G7" s="69">
        <v>1.198</v>
      </c>
      <c r="H7" s="69">
        <v>1.167</v>
      </c>
      <c r="I7" s="69">
        <v>1.1439999999999999</v>
      </c>
      <c r="J7" s="69">
        <v>1.1180000000000001</v>
      </c>
      <c r="K7" s="69">
        <v>1.093</v>
      </c>
      <c r="L7" s="69">
        <v>1.0780000000000001</v>
      </c>
      <c r="M7" s="69">
        <v>1.0680000000000001</v>
      </c>
      <c r="N7" s="69">
        <v>1.06</v>
      </c>
      <c r="O7" s="69">
        <v>1.048</v>
      </c>
      <c r="P7" s="69">
        <v>1.04</v>
      </c>
      <c r="Q7" s="69">
        <v>1.0349999999999999</v>
      </c>
      <c r="S7" s="69">
        <v>1</v>
      </c>
      <c r="T7" s="69"/>
      <c r="U7" s="69"/>
      <c r="V7" s="69">
        <v>1.097</v>
      </c>
      <c r="W7" s="69">
        <v>1.0680000000000001</v>
      </c>
      <c r="X7" s="69">
        <v>1.0489999999999999</v>
      </c>
      <c r="Y7" s="69">
        <v>1.0369999999999999</v>
      </c>
      <c r="Z7" s="69">
        <v>1.0289999999999999</v>
      </c>
      <c r="AA7" s="69">
        <v>1.0229999999999999</v>
      </c>
      <c r="AB7" s="69">
        <v>1.016</v>
      </c>
      <c r="AC7" s="69">
        <v>1.012</v>
      </c>
      <c r="AD7" s="69">
        <v>1.0089999999999999</v>
      </c>
      <c r="AE7" s="69">
        <v>1.0069999999999999</v>
      </c>
      <c r="AF7" s="69">
        <v>1.0049999999999999</v>
      </c>
      <c r="AG7" s="69">
        <v>1.004</v>
      </c>
      <c r="AH7" s="69">
        <v>1.0029999999999999</v>
      </c>
      <c r="AI7" s="69">
        <v>1.002</v>
      </c>
    </row>
    <row r="8" spans="1:35">
      <c r="A8" s="71">
        <v>0.9</v>
      </c>
      <c r="B8" s="71"/>
      <c r="C8" s="71"/>
      <c r="D8" s="71">
        <v>1.45</v>
      </c>
      <c r="E8" s="71">
        <v>1.331</v>
      </c>
      <c r="F8" s="71">
        <v>1.2589999999999999</v>
      </c>
      <c r="G8" s="71">
        <v>1.2110000000000001</v>
      </c>
      <c r="H8" s="71">
        <v>1.177</v>
      </c>
      <c r="I8" s="71">
        <v>1.1519999999999999</v>
      </c>
      <c r="J8" s="71">
        <v>1.1180000000000001</v>
      </c>
      <c r="K8" s="71">
        <v>1.0960000000000001</v>
      </c>
      <c r="L8" s="71">
        <v>1.081</v>
      </c>
      <c r="M8" s="71">
        <v>1.07</v>
      </c>
      <c r="N8" s="71">
        <v>1.0609999999999999</v>
      </c>
      <c r="O8" s="71">
        <v>1.0489999999999999</v>
      </c>
      <c r="P8" s="71">
        <v>1.0409999999999999</v>
      </c>
      <c r="Q8" s="71">
        <v>1.0349999999999999</v>
      </c>
      <c r="S8" s="71">
        <v>0.9</v>
      </c>
      <c r="T8" s="71"/>
      <c r="U8" s="71"/>
      <c r="V8" s="71">
        <v>1.123</v>
      </c>
      <c r="W8" s="71">
        <v>1.087</v>
      </c>
      <c r="X8" s="71">
        <v>1.0640000000000001</v>
      </c>
      <c r="Y8" s="71">
        <v>1.048</v>
      </c>
      <c r="Z8" s="71">
        <v>1.038</v>
      </c>
      <c r="AA8" s="71">
        <v>1.03</v>
      </c>
      <c r="AB8" s="71">
        <v>1.02</v>
      </c>
      <c r="AC8" s="71">
        <v>1.0149999999999999</v>
      </c>
      <c r="AD8" s="71">
        <v>1.0109999999999999</v>
      </c>
      <c r="AE8" s="71">
        <v>1.0089999999999999</v>
      </c>
      <c r="AF8" s="71">
        <v>1.0069999999999999</v>
      </c>
      <c r="AG8" s="71">
        <v>1.0049999999999999</v>
      </c>
      <c r="AH8" s="71">
        <v>1.0029999999999999</v>
      </c>
      <c r="AI8" s="71">
        <v>1.002</v>
      </c>
    </row>
    <row r="9" spans="1:35">
      <c r="A9" s="69">
        <v>0.8</v>
      </c>
      <c r="B9" s="69"/>
      <c r="C9" s="69"/>
      <c r="D9" s="69">
        <v>1.502</v>
      </c>
      <c r="E9" s="69">
        <v>1.3680000000000001</v>
      </c>
      <c r="F9" s="69">
        <v>1.2849999999999999</v>
      </c>
      <c r="G9" s="69">
        <v>1.23</v>
      </c>
      <c r="H9" s="69">
        <v>1.1919999999999999</v>
      </c>
      <c r="I9" s="69">
        <v>1.163</v>
      </c>
      <c r="J9" s="69">
        <v>1.125</v>
      </c>
      <c r="K9" s="69">
        <v>1.101</v>
      </c>
      <c r="L9" s="69">
        <v>1.085</v>
      </c>
      <c r="M9" s="69">
        <v>1.073</v>
      </c>
      <c r="N9" s="69">
        <v>1.0640000000000001</v>
      </c>
      <c r="O9" s="69">
        <v>1.0509999999999999</v>
      </c>
      <c r="P9" s="69">
        <v>1.042</v>
      </c>
      <c r="Q9" s="69">
        <v>1.036</v>
      </c>
      <c r="S9" s="69">
        <v>0.8</v>
      </c>
      <c r="T9" s="69"/>
      <c r="U9" s="69"/>
      <c r="V9" s="69">
        <v>1.163</v>
      </c>
      <c r="W9" s="69">
        <v>1.117</v>
      </c>
      <c r="X9" s="69">
        <v>1.0860000000000001</v>
      </c>
      <c r="Y9" s="69">
        <v>1.0649999999999999</v>
      </c>
      <c r="Z9" s="69">
        <v>1.0509999999999999</v>
      </c>
      <c r="AA9" s="69">
        <v>1.0409999999999999</v>
      </c>
      <c r="AB9" s="69">
        <v>1.0269999999999999</v>
      </c>
      <c r="AC9" s="69">
        <v>1.02</v>
      </c>
      <c r="AD9" s="69">
        <v>1.0149999999999999</v>
      </c>
      <c r="AE9" s="69">
        <v>1.0109999999999999</v>
      </c>
      <c r="AF9" s="69">
        <v>1.0089999999999999</v>
      </c>
      <c r="AG9" s="69">
        <v>1.006</v>
      </c>
      <c r="AH9" s="69">
        <v>1.004</v>
      </c>
      <c r="AI9" s="69">
        <v>1.0029999999999999</v>
      </c>
    </row>
    <row r="10" spans="1:35">
      <c r="A10" s="71">
        <v>0.7</v>
      </c>
      <c r="B10" s="71"/>
      <c r="C10" s="71"/>
      <c r="D10" s="71">
        <v>1.5820000000000001</v>
      </c>
      <c r="E10" s="71">
        <v>1.4259999999999999</v>
      </c>
      <c r="F10" s="71">
        <v>1.3280000000000001</v>
      </c>
      <c r="G10" s="71">
        <v>1.2629999999999999</v>
      </c>
      <c r="H10" s="71">
        <v>1.2170000000000001</v>
      </c>
      <c r="I10" s="71">
        <v>1.1830000000000001</v>
      </c>
      <c r="J10" s="71">
        <v>1.1379999999999999</v>
      </c>
      <c r="K10" s="71">
        <v>1.1100000000000001</v>
      </c>
      <c r="L10" s="71">
        <v>1.091</v>
      </c>
      <c r="M10" s="71">
        <v>1.077</v>
      </c>
      <c r="N10" s="71">
        <v>1.0669999999999999</v>
      </c>
      <c r="O10" s="71">
        <v>1.0529999999999999</v>
      </c>
      <c r="P10" s="69">
        <v>1.044</v>
      </c>
      <c r="Q10" s="69">
        <v>1.0369999999999999</v>
      </c>
      <c r="S10" s="71">
        <v>0.7</v>
      </c>
      <c r="T10" s="71"/>
      <c r="U10" s="71"/>
      <c r="V10" s="71">
        <v>1.2250000000000001</v>
      </c>
      <c r="W10" s="71">
        <v>1.1639999999999999</v>
      </c>
      <c r="X10" s="71">
        <v>1.123</v>
      </c>
      <c r="Y10" s="71">
        <v>1.0940000000000001</v>
      </c>
      <c r="Z10" s="71">
        <v>1.073</v>
      </c>
      <c r="AA10" s="71">
        <v>1.0580000000000001</v>
      </c>
      <c r="AB10" s="71">
        <v>1.0389999999999999</v>
      </c>
      <c r="AC10" s="71">
        <v>1.028</v>
      </c>
      <c r="AD10" s="71">
        <v>1.02</v>
      </c>
      <c r="AE10" s="71">
        <v>1.016</v>
      </c>
      <c r="AF10" s="71">
        <v>1.012</v>
      </c>
      <c r="AG10" s="71">
        <v>1.008</v>
      </c>
      <c r="AH10" s="71">
        <v>1.006</v>
      </c>
      <c r="AI10" s="69">
        <v>1.0049999999999999</v>
      </c>
    </row>
    <row r="11" spans="1:35">
      <c r="A11" s="69">
        <v>0.6</v>
      </c>
      <c r="B11" s="69"/>
      <c r="C11" s="69"/>
      <c r="D11" s="69">
        <v>1.7070000000000001</v>
      </c>
      <c r="E11" s="69">
        <v>1.5229999999999999</v>
      </c>
      <c r="F11" s="69">
        <v>1.4039999999999999</v>
      </c>
      <c r="G11" s="69">
        <v>1.3220000000000001</v>
      </c>
      <c r="H11" s="69">
        <v>1.2629999999999999</v>
      </c>
      <c r="I11" s="69">
        <v>1.22</v>
      </c>
      <c r="J11" s="69">
        <v>1.1619999999999999</v>
      </c>
      <c r="K11" s="69">
        <v>1.1259999999999999</v>
      </c>
      <c r="L11" s="69">
        <v>1.1020000000000001</v>
      </c>
      <c r="M11" s="69">
        <v>1.0860000000000001</v>
      </c>
      <c r="N11" s="69">
        <v>1.0740000000000001</v>
      </c>
      <c r="O11" s="69">
        <v>1.0569999999999999</v>
      </c>
      <c r="P11" s="69">
        <v>1.0469999999999999</v>
      </c>
      <c r="Q11" s="69">
        <v>1.0389999999999999</v>
      </c>
      <c r="S11" s="69">
        <v>0.6</v>
      </c>
      <c r="T11" s="69"/>
      <c r="U11" s="69"/>
      <c r="V11" s="69">
        <v>1.3220000000000001</v>
      </c>
      <c r="W11" s="69">
        <v>1.2430000000000001</v>
      </c>
      <c r="X11" s="69">
        <v>1.1859999999999999</v>
      </c>
      <c r="Y11" s="69">
        <v>1.145</v>
      </c>
      <c r="Z11" s="69">
        <v>1.1140000000000001</v>
      </c>
      <c r="AA11" s="69">
        <v>1.091</v>
      </c>
      <c r="AB11" s="69">
        <v>1.0609999999999999</v>
      </c>
      <c r="AC11" s="69">
        <v>1.042</v>
      </c>
      <c r="AD11" s="69">
        <v>1.0309999999999999</v>
      </c>
      <c r="AE11" s="69">
        <v>1.024</v>
      </c>
      <c r="AF11" s="69">
        <v>1.0189999999999999</v>
      </c>
      <c r="AG11" s="69">
        <v>1.012</v>
      </c>
      <c r="AH11" s="69">
        <v>1.008</v>
      </c>
      <c r="AI11" s="69">
        <v>1.006</v>
      </c>
    </row>
    <row r="12" spans="1:35">
      <c r="A12" s="71">
        <v>0.5</v>
      </c>
      <c r="B12" s="71"/>
      <c r="C12" s="71"/>
      <c r="D12" s="71">
        <v>1.9119999999999999</v>
      </c>
      <c r="E12" s="71">
        <v>1.6879999999999999</v>
      </c>
      <c r="F12" s="71">
        <v>1.54</v>
      </c>
      <c r="G12" s="71">
        <v>1.4350000000000001</v>
      </c>
      <c r="H12" s="71">
        <v>1.3580000000000001</v>
      </c>
      <c r="I12" s="71">
        <v>1.298</v>
      </c>
      <c r="J12" s="71">
        <v>1.216</v>
      </c>
      <c r="K12" s="71">
        <v>1.163</v>
      </c>
      <c r="L12" s="71">
        <v>1.1279999999999999</v>
      </c>
      <c r="M12" s="71">
        <v>1.1040000000000001</v>
      </c>
      <c r="N12" s="71">
        <v>1.0880000000000001</v>
      </c>
      <c r="O12" s="71">
        <v>1.0660000000000001</v>
      </c>
      <c r="P12" s="69">
        <v>1.052</v>
      </c>
      <c r="Q12" s="69">
        <v>1.0429999999999999</v>
      </c>
      <c r="S12" s="71">
        <v>0.5</v>
      </c>
      <c r="T12" s="71"/>
      <c r="U12" s="71"/>
      <c r="V12" s="71">
        <v>1.4810000000000001</v>
      </c>
      <c r="W12" s="71">
        <v>1.3779999999999999</v>
      </c>
      <c r="X12" s="71">
        <v>1.3009999999999999</v>
      </c>
      <c r="Y12" s="71">
        <v>1.2430000000000001</v>
      </c>
      <c r="Z12" s="71">
        <v>1.1970000000000001</v>
      </c>
      <c r="AA12" s="71">
        <v>1.161</v>
      </c>
      <c r="AB12" s="71">
        <v>1.1000000000000001</v>
      </c>
      <c r="AC12" s="71">
        <v>1.077</v>
      </c>
      <c r="AD12" s="71">
        <v>1.0549999999999999</v>
      </c>
      <c r="AE12" s="71">
        <v>1.0409999999999999</v>
      </c>
      <c r="AF12" s="71">
        <v>1.032</v>
      </c>
      <c r="AG12" s="71">
        <v>1.02</v>
      </c>
      <c r="AH12" s="71">
        <v>1.01</v>
      </c>
      <c r="AI12" s="69">
        <v>1.01</v>
      </c>
    </row>
    <row r="13" spans="1:35">
      <c r="A13" s="69">
        <v>0.4</v>
      </c>
      <c r="B13" s="69"/>
      <c r="C13" s="69"/>
      <c r="D13" s="69">
        <v>2.2559999999999998</v>
      </c>
      <c r="E13" s="69">
        <v>1.976</v>
      </c>
      <c r="F13" s="69">
        <v>1.788</v>
      </c>
      <c r="G13" s="69">
        <v>1.6519999999999999</v>
      </c>
      <c r="H13" s="69">
        <v>1.548</v>
      </c>
      <c r="I13" s="69">
        <v>1.4670000000000001</v>
      </c>
      <c r="J13" s="69">
        <v>1.3480000000000001</v>
      </c>
      <c r="K13" s="69">
        <v>1.2649999999999999</v>
      </c>
      <c r="L13" s="69">
        <v>1.206</v>
      </c>
      <c r="M13" s="69">
        <v>1.163</v>
      </c>
      <c r="N13" s="69">
        <v>1.131</v>
      </c>
      <c r="O13" s="69">
        <v>1.091</v>
      </c>
      <c r="P13" s="69">
        <v>1.0680000000000001</v>
      </c>
      <c r="Q13" s="69">
        <v>1.054</v>
      </c>
      <c r="S13" s="69">
        <v>0.4</v>
      </c>
      <c r="T13" s="69"/>
      <c r="U13" s="69"/>
      <c r="V13" s="69">
        <v>1.748</v>
      </c>
      <c r="W13" s="69">
        <v>1.6140000000000001</v>
      </c>
      <c r="X13" s="69">
        <v>1.5109999999999999</v>
      </c>
      <c r="Y13" s="69">
        <v>1.431</v>
      </c>
      <c r="Z13" s="69">
        <v>1.3660000000000001</v>
      </c>
      <c r="AA13" s="69">
        <v>1.3120000000000001</v>
      </c>
      <c r="AB13" s="69">
        <v>1.23</v>
      </c>
      <c r="AC13" s="69">
        <v>1.171</v>
      </c>
      <c r="AD13" s="69">
        <v>1.1279999999999999</v>
      </c>
      <c r="AE13" s="69">
        <v>1.0960000000000001</v>
      </c>
      <c r="AF13" s="69">
        <v>1.073</v>
      </c>
      <c r="AG13" s="69">
        <v>1.044</v>
      </c>
      <c r="AH13" s="69">
        <v>1.0289999999999999</v>
      </c>
      <c r="AI13" s="69">
        <v>1.02</v>
      </c>
    </row>
    <row r="14" spans="1:35">
      <c r="A14" s="71">
        <v>0.3</v>
      </c>
      <c r="B14" s="71"/>
      <c r="C14" s="71"/>
      <c r="D14" s="71">
        <v>2.8759999999999999</v>
      </c>
      <c r="E14" s="71">
        <v>2.5070000000000001</v>
      </c>
      <c r="F14" s="71">
        <v>2.2559999999999998</v>
      </c>
      <c r="G14" s="71">
        <v>2.0710000000000002</v>
      </c>
      <c r="H14" s="71">
        <v>1.93</v>
      </c>
      <c r="I14" s="71">
        <v>1.8160000000000001</v>
      </c>
      <c r="J14" s="71">
        <v>1.6459999999999999</v>
      </c>
      <c r="K14" s="71">
        <v>1.5229999999999999</v>
      </c>
      <c r="L14" s="71">
        <v>1.43</v>
      </c>
      <c r="M14" s="71">
        <v>1.357</v>
      </c>
      <c r="N14" s="71">
        <v>1.2989999999999999</v>
      </c>
      <c r="O14" s="71">
        <v>1.212</v>
      </c>
      <c r="P14" s="69">
        <v>1.1519999999999999</v>
      </c>
      <c r="Q14" s="69">
        <v>1.1100000000000001</v>
      </c>
      <c r="S14" s="71">
        <v>0.3</v>
      </c>
      <c r="T14" s="71"/>
      <c r="U14" s="71"/>
      <c r="V14" s="71">
        <v>2.2280000000000002</v>
      </c>
      <c r="W14" s="71">
        <v>2.0470000000000002</v>
      </c>
      <c r="X14" s="71">
        <v>1.9059999999999999</v>
      </c>
      <c r="Y14" s="71">
        <v>1.794</v>
      </c>
      <c r="Z14" s="71">
        <v>1.702</v>
      </c>
      <c r="AA14" s="71">
        <v>1.6240000000000001</v>
      </c>
      <c r="AB14" s="71">
        <v>1.5029999999999999</v>
      </c>
      <c r="AC14" s="71">
        <v>1.41</v>
      </c>
      <c r="AD14" s="71">
        <v>1.3380000000000001</v>
      </c>
      <c r="AE14" s="71">
        <v>1.2789999999999999</v>
      </c>
      <c r="AF14" s="71">
        <v>1.232</v>
      </c>
      <c r="AG14" s="71">
        <v>1.1599999999999999</v>
      </c>
      <c r="AH14" s="71">
        <v>1.1100000000000001</v>
      </c>
      <c r="AI14" s="69">
        <v>1.075</v>
      </c>
    </row>
    <row r="15" spans="1:35">
      <c r="A15" s="69">
        <v>0.2</v>
      </c>
      <c r="B15" s="69"/>
      <c r="C15" s="69"/>
      <c r="D15" s="69">
        <v>4.1829999999999998</v>
      </c>
      <c r="E15" s="69">
        <v>3.629</v>
      </c>
      <c r="F15" s="69">
        <v>3.2549999999999999</v>
      </c>
      <c r="G15" s="69">
        <v>2.9769999999999999</v>
      </c>
      <c r="H15" s="69">
        <v>2.766</v>
      </c>
      <c r="I15" s="69">
        <v>2.5939999999999999</v>
      </c>
      <c r="J15" s="69">
        <v>2.3319999999999999</v>
      </c>
      <c r="K15" s="69">
        <v>2.14</v>
      </c>
      <c r="L15" s="69">
        <v>1.9930000000000001</v>
      </c>
      <c r="M15" s="69">
        <v>1.8740000000000001</v>
      </c>
      <c r="N15" s="69">
        <v>1.7769999999999999</v>
      </c>
      <c r="O15" s="69">
        <v>1.6259999999999999</v>
      </c>
      <c r="P15" s="69">
        <v>1.5129999999999999</v>
      </c>
      <c r="Q15" s="69">
        <v>1.4259999999999999</v>
      </c>
      <c r="S15" s="69">
        <v>0.2</v>
      </c>
      <c r="T15" s="69"/>
      <c r="U15" s="69"/>
      <c r="V15" s="69">
        <v>3.24</v>
      </c>
      <c r="W15" s="69">
        <v>2.9630000000000001</v>
      </c>
      <c r="X15" s="69">
        <v>2.7509999999999999</v>
      </c>
      <c r="Y15" s="69">
        <v>2.5779999999999998</v>
      </c>
      <c r="Z15" s="69">
        <v>2.4390000000000001</v>
      </c>
      <c r="AA15" s="69">
        <v>2.3199999999999998</v>
      </c>
      <c r="AB15" s="69">
        <v>2.129</v>
      </c>
      <c r="AC15" s="69">
        <v>1.982</v>
      </c>
      <c r="AD15" s="69">
        <v>1.8640000000000001</v>
      </c>
      <c r="AE15" s="69">
        <v>1.7669999999999999</v>
      </c>
      <c r="AF15" s="69">
        <v>1.6850000000000001</v>
      </c>
      <c r="AG15" s="69">
        <v>1.556</v>
      </c>
      <c r="AH15" s="69">
        <v>1.458</v>
      </c>
      <c r="AI15" s="69">
        <v>1.38</v>
      </c>
    </row>
    <row r="16" spans="1:35">
      <c r="A16" s="71">
        <v>0.1</v>
      </c>
      <c r="D16" s="71">
        <v>8.2149999999999999</v>
      </c>
      <c r="E16" s="71">
        <v>7.0659999999999998</v>
      </c>
      <c r="F16" s="71">
        <v>6.3579999999999997</v>
      </c>
      <c r="G16" s="71">
        <v>5.806</v>
      </c>
      <c r="H16" s="71">
        <v>5.3890000000000002</v>
      </c>
      <c r="I16" s="71">
        <v>5.0449999999999999</v>
      </c>
      <c r="J16" s="71">
        <v>4.508</v>
      </c>
      <c r="K16" s="71">
        <v>4.1289999999999996</v>
      </c>
      <c r="L16" s="71">
        <v>3.8279999999999998</v>
      </c>
      <c r="M16" s="71">
        <v>3.5830000000000002</v>
      </c>
      <c r="N16" s="71">
        <v>3.3839999999999999</v>
      </c>
      <c r="O16" s="71">
        <v>3.069</v>
      </c>
      <c r="P16" s="69">
        <v>2.8279999999999998</v>
      </c>
      <c r="Q16" s="69">
        <v>2.5110000000000001</v>
      </c>
      <c r="S16" s="71">
        <v>0.1</v>
      </c>
      <c r="V16" s="71">
        <v>6.3630000000000004</v>
      </c>
      <c r="W16">
        <v>5.7690000000000001</v>
      </c>
      <c r="X16" s="71">
        <v>5.3739999999999997</v>
      </c>
      <c r="Y16">
        <v>5.0279999999999996</v>
      </c>
      <c r="Z16" s="71">
        <v>4.7530000000000001</v>
      </c>
      <c r="AA16" s="71">
        <v>4.5119999999999996</v>
      </c>
      <c r="AB16" s="71">
        <v>4.1150000000000002</v>
      </c>
      <c r="AC16">
        <v>3.8220000000000001</v>
      </c>
      <c r="AD16" s="71">
        <v>3.58</v>
      </c>
      <c r="AE16" s="71">
        <v>3.3780000000000001</v>
      </c>
      <c r="AF16" s="71">
        <v>3.21</v>
      </c>
      <c r="AG16" s="71">
        <v>2.9390000000000001</v>
      </c>
      <c r="AH16" s="71">
        <v>2.7250000000000001</v>
      </c>
      <c r="AI16" s="69">
        <v>2.431</v>
      </c>
    </row>
    <row r="26" spans="1:29">
      <c r="A26" s="68" t="s">
        <v>131</v>
      </c>
      <c r="B26" s="68"/>
      <c r="C26" s="68"/>
      <c r="D26" s="68" t="s">
        <v>132</v>
      </c>
      <c r="E26" s="68" t="s">
        <v>133</v>
      </c>
      <c r="F26" s="68" t="s">
        <v>134</v>
      </c>
      <c r="G26" s="68" t="s">
        <v>135</v>
      </c>
      <c r="H26" s="68" t="s">
        <v>136</v>
      </c>
      <c r="I26" s="68" t="s">
        <v>137</v>
      </c>
      <c r="J26" s="68" t="s">
        <v>138</v>
      </c>
      <c r="K26" s="68" t="s">
        <v>139</v>
      </c>
      <c r="L26" s="68" t="s">
        <v>140</v>
      </c>
      <c r="M26" s="68" t="s">
        <v>141</v>
      </c>
      <c r="N26" s="68" t="s">
        <v>142</v>
      </c>
      <c r="O26" s="68" t="s">
        <v>143</v>
      </c>
      <c r="P26" s="68" t="s">
        <v>173</v>
      </c>
      <c r="Q26" s="68" t="s">
        <v>174</v>
      </c>
    </row>
    <row r="28" spans="1:29">
      <c r="A28" s="69">
        <v>1.2</v>
      </c>
      <c r="B28" s="69"/>
      <c r="C28" s="69"/>
      <c r="D28" s="69">
        <f t="shared" ref="D28:D39" si="0">IF(answer, D5,V5)</f>
        <v>1.373</v>
      </c>
      <c r="E28" s="69">
        <f t="shared" ref="E28:E39" si="1">IF(answer, E5,W5)</f>
        <v>1.2789999999999999</v>
      </c>
      <c r="F28" s="69">
        <f t="shared" ref="F28:F39" si="2">IF(answer, F5,X5)</f>
        <v>1.2210000000000001</v>
      </c>
      <c r="G28" s="69">
        <f t="shared" ref="G28:G39" si="3">IF(answer, G5,Y5)</f>
        <v>1.1830000000000001</v>
      </c>
      <c r="H28" s="69">
        <f t="shared" ref="H28:H39" si="4">IF(answer, H5,Z5)</f>
        <v>1.1559999999999999</v>
      </c>
      <c r="I28" s="69">
        <f t="shared" ref="I28:I39" si="5">IF(answer, I5,AA5)</f>
        <v>1.135</v>
      </c>
      <c r="J28" s="69">
        <f t="shared" ref="J28:J39" si="6">IF(answer, J5,AB5)</f>
        <v>1.107</v>
      </c>
      <c r="K28" s="69">
        <f t="shared" ref="K28:K39" si="7">IF(answer, K5,AC5)</f>
        <v>1.0880000000000001</v>
      </c>
      <c r="L28" s="69">
        <f t="shared" ref="L28:L39" si="8">IF(answer, L5,AD5)</f>
        <v>1.075</v>
      </c>
      <c r="M28" s="69">
        <f t="shared" ref="M28:M39" si="9">IF(answer, M5,AE5)</f>
        <v>1.0649999999999999</v>
      </c>
      <c r="N28" s="69">
        <f t="shared" ref="N28:N39" si="10">IF(answer, N5,AF5)</f>
        <v>1.0580000000000001</v>
      </c>
      <c r="O28" s="69">
        <f t="shared" ref="O28:O39" si="11">IF(answer,O5,AG5)</f>
        <v>1.0469999999999999</v>
      </c>
      <c r="P28" s="69">
        <f t="shared" ref="P28:P39" si="12">IF(answer,P5,AH5)</f>
        <v>1.04</v>
      </c>
      <c r="Q28" s="69">
        <f t="shared" ref="Q28:Q39" si="13">IF(answer,Q5,AI5)</f>
        <v>1.034</v>
      </c>
    </row>
    <row r="29" spans="1:29">
      <c r="A29" s="70">
        <v>1.1000000000000001</v>
      </c>
      <c r="B29" s="70"/>
      <c r="C29" s="70"/>
      <c r="D29" s="69">
        <f t="shared" si="0"/>
        <v>1.391</v>
      </c>
      <c r="E29" s="69">
        <f t="shared" si="1"/>
        <v>1.2909999999999999</v>
      </c>
      <c r="F29" s="69">
        <f t="shared" si="2"/>
        <v>1.23</v>
      </c>
      <c r="G29" s="69">
        <f t="shared" si="3"/>
        <v>1.1890000000000001</v>
      </c>
      <c r="H29" s="69">
        <f t="shared" si="4"/>
        <v>1.1599999999999999</v>
      </c>
      <c r="I29" s="69">
        <f t="shared" si="5"/>
        <v>1.139</v>
      </c>
      <c r="J29" s="69">
        <f t="shared" si="6"/>
        <v>1.1100000000000001</v>
      </c>
      <c r="K29" s="69">
        <f t="shared" si="7"/>
        <v>1.0900000000000001</v>
      </c>
      <c r="L29" s="69">
        <f t="shared" si="8"/>
        <v>1.077</v>
      </c>
      <c r="M29" s="69">
        <f t="shared" si="9"/>
        <v>1.0660000000000001</v>
      </c>
      <c r="N29" s="69">
        <f t="shared" si="10"/>
        <v>1.0589999999999999</v>
      </c>
      <c r="O29" s="69">
        <f t="shared" si="11"/>
        <v>1.048</v>
      </c>
      <c r="P29" s="69">
        <f t="shared" si="12"/>
        <v>1.04</v>
      </c>
      <c r="Q29" s="69">
        <f t="shared" si="13"/>
        <v>1.0349999999999999</v>
      </c>
    </row>
    <row r="30" spans="1:29">
      <c r="A30" s="69">
        <v>1</v>
      </c>
      <c r="B30" s="69"/>
      <c r="C30" s="69"/>
      <c r="D30" s="69">
        <f t="shared" si="0"/>
        <v>1.4159999999999999</v>
      </c>
      <c r="E30" s="69">
        <f t="shared" si="1"/>
        <v>1.3080000000000001</v>
      </c>
      <c r="F30" s="69">
        <f t="shared" si="2"/>
        <v>1.2410000000000001</v>
      </c>
      <c r="G30" s="69">
        <f t="shared" si="3"/>
        <v>1.198</v>
      </c>
      <c r="H30" s="69">
        <f t="shared" si="4"/>
        <v>1.167</v>
      </c>
      <c r="I30" s="69">
        <f t="shared" si="5"/>
        <v>1.1439999999999999</v>
      </c>
      <c r="J30" s="69">
        <f t="shared" si="6"/>
        <v>1.1180000000000001</v>
      </c>
      <c r="K30" s="69">
        <f t="shared" si="7"/>
        <v>1.093</v>
      </c>
      <c r="L30" s="69">
        <f t="shared" si="8"/>
        <v>1.0780000000000001</v>
      </c>
      <c r="M30" s="69">
        <f t="shared" si="9"/>
        <v>1.0680000000000001</v>
      </c>
      <c r="N30" s="69">
        <f t="shared" si="10"/>
        <v>1.06</v>
      </c>
      <c r="O30" s="69">
        <f t="shared" si="11"/>
        <v>1.048</v>
      </c>
      <c r="P30" s="69">
        <f t="shared" si="12"/>
        <v>1.04</v>
      </c>
      <c r="Q30" s="69">
        <f t="shared" si="13"/>
        <v>1.0349999999999999</v>
      </c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>
      <c r="A31" s="71">
        <v>0.9</v>
      </c>
      <c r="B31" s="71"/>
      <c r="C31" s="71"/>
      <c r="D31" s="69">
        <f t="shared" si="0"/>
        <v>1.45</v>
      </c>
      <c r="E31" s="69">
        <f t="shared" si="1"/>
        <v>1.331</v>
      </c>
      <c r="F31" s="69">
        <f t="shared" si="2"/>
        <v>1.2589999999999999</v>
      </c>
      <c r="G31" s="69">
        <f t="shared" si="3"/>
        <v>1.2110000000000001</v>
      </c>
      <c r="H31" s="69">
        <f t="shared" si="4"/>
        <v>1.177</v>
      </c>
      <c r="I31" s="69">
        <f t="shared" si="5"/>
        <v>1.1519999999999999</v>
      </c>
      <c r="J31" s="69">
        <f t="shared" si="6"/>
        <v>1.1180000000000001</v>
      </c>
      <c r="K31" s="69">
        <f t="shared" si="7"/>
        <v>1.0960000000000001</v>
      </c>
      <c r="L31" s="69">
        <f t="shared" si="8"/>
        <v>1.081</v>
      </c>
      <c r="M31" s="69">
        <f t="shared" si="9"/>
        <v>1.07</v>
      </c>
      <c r="N31" s="69">
        <f t="shared" si="10"/>
        <v>1.0609999999999999</v>
      </c>
      <c r="O31" s="69">
        <f t="shared" si="11"/>
        <v>1.0489999999999999</v>
      </c>
      <c r="P31" s="69">
        <f t="shared" si="12"/>
        <v>1.0409999999999999</v>
      </c>
      <c r="Q31" s="69">
        <f t="shared" si="13"/>
        <v>1.0349999999999999</v>
      </c>
      <c r="S31" s="72"/>
    </row>
    <row r="32" spans="1:29">
      <c r="A32" s="69">
        <v>0.8</v>
      </c>
      <c r="B32" s="69"/>
      <c r="C32" s="69"/>
      <c r="D32" s="69">
        <f t="shared" si="0"/>
        <v>1.502</v>
      </c>
      <c r="E32" s="69">
        <f t="shared" si="1"/>
        <v>1.3680000000000001</v>
      </c>
      <c r="F32" s="69">
        <f t="shared" si="2"/>
        <v>1.2849999999999999</v>
      </c>
      <c r="G32" s="69">
        <f t="shared" si="3"/>
        <v>1.23</v>
      </c>
      <c r="H32" s="69">
        <f t="shared" si="4"/>
        <v>1.1919999999999999</v>
      </c>
      <c r="I32" s="69">
        <f t="shared" si="5"/>
        <v>1.163</v>
      </c>
      <c r="J32" s="69">
        <f t="shared" si="6"/>
        <v>1.125</v>
      </c>
      <c r="K32" s="69">
        <f t="shared" si="7"/>
        <v>1.101</v>
      </c>
      <c r="L32" s="69">
        <f t="shared" si="8"/>
        <v>1.085</v>
      </c>
      <c r="M32" s="69">
        <f t="shared" si="9"/>
        <v>1.073</v>
      </c>
      <c r="N32" s="69">
        <f t="shared" si="10"/>
        <v>1.0640000000000001</v>
      </c>
      <c r="O32" s="69">
        <f t="shared" si="11"/>
        <v>1.0509999999999999</v>
      </c>
      <c r="P32" s="69">
        <f t="shared" si="12"/>
        <v>1.042</v>
      </c>
      <c r="Q32" s="69">
        <f t="shared" si="13"/>
        <v>1.036</v>
      </c>
    </row>
    <row r="33" spans="1:26">
      <c r="A33" s="71">
        <v>0.7</v>
      </c>
      <c r="B33" s="71"/>
      <c r="C33" s="71"/>
      <c r="D33" s="69">
        <f t="shared" si="0"/>
        <v>1.5820000000000001</v>
      </c>
      <c r="E33" s="69">
        <f t="shared" si="1"/>
        <v>1.4259999999999999</v>
      </c>
      <c r="F33" s="69">
        <f t="shared" si="2"/>
        <v>1.3280000000000001</v>
      </c>
      <c r="G33" s="69">
        <f t="shared" si="3"/>
        <v>1.2629999999999999</v>
      </c>
      <c r="H33" s="69">
        <f t="shared" si="4"/>
        <v>1.2170000000000001</v>
      </c>
      <c r="I33" s="69">
        <f t="shared" si="5"/>
        <v>1.1830000000000001</v>
      </c>
      <c r="J33" s="69">
        <f t="shared" si="6"/>
        <v>1.1379999999999999</v>
      </c>
      <c r="K33" s="69">
        <f t="shared" si="7"/>
        <v>1.1100000000000001</v>
      </c>
      <c r="L33" s="69">
        <f t="shared" si="8"/>
        <v>1.091</v>
      </c>
      <c r="M33" s="69">
        <f t="shared" si="9"/>
        <v>1.077</v>
      </c>
      <c r="N33" s="69">
        <f t="shared" si="10"/>
        <v>1.0669999999999999</v>
      </c>
      <c r="O33" s="69">
        <f t="shared" si="11"/>
        <v>1.0529999999999999</v>
      </c>
      <c r="P33" s="69">
        <f t="shared" si="12"/>
        <v>1.044</v>
      </c>
      <c r="Q33" s="69">
        <f t="shared" si="13"/>
        <v>1.0369999999999999</v>
      </c>
    </row>
    <row r="34" spans="1:26">
      <c r="A34" s="69">
        <v>0.6</v>
      </c>
      <c r="B34" s="69"/>
      <c r="C34" s="69"/>
      <c r="D34" s="69">
        <f t="shared" si="0"/>
        <v>1.7070000000000001</v>
      </c>
      <c r="E34" s="69">
        <f t="shared" si="1"/>
        <v>1.5229999999999999</v>
      </c>
      <c r="F34" s="69">
        <f t="shared" si="2"/>
        <v>1.4039999999999999</v>
      </c>
      <c r="G34" s="69">
        <f t="shared" si="3"/>
        <v>1.3220000000000001</v>
      </c>
      <c r="H34" s="69">
        <f t="shared" si="4"/>
        <v>1.2629999999999999</v>
      </c>
      <c r="I34" s="69">
        <f t="shared" si="5"/>
        <v>1.22</v>
      </c>
      <c r="J34" s="69">
        <f t="shared" si="6"/>
        <v>1.1619999999999999</v>
      </c>
      <c r="K34" s="69">
        <f t="shared" si="7"/>
        <v>1.1259999999999999</v>
      </c>
      <c r="L34" s="69">
        <f t="shared" si="8"/>
        <v>1.1020000000000001</v>
      </c>
      <c r="M34" s="69">
        <f t="shared" si="9"/>
        <v>1.0860000000000001</v>
      </c>
      <c r="N34" s="69">
        <f t="shared" si="10"/>
        <v>1.0740000000000001</v>
      </c>
      <c r="O34" s="69">
        <f t="shared" si="11"/>
        <v>1.0569999999999999</v>
      </c>
      <c r="P34" s="69">
        <f t="shared" si="12"/>
        <v>1.0469999999999999</v>
      </c>
      <c r="Q34" s="69">
        <f t="shared" si="13"/>
        <v>1.0389999999999999</v>
      </c>
    </row>
    <row r="35" spans="1:26">
      <c r="A35" s="71">
        <v>0.5</v>
      </c>
      <c r="B35" s="71"/>
      <c r="C35" s="71"/>
      <c r="D35" s="69">
        <f t="shared" si="0"/>
        <v>1.9119999999999999</v>
      </c>
      <c r="E35" s="69">
        <f t="shared" si="1"/>
        <v>1.6879999999999999</v>
      </c>
      <c r="F35" s="69">
        <f t="shared" si="2"/>
        <v>1.54</v>
      </c>
      <c r="G35" s="69">
        <f t="shared" si="3"/>
        <v>1.4350000000000001</v>
      </c>
      <c r="H35" s="69">
        <f t="shared" si="4"/>
        <v>1.3580000000000001</v>
      </c>
      <c r="I35" s="69">
        <f t="shared" si="5"/>
        <v>1.298</v>
      </c>
      <c r="J35" s="69">
        <f t="shared" si="6"/>
        <v>1.216</v>
      </c>
      <c r="K35" s="69">
        <f t="shared" si="7"/>
        <v>1.163</v>
      </c>
      <c r="L35" s="69">
        <f t="shared" si="8"/>
        <v>1.1279999999999999</v>
      </c>
      <c r="M35" s="69">
        <f t="shared" si="9"/>
        <v>1.1040000000000001</v>
      </c>
      <c r="N35" s="69">
        <f t="shared" si="10"/>
        <v>1.0880000000000001</v>
      </c>
      <c r="O35" s="69">
        <f t="shared" si="11"/>
        <v>1.0660000000000001</v>
      </c>
      <c r="P35" s="69">
        <f t="shared" si="12"/>
        <v>1.052</v>
      </c>
      <c r="Q35" s="69">
        <f t="shared" si="13"/>
        <v>1.0429999999999999</v>
      </c>
    </row>
    <row r="36" spans="1:26">
      <c r="A36" s="69">
        <v>0.4</v>
      </c>
      <c r="B36" s="69"/>
      <c r="C36" s="69"/>
      <c r="D36" s="69">
        <f t="shared" si="0"/>
        <v>2.2559999999999998</v>
      </c>
      <c r="E36" s="69">
        <f t="shared" si="1"/>
        <v>1.976</v>
      </c>
      <c r="F36" s="69">
        <f t="shared" si="2"/>
        <v>1.788</v>
      </c>
      <c r="G36" s="69">
        <f t="shared" si="3"/>
        <v>1.6519999999999999</v>
      </c>
      <c r="H36" s="69">
        <f t="shared" si="4"/>
        <v>1.548</v>
      </c>
      <c r="I36" s="69">
        <f t="shared" si="5"/>
        <v>1.4670000000000001</v>
      </c>
      <c r="J36" s="69">
        <f t="shared" si="6"/>
        <v>1.3480000000000001</v>
      </c>
      <c r="K36" s="69">
        <f t="shared" si="7"/>
        <v>1.2649999999999999</v>
      </c>
      <c r="L36" s="69">
        <f t="shared" si="8"/>
        <v>1.206</v>
      </c>
      <c r="M36" s="69">
        <f t="shared" si="9"/>
        <v>1.163</v>
      </c>
      <c r="N36" s="69">
        <f t="shared" si="10"/>
        <v>1.131</v>
      </c>
      <c r="O36" s="69">
        <f t="shared" si="11"/>
        <v>1.091</v>
      </c>
      <c r="P36" s="69">
        <f t="shared" si="12"/>
        <v>1.0680000000000001</v>
      </c>
      <c r="Q36" s="69">
        <f t="shared" si="13"/>
        <v>1.054</v>
      </c>
    </row>
    <row r="37" spans="1:26">
      <c r="A37" s="71">
        <v>0.3</v>
      </c>
      <c r="B37" s="71"/>
      <c r="C37" s="71"/>
      <c r="D37" s="69">
        <f t="shared" si="0"/>
        <v>2.8759999999999999</v>
      </c>
      <c r="E37" s="69">
        <f t="shared" si="1"/>
        <v>2.5070000000000001</v>
      </c>
      <c r="F37" s="69">
        <f t="shared" si="2"/>
        <v>2.2559999999999998</v>
      </c>
      <c r="G37" s="69">
        <f t="shared" si="3"/>
        <v>2.0710000000000002</v>
      </c>
      <c r="H37" s="69">
        <f t="shared" si="4"/>
        <v>1.93</v>
      </c>
      <c r="I37" s="69">
        <f t="shared" si="5"/>
        <v>1.8160000000000001</v>
      </c>
      <c r="J37" s="69">
        <f t="shared" si="6"/>
        <v>1.6459999999999999</v>
      </c>
      <c r="K37" s="69">
        <f t="shared" si="7"/>
        <v>1.5229999999999999</v>
      </c>
      <c r="L37" s="69">
        <f t="shared" si="8"/>
        <v>1.43</v>
      </c>
      <c r="M37" s="69">
        <f t="shared" si="9"/>
        <v>1.357</v>
      </c>
      <c r="N37" s="69">
        <f t="shared" si="10"/>
        <v>1.2989999999999999</v>
      </c>
      <c r="O37" s="69">
        <f t="shared" si="11"/>
        <v>1.212</v>
      </c>
      <c r="P37" s="69">
        <f t="shared" si="12"/>
        <v>1.1519999999999999</v>
      </c>
      <c r="Q37" s="69">
        <f t="shared" si="13"/>
        <v>1.1100000000000001</v>
      </c>
    </row>
    <row r="38" spans="1:26">
      <c r="A38" s="69">
        <v>0.2</v>
      </c>
      <c r="B38" s="69"/>
      <c r="C38" s="69"/>
      <c r="D38" s="69">
        <f t="shared" si="0"/>
        <v>4.1829999999999998</v>
      </c>
      <c r="E38" s="69">
        <f t="shared" si="1"/>
        <v>3.629</v>
      </c>
      <c r="F38" s="69">
        <f t="shared" si="2"/>
        <v>3.2549999999999999</v>
      </c>
      <c r="G38" s="69">
        <f t="shared" si="3"/>
        <v>2.9769999999999999</v>
      </c>
      <c r="H38" s="69">
        <f t="shared" si="4"/>
        <v>2.766</v>
      </c>
      <c r="I38" s="69">
        <f t="shared" si="5"/>
        <v>2.5939999999999999</v>
      </c>
      <c r="J38" s="69">
        <f t="shared" si="6"/>
        <v>2.3319999999999999</v>
      </c>
      <c r="K38" s="69">
        <f t="shared" si="7"/>
        <v>2.14</v>
      </c>
      <c r="L38" s="69">
        <f t="shared" si="8"/>
        <v>1.9930000000000001</v>
      </c>
      <c r="M38" s="69">
        <f t="shared" si="9"/>
        <v>1.8740000000000001</v>
      </c>
      <c r="N38" s="69">
        <f t="shared" si="10"/>
        <v>1.7769999999999999</v>
      </c>
      <c r="O38" s="69">
        <f t="shared" si="11"/>
        <v>1.6259999999999999</v>
      </c>
      <c r="P38" s="69">
        <f t="shared" si="12"/>
        <v>1.5129999999999999</v>
      </c>
      <c r="Q38" s="69">
        <f t="shared" si="13"/>
        <v>1.4259999999999999</v>
      </c>
    </row>
    <row r="39" spans="1:26">
      <c r="A39" s="71">
        <v>0.1</v>
      </c>
      <c r="D39" s="69">
        <f t="shared" si="0"/>
        <v>8.2149999999999999</v>
      </c>
      <c r="E39" s="69">
        <f t="shared" si="1"/>
        <v>7.0659999999999998</v>
      </c>
      <c r="F39" s="69">
        <f t="shared" si="2"/>
        <v>6.3579999999999997</v>
      </c>
      <c r="G39" s="69">
        <f t="shared" si="3"/>
        <v>5.806</v>
      </c>
      <c r="H39" s="69">
        <f t="shared" si="4"/>
        <v>5.3890000000000002</v>
      </c>
      <c r="I39" s="69">
        <f t="shared" si="5"/>
        <v>5.0449999999999999</v>
      </c>
      <c r="J39" s="69">
        <f t="shared" si="6"/>
        <v>4.508</v>
      </c>
      <c r="K39" s="69">
        <f t="shared" si="7"/>
        <v>4.1289999999999996</v>
      </c>
      <c r="L39" s="69">
        <f t="shared" si="8"/>
        <v>3.8279999999999998</v>
      </c>
      <c r="M39" s="69">
        <f t="shared" si="9"/>
        <v>3.5830000000000002</v>
      </c>
      <c r="N39" s="69">
        <f t="shared" si="10"/>
        <v>3.3839999999999999</v>
      </c>
      <c r="O39" s="69">
        <f t="shared" si="11"/>
        <v>3.069</v>
      </c>
      <c r="P39" s="69">
        <f t="shared" si="12"/>
        <v>2.8279999999999998</v>
      </c>
      <c r="Q39" s="69">
        <f t="shared" si="13"/>
        <v>2.5110000000000001</v>
      </c>
    </row>
    <row r="45" spans="1:26">
      <c r="V45" s="72"/>
      <c r="W45" s="72"/>
      <c r="X45" s="72"/>
      <c r="Y45" s="72"/>
      <c r="Z45" s="72"/>
    </row>
    <row r="95" spans="1:11">
      <c r="B95" s="72"/>
      <c r="C95" s="72"/>
      <c r="D95" s="72"/>
      <c r="E95" s="72"/>
      <c r="F95" s="72"/>
      <c r="G95" s="72"/>
      <c r="H95" s="72"/>
      <c r="I95" s="72"/>
      <c r="J95" s="72"/>
      <c r="K95" s="72"/>
    </row>
    <row r="96" spans="1:11">
      <c r="A96" s="72"/>
    </row>
    <row r="99" spans="5:5">
      <c r="E99">
        <v>1.43</v>
      </c>
    </row>
    <row r="100" spans="5:5">
      <c r="E100" s="69">
        <v>1.45</v>
      </c>
    </row>
    <row r="101" spans="5:5">
      <c r="E101" s="70">
        <v>1.47</v>
      </c>
    </row>
    <row r="102" spans="5:5">
      <c r="E102" s="69">
        <v>1.5</v>
      </c>
    </row>
    <row r="103" spans="5:5">
      <c r="E103" s="71">
        <v>1.54</v>
      </c>
    </row>
    <row r="104" spans="5:5">
      <c r="E104" s="69">
        <v>1.6</v>
      </c>
    </row>
    <row r="105" spans="5:5">
      <c r="E105" s="71">
        <v>1.7</v>
      </c>
    </row>
    <row r="106" spans="5:5">
      <c r="E106" s="69">
        <v>1.83</v>
      </c>
    </row>
    <row r="107" spans="5:5">
      <c r="E107" s="71">
        <v>2.0699999999999998</v>
      </c>
    </row>
    <row r="108" spans="5:5">
      <c r="E108" s="69">
        <v>2.4500000000000002</v>
      </c>
    </row>
    <row r="109" spans="5:5">
      <c r="E109" s="71">
        <v>5</v>
      </c>
    </row>
    <row r="110" spans="5:5">
      <c r="E110" s="69">
        <v>10</v>
      </c>
    </row>
  </sheetData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>
      <selection activeCell="A3" sqref="A3"/>
    </sheetView>
  </sheetViews>
  <sheetFormatPr defaultRowHeight="14.5"/>
  <cols>
    <col min="1" max="1" width="13.26953125" customWidth="1"/>
    <col min="2" max="2" width="17.7265625" customWidth="1"/>
    <col min="16" max="16" width="12.7265625" customWidth="1"/>
  </cols>
  <sheetData>
    <row r="1" spans="1:16">
      <c r="A1" s="77" t="s">
        <v>153</v>
      </c>
      <c r="B1" s="79">
        <f>1/SQRT(Lr*Cr*10)*100000000</f>
        <v>1474419.5615489713</v>
      </c>
      <c r="C1" t="s">
        <v>165</v>
      </c>
      <c r="D1">
        <f>Lp</f>
        <v>276</v>
      </c>
    </row>
    <row r="2" spans="1:16">
      <c r="A2" s="77" t="s">
        <v>154</v>
      </c>
      <c r="B2" s="79">
        <f>1/SQRT(Lp*Cr*10)*100000000</f>
        <v>601929.265428846</v>
      </c>
      <c r="C2" t="s">
        <v>165</v>
      </c>
    </row>
    <row r="3" spans="1:16">
      <c r="A3" s="77" t="s">
        <v>166</v>
      </c>
      <c r="B3" s="85">
        <f>SQRT(Lr*10^-6*10^9/Cr)/Rac</f>
        <v>0.43694158981173381</v>
      </c>
    </row>
    <row r="4" spans="1:16">
      <c r="A4" s="77" t="s">
        <v>172</v>
      </c>
      <c r="B4" s="85">
        <f>SQRT(Ma/(Ma-1))</f>
        <v>1.0954451150103321</v>
      </c>
    </row>
    <row r="6" spans="1:16">
      <c r="A6" t="s">
        <v>151</v>
      </c>
      <c r="B6" t="s">
        <v>152</v>
      </c>
      <c r="C6" s="73" t="s">
        <v>167</v>
      </c>
      <c r="D6" s="73" t="s">
        <v>168</v>
      </c>
      <c r="E6" s="73" t="s">
        <v>169</v>
      </c>
      <c r="F6" s="73" t="s">
        <v>170</v>
      </c>
      <c r="G6" s="73" t="s">
        <v>171</v>
      </c>
    </row>
    <row r="7" spans="1:16">
      <c r="A7" s="74">
        <f>fo*0.35</f>
        <v>82.173064736009536</v>
      </c>
      <c r="B7" s="75">
        <f>2000*3.14*A7</f>
        <v>516046.84654213989</v>
      </c>
      <c r="C7" s="76">
        <f t="shared" ref="C7:C38" si="0">(B7/wo)^2*SQRT(Ma*(Ma-1))/SQRT((1-B7^2/wp^2)^2+(B7/wo)^2*(1-B7^2/wo^2)^2*(Ma*Q)^2)/IF(answer,1,MC)</f>
        <v>0.79154235026023334</v>
      </c>
      <c r="D7" s="76">
        <f t="shared" ref="D7:D38" si="1">(B7/wo)^2*SQRT(Ma*(Ma-1))/SQRT((1-B7^2/wp^2)^2+(B7/wo)^2*(1-B7^2/wo^2)^2*(Ma*(Q*0.8))^2)/IF(answer,1,MC)</f>
        <v>0.96330315559298352</v>
      </c>
      <c r="E7" s="76">
        <f t="shared" ref="E7:E38" si="2">(B7/wo)^2*SQRT(Ma*(Ma-1))/SQRT((1-B7^2/wp^2)^2+(B7/wo)^2*(1-B7^2/wo^2)^2*(Ma*(Q*0.6))^2)/IF(answer,1,MC)</f>
        <v>1.2176855594640483</v>
      </c>
      <c r="F7" s="76">
        <f t="shared" ref="F7:F38" si="3">(B7/wo)^2*SQRT(Ma*(Ma-1))/SQRT((1-B7^2/wp^2)^2+(B7/wo)^2*(1-B7^2/wo^2)^2*(Ma*(Q*0.4))^2)/IF(answer,1,MC)</f>
        <v>1.6087171252710375</v>
      </c>
      <c r="G7" s="76">
        <f t="shared" ref="G7:G38" si="4">(B7/wo)^2*SQRT(Ma*(Ma-1))/SQRT((1-B7^2/wp^2)^2+(B7/wo)^2*(1-B7^2/wo^2)^2*(Ma*(Q*0.2))^2)/IF(answer,1,MC)</f>
        <v>2.163743517186024</v>
      </c>
    </row>
    <row r="8" spans="1:16">
      <c r="A8" s="74">
        <f>A7*10^0.008</f>
        <v>83.700776070112752</v>
      </c>
      <c r="B8" s="75">
        <f t="shared" ref="B8:B71" si="5">2000*3.14*A8</f>
        <v>525640.87372030807</v>
      </c>
      <c r="C8" s="76">
        <f t="shared" si="0"/>
        <v>0.81928763845702945</v>
      </c>
      <c r="D8" s="76">
        <f t="shared" si="1"/>
        <v>1.0023366491357293</v>
      </c>
      <c r="E8" s="76">
        <f t="shared" si="2"/>
        <v>1.2795641290912405</v>
      </c>
      <c r="F8" s="76">
        <f t="shared" si="3"/>
        <v>1.7249826480801811</v>
      </c>
      <c r="G8" s="76">
        <f t="shared" si="4"/>
        <v>2.416470672329269</v>
      </c>
      <c r="H8" s="75"/>
    </row>
    <row r="9" spans="1:16">
      <c r="A9" s="74">
        <f t="shared" ref="A9:A72" si="6">A8*10^0.008</f>
        <v>85.256889678462954</v>
      </c>
      <c r="B9" s="75">
        <f t="shared" si="5"/>
        <v>535413.26718074735</v>
      </c>
      <c r="C9" s="76">
        <f t="shared" si="0"/>
        <v>0.84729090196541723</v>
      </c>
      <c r="D9" s="76">
        <f t="shared" si="1"/>
        <v>1.0416821679114046</v>
      </c>
      <c r="E9" s="76">
        <f t="shared" si="2"/>
        <v>1.3423759484679119</v>
      </c>
      <c r="F9" s="76">
        <f t="shared" si="3"/>
        <v>1.8471955196961554</v>
      </c>
      <c r="G9" s="76">
        <f t="shared" si="4"/>
        <v>2.7121611864982262</v>
      </c>
      <c r="H9" s="75"/>
    </row>
    <row r="10" spans="1:16">
      <c r="A10" s="74">
        <f t="shared" si="6"/>
        <v>86.841933598762296</v>
      </c>
      <c r="B10" s="75">
        <f t="shared" si="5"/>
        <v>545367.34300022724</v>
      </c>
      <c r="C10" s="76">
        <f t="shared" si="0"/>
        <v>0.87544582009802541</v>
      </c>
      <c r="D10" s="76">
        <f t="shared" si="1"/>
        <v>1.0810765828703102</v>
      </c>
      <c r="E10" s="76">
        <f t="shared" si="2"/>
        <v>1.4054079413316469</v>
      </c>
      <c r="F10" s="76">
        <f t="shared" si="3"/>
        <v>1.9735285494413197</v>
      </c>
      <c r="G10" s="76">
        <f t="shared" si="4"/>
        <v>3.0566395851621393</v>
      </c>
      <c r="H10" s="75"/>
    </row>
    <row r="11" spans="1:16">
      <c r="A11" s="74">
        <f t="shared" si="6"/>
        <v>88.456445685666736</v>
      </c>
      <c r="B11" s="75">
        <f t="shared" si="5"/>
        <v>555506.47890598711</v>
      </c>
      <c r="C11" s="76">
        <f t="shared" si="0"/>
        <v>0.9036346671109462</v>
      </c>
      <c r="D11" s="76">
        <f t="shared" si="1"/>
        <v>1.1202223788531465</v>
      </c>
      <c r="E11" s="76">
        <f t="shared" si="2"/>
        <v>1.4677967799250797</v>
      </c>
      <c r="F11" s="76">
        <f t="shared" si="3"/>
        <v>2.1011672743583341</v>
      </c>
      <c r="G11" s="76">
        <f t="shared" si="4"/>
        <v>3.4521258527463665</v>
      </c>
      <c r="H11" s="75"/>
    </row>
    <row r="12" spans="1:16">
      <c r="A12" s="74">
        <f t="shared" si="6"/>
        <v>90.100973793296873</v>
      </c>
      <c r="B12" s="75">
        <f t="shared" si="5"/>
        <v>565834.11542190437</v>
      </c>
      <c r="C12" s="76">
        <f t="shared" si="0"/>
        <v>0.93172921252560614</v>
      </c>
      <c r="D12" s="76">
        <f t="shared" si="1"/>
        <v>1.1587918817916678</v>
      </c>
      <c r="E12" s="76">
        <f t="shared" si="2"/>
        <v>1.5285435664976283</v>
      </c>
      <c r="F12" s="76">
        <f t="shared" si="3"/>
        <v>2.2261988225166363</v>
      </c>
      <c r="G12" s="76">
        <f t="shared" si="4"/>
        <v>3.8912220044110262</v>
      </c>
      <c r="H12" s="75"/>
    </row>
    <row r="13" spans="1:16">
      <c r="A13" s="74">
        <f t="shared" si="6"/>
        <v>91.776075961141871</v>
      </c>
      <c r="B13" s="75">
        <f t="shared" si="5"/>
        <v>576353.75703597092</v>
      </c>
      <c r="C13" s="76">
        <f t="shared" si="0"/>
        <v>0.95959208556133102</v>
      </c>
      <c r="D13" s="76">
        <f t="shared" si="1"/>
        <v>1.1964339701999136</v>
      </c>
      <c r="E13" s="76">
        <f t="shared" si="2"/>
        <v>1.5865468903325384</v>
      </c>
      <c r="F13" s="76">
        <f t="shared" si="3"/>
        <v>2.3436857855476432</v>
      </c>
      <c r="G13" s="76">
        <f t="shared" si="4"/>
        <v>4.3469855690618386</v>
      </c>
      <c r="H13" s="75"/>
    </row>
    <row r="14" spans="1:16">
      <c r="A14" s="74">
        <f t="shared" si="6"/>
        <v>93.482320603419566</v>
      </c>
      <c r="B14" s="75">
        <f t="shared" si="5"/>
        <v>587068.97338947491</v>
      </c>
      <c r="C14" s="76">
        <f t="shared" si="0"/>
        <v>0.98707862057068796</v>
      </c>
      <c r="D14" s="76">
        <f t="shared" si="1"/>
        <v>1.2327833064756295</v>
      </c>
      <c r="E14" s="76">
        <f t="shared" si="2"/>
        <v>1.6406557732888576</v>
      </c>
      <c r="F14" s="76">
        <f t="shared" si="3"/>
        <v>2.4480290075139659</v>
      </c>
      <c r="G14" s="76">
        <f t="shared" si="4"/>
        <v>4.7628877739742883</v>
      </c>
      <c r="H14" s="75"/>
      <c r="O14" s="97" t="s">
        <v>157</v>
      </c>
      <c r="P14" s="98"/>
    </row>
    <row r="15" spans="1:16">
      <c r="A15" s="74">
        <f t="shared" si="6"/>
        <v>95.220286701957107</v>
      </c>
      <c r="B15" s="75">
        <f t="shared" si="5"/>
        <v>597983.40048829059</v>
      </c>
      <c r="C15" s="76">
        <f t="shared" si="0"/>
        <v>1.0140391725319577</v>
      </c>
      <c r="D15" s="76">
        <f t="shared" si="1"/>
        <v>1.2674718512537728</v>
      </c>
      <c r="E15" s="76">
        <f t="shared" si="2"/>
        <v>1.6897403921123963</v>
      </c>
      <c r="F15" s="76">
        <f t="shared" si="3"/>
        <v>2.5336595560448059</v>
      </c>
      <c r="G15" s="76">
        <f t="shared" si="4"/>
        <v>5.0570848337100278</v>
      </c>
      <c r="H15" s="75"/>
      <c r="O15" s="77" t="s">
        <v>158</v>
      </c>
      <c r="P15" s="80">
        <f>SQRT(Lp^2-Lr*Lp)</f>
        <v>251.9523764523764</v>
      </c>
    </row>
    <row r="16" spans="1:16">
      <c r="A16" s="74">
        <f t="shared" si="6"/>
        <v>96.99056400265745</v>
      </c>
      <c r="B16" s="75">
        <f t="shared" si="5"/>
        <v>609100.74193668878</v>
      </c>
      <c r="C16" s="76">
        <f t="shared" si="0"/>
        <v>1.040321858792755</v>
      </c>
      <c r="D16" s="76">
        <f t="shared" si="1"/>
        <v>1.3001421116548695</v>
      </c>
      <c r="E16" s="76">
        <f t="shared" si="2"/>
        <v>1.7327739446329546</v>
      </c>
      <c r="F16" s="76">
        <f t="shared" si="3"/>
        <v>2.5959594742556131</v>
      </c>
      <c r="G16" s="76">
        <f t="shared" si="4"/>
        <v>5.1577475635162813</v>
      </c>
      <c r="H16" s="75"/>
      <c r="O16" s="77" t="s">
        <v>159</v>
      </c>
      <c r="P16" s="80">
        <f>Lp-SQRT(Lp^2-Lr*Lp)</f>
        <v>24.047623547623601</v>
      </c>
    </row>
    <row r="17" spans="1:16">
      <c r="A17" s="74">
        <f t="shared" si="6"/>
        <v>98.793753215618509</v>
      </c>
      <c r="B17" s="75">
        <f t="shared" si="5"/>
        <v>620424.77019408427</v>
      </c>
      <c r="C17" s="76">
        <f t="shared" si="0"/>
        <v>1.0657756478478893</v>
      </c>
      <c r="D17" s="76">
        <f t="shared" si="1"/>
        <v>1.3304612694151379</v>
      </c>
      <c r="E17" s="76">
        <f t="shared" si="2"/>
        <v>1.7689148530445702</v>
      </c>
      <c r="F17" s="76">
        <f t="shared" si="3"/>
        <v>2.6321492114981382</v>
      </c>
      <c r="G17" s="76">
        <f t="shared" si="4"/>
        <v>5.0514710414660406</v>
      </c>
      <c r="H17" s="75"/>
      <c r="O17" s="77" t="s">
        <v>160</v>
      </c>
      <c r="P17" s="81">
        <f>Np/Ns</f>
        <v>8.6956521739130448</v>
      </c>
    </row>
    <row r="18" spans="1:16">
      <c r="A18" s="74">
        <f t="shared" si="6"/>
        <v>100.63046621897273</v>
      </c>
      <c r="B18" s="75">
        <f t="shared" si="5"/>
        <v>631959.3278551487</v>
      </c>
      <c r="C18" s="76">
        <f t="shared" si="0"/>
        <v>1.0902536813982473</v>
      </c>
      <c r="D18" s="76">
        <f t="shared" si="1"/>
        <v>1.358135097707063</v>
      </c>
      <c r="E18" s="76">
        <f t="shared" si="2"/>
        <v>1.7975762817622336</v>
      </c>
      <c r="F18" s="76">
        <f t="shared" si="3"/>
        <v>2.6418155785918125</v>
      </c>
      <c r="G18" s="76">
        <f t="shared" si="4"/>
        <v>4.7908855904714667</v>
      </c>
      <c r="H18" s="75"/>
      <c r="O18" s="77" t="s">
        <v>161</v>
      </c>
      <c r="P18" s="81">
        <f>Ro*n^2*8/3.14^2</f>
        <v>4.3443001110044822E-13</v>
      </c>
    </row>
    <row r="19" spans="1:16">
      <c r="A19" s="74">
        <f t="shared" si="6"/>
        <v>102.50132626651634</v>
      </c>
      <c r="B19" s="75">
        <f t="shared" si="5"/>
        <v>643708.32895372261</v>
      </c>
      <c r="C19" s="76">
        <f t="shared" si="0"/>
        <v>1.1136166863190038</v>
      </c>
      <c r="D19" s="76">
        <f t="shared" si="1"/>
        <v>1.3829204651119142</v>
      </c>
      <c r="E19" s="76">
        <f t="shared" si="2"/>
        <v>1.8184709642826089</v>
      </c>
      <c r="F19" s="76">
        <f t="shared" si="3"/>
        <v>2.6268737727526243</v>
      </c>
      <c r="G19" s="76">
        <f t="shared" si="4"/>
        <v>4.4532002890729778</v>
      </c>
      <c r="H19" s="75"/>
      <c r="O19" s="82"/>
      <c r="P19" s="83"/>
    </row>
    <row r="20" spans="1:16">
      <c r="A20" s="74">
        <f t="shared" si="6"/>
        <v>104.40696819919879</v>
      </c>
      <c r="B20" s="75">
        <f t="shared" si="5"/>
        <v>655675.76029096835</v>
      </c>
      <c r="C20" s="76">
        <f t="shared" si="0"/>
        <v>1.1357363125802309</v>
      </c>
      <c r="D20" s="76">
        <f t="shared" si="1"/>
        <v>1.4046352827487796</v>
      </c>
      <c r="E20" s="76">
        <f t="shared" si="2"/>
        <v>1.8316237592138738</v>
      </c>
      <c r="F20" s="76">
        <f t="shared" si="3"/>
        <v>2.5910061983684067</v>
      </c>
      <c r="G20" s="76">
        <f t="shared" si="4"/>
        <v>4.100061709214045</v>
      </c>
      <c r="H20" s="75"/>
      <c r="O20" s="77" t="s">
        <v>153</v>
      </c>
      <c r="P20" s="78">
        <f>1/SQRT(Lr*Cr)</f>
        <v>4.6625240412015691E-2</v>
      </c>
    </row>
    <row r="21" spans="1:16">
      <c r="A21" s="74">
        <f t="shared" si="6"/>
        <v>106.34803866054393</v>
      </c>
      <c r="B21" s="75">
        <f t="shared" si="5"/>
        <v>667865.68278821593</v>
      </c>
      <c r="C21" s="76">
        <f t="shared" si="0"/>
        <v>1.1564982251148963</v>
      </c>
      <c r="D21" s="76">
        <f t="shared" si="1"/>
        <v>1.4231649838991922</v>
      </c>
      <c r="E21" s="76">
        <f t="shared" si="2"/>
        <v>1.83735096627035</v>
      </c>
      <c r="F21" s="76">
        <f t="shared" si="3"/>
        <v>2.5388312379407667</v>
      </c>
      <c r="G21" s="76">
        <f t="shared" si="4"/>
        <v>3.7663161648866588</v>
      </c>
      <c r="H21" s="75"/>
      <c r="O21" s="77" t="s">
        <v>154</v>
      </c>
      <c r="P21" s="78">
        <f>1/SQRT(Lp*Cr)</f>
        <v>1.9034674690672024E-2</v>
      </c>
    </row>
    <row r="22" spans="1:16">
      <c r="A22" s="74">
        <f t="shared" si="6"/>
        <v>108.32519631607633</v>
      </c>
      <c r="B22" s="75">
        <f t="shared" si="5"/>
        <v>680282.2328649594</v>
      </c>
      <c r="C22" s="76">
        <f t="shared" si="0"/>
        <v>1.1758047843214359</v>
      </c>
      <c r="D22" s="76">
        <f t="shared" si="1"/>
        <v>1.4384650026572505</v>
      </c>
      <c r="E22" s="76">
        <f t="shared" si="2"/>
        <v>1.8362120695042452</v>
      </c>
      <c r="F22" s="76">
        <f t="shared" si="3"/>
        <v>2.4751004317507594</v>
      </c>
      <c r="G22" s="76">
        <f t="shared" si="4"/>
        <v>3.4663860248267926</v>
      </c>
      <c r="H22" s="75"/>
      <c r="O22" s="77" t="s">
        <v>155</v>
      </c>
      <c r="P22" s="78">
        <f>wo/2/3.14</f>
        <v>234780.18496002728</v>
      </c>
    </row>
    <row r="23" spans="1:16">
      <c r="A23" s="74">
        <f t="shared" si="6"/>
        <v>110.33911207682689</v>
      </c>
      <c r="B23" s="75">
        <f t="shared" si="5"/>
        <v>692929.62384247291</v>
      </c>
      <c r="C23" s="76">
        <f t="shared" si="0"/>
        <v>1.193577171688091</v>
      </c>
      <c r="D23" s="76">
        <f t="shared" si="1"/>
        <v>1.4505591729904488</v>
      </c>
      <c r="E23" s="76">
        <f t="shared" si="2"/>
        <v>1.8289441529067119</v>
      </c>
      <c r="F23" s="76">
        <f t="shared" si="3"/>
        <v>2.4041196388792816</v>
      </c>
      <c r="G23" s="76">
        <f t="shared" si="4"/>
        <v>3.2032797240326518</v>
      </c>
      <c r="H23" s="75"/>
      <c r="O23" s="77" t="s">
        <v>156</v>
      </c>
      <c r="P23" s="78">
        <f>wm/2/3.14</f>
        <v>0.1721459526863551</v>
      </c>
    </row>
    <row r="24" spans="1:16">
      <c r="A24" s="74">
        <f t="shared" si="6"/>
        <v>112.39046932699388</v>
      </c>
      <c r="B24" s="75">
        <f t="shared" si="5"/>
        <v>705812.14737352158</v>
      </c>
      <c r="C24" s="76">
        <f t="shared" si="0"/>
        <v>1.2097568522344109</v>
      </c>
      <c r="D24" s="76">
        <f t="shared" si="1"/>
        <v>1.4595344185469727</v>
      </c>
      <c r="E24" s="76">
        <f t="shared" si="2"/>
        <v>1.8163906686604705</v>
      </c>
      <c r="F24" s="76">
        <f t="shared" si="3"/>
        <v>2.3294450546834811</v>
      </c>
      <c r="G24" s="76">
        <f t="shared" si="4"/>
        <v>2.9748033343568352</v>
      </c>
      <c r="H24" s="75"/>
      <c r="O24" s="82"/>
      <c r="P24" s="83"/>
    </row>
    <row r="25" spans="1:16">
      <c r="A25" s="74">
        <f t="shared" si="6"/>
        <v>114.47996415583634</v>
      </c>
      <c r="B25" s="75">
        <f t="shared" si="5"/>
        <v>718934.17489865224</v>
      </c>
      <c r="C25" s="76">
        <f t="shared" si="0"/>
        <v>1.2243063104731442</v>
      </c>
      <c r="D25" s="76">
        <f t="shared" si="1"/>
        <v>1.4655324679944861</v>
      </c>
      <c r="E25" s="76">
        <f t="shared" si="2"/>
        <v>1.7994347479264761</v>
      </c>
      <c r="F25" s="76">
        <f t="shared" si="3"/>
        <v>2.2538046721640193</v>
      </c>
      <c r="G25" s="76">
        <f t="shared" si="4"/>
        <v>2.776902810199815</v>
      </c>
      <c r="H25" s="75"/>
      <c r="O25" s="77" t="s">
        <v>162</v>
      </c>
      <c r="P25" s="84">
        <f>SQRT(Lr/Cr)/Rac</f>
        <v>1.3817306282601013E-2</v>
      </c>
    </row>
    <row r="26" spans="1:16">
      <c r="A26" s="74">
        <f t="shared" si="6"/>
        <v>116.60830559387888</v>
      </c>
      <c r="B26" s="75">
        <f t="shared" si="5"/>
        <v>732300.15912955941</v>
      </c>
      <c r="C26" s="76">
        <f t="shared" si="0"/>
        <v>1.2372090464240175</v>
      </c>
      <c r="D26" s="76">
        <f t="shared" si="1"/>
        <v>1.4687395567128558</v>
      </c>
      <c r="E26" s="76">
        <f t="shared" si="2"/>
        <v>1.7789439640173055</v>
      </c>
      <c r="F26" s="76">
        <f t="shared" si="3"/>
        <v>2.1791607538407112</v>
      </c>
      <c r="G26" s="76">
        <f t="shared" si="4"/>
        <v>2.6052230589338277</v>
      </c>
      <c r="H26" s="75"/>
      <c r="O26" s="77" t="s">
        <v>163</v>
      </c>
      <c r="P26" s="84">
        <f>SQRT(Lp/Cr)/Rac</f>
        <v>3.3845350012124749E-2</v>
      </c>
    </row>
    <row r="27" spans="1:16">
      <c r="A27" s="74">
        <f t="shared" si="6"/>
        <v>118.77621585350774</v>
      </c>
      <c r="B27" s="75">
        <f t="shared" si="5"/>
        <v>745914.6355600286</v>
      </c>
      <c r="C27" s="76">
        <f t="shared" si="0"/>
        <v>1.2484688673206084</v>
      </c>
      <c r="D27" s="76">
        <f t="shared" si="1"/>
        <v>1.4693751445439325</v>
      </c>
      <c r="E27" s="76">
        <f t="shared" si="2"/>
        <v>1.7557297502419085</v>
      </c>
      <c r="F27" s="76">
        <f t="shared" si="3"/>
        <v>2.1068377276459556</v>
      </c>
      <c r="G27" s="76">
        <f t="shared" si="4"/>
        <v>2.4557434322216887</v>
      </c>
      <c r="H27" s="75"/>
      <c r="O27" s="77" t="s">
        <v>164</v>
      </c>
      <c r="P27" s="84">
        <f>Lp/Lr</f>
        <v>6</v>
      </c>
    </row>
    <row r="28" spans="1:16">
      <c r="A28" s="74">
        <f t="shared" si="6"/>
        <v>120.98443057403985</v>
      </c>
      <c r="B28" s="75">
        <f t="shared" si="5"/>
        <v>759782.22400497028</v>
      </c>
      <c r="C28" s="76">
        <f t="shared" si="0"/>
        <v>1.2581085538443981</v>
      </c>
      <c r="D28" s="76">
        <f t="shared" si="1"/>
        <v>1.467680606401381</v>
      </c>
      <c r="E28" s="76">
        <f t="shared" si="2"/>
        <v>1.730521566908124</v>
      </c>
      <c r="F28" s="76">
        <f t="shared" si="3"/>
        <v>2.0376647761836924</v>
      </c>
      <c r="G28" s="76">
        <f t="shared" si="4"/>
        <v>2.324980370968579</v>
      </c>
      <c r="H28" s="75"/>
    </row>
    <row r="29" spans="1:16">
      <c r="A29" s="74">
        <f t="shared" si="6"/>
        <v>123.23369907134818</v>
      </c>
      <c r="B29" s="75">
        <f t="shared" si="5"/>
        <v>773907.63016806659</v>
      </c>
      <c r="C29" s="76">
        <f t="shared" si="0"/>
        <v>1.2661680129300956</v>
      </c>
      <c r="D29" s="76">
        <f t="shared" si="1"/>
        <v>1.4639086771663814</v>
      </c>
      <c r="E29" s="76">
        <f t="shared" si="2"/>
        <v>1.7039538800701897</v>
      </c>
      <c r="F29" s="76">
        <f t="shared" si="3"/>
        <v>1.9721060411971243</v>
      </c>
      <c r="G29" s="76">
        <f t="shared" si="4"/>
        <v>2.2100036159543186</v>
      </c>
      <c r="H29" s="75"/>
    </row>
    <row r="30" spans="1:16">
      <c r="A30" s="74">
        <f t="shared" si="6"/>
        <v>125.52478459212787</v>
      </c>
      <c r="B30" s="75">
        <f t="shared" si="5"/>
        <v>788295.64723856305</v>
      </c>
      <c r="C30" s="76">
        <f t="shared" si="0"/>
        <v>1.2727020500000721</v>
      </c>
      <c r="D30" s="76">
        <f t="shared" si="1"/>
        <v>1.4583142034866889</v>
      </c>
      <c r="E30" s="76">
        <f t="shared" si="2"/>
        <v>1.6765630629151687</v>
      </c>
      <c r="F30" s="76">
        <f t="shared" si="3"/>
        <v>1.9103677637676402</v>
      </c>
      <c r="G30" s="76">
        <f t="shared" si="4"/>
        <v>2.1083814299565904</v>
      </c>
      <c r="H30" s="75"/>
    </row>
    <row r="31" spans="1:16">
      <c r="A31" s="74">
        <f t="shared" si="6"/>
        <v>127.85846457288955</v>
      </c>
      <c r="B31" s="75">
        <f t="shared" si="5"/>
        <v>802951.15751774632</v>
      </c>
      <c r="C31" s="76">
        <f t="shared" si="0"/>
        <v>1.2777779013111024</v>
      </c>
      <c r="D31" s="76">
        <f t="shared" si="1"/>
        <v>1.4511465186989747</v>
      </c>
      <c r="E31" s="76">
        <f t="shared" si="2"/>
        <v>1.6487911997714229</v>
      </c>
      <c r="F31" s="76">
        <f t="shared" si="3"/>
        <v>1.8524809453745519</v>
      </c>
      <c r="G31" s="76">
        <f t="shared" si="4"/>
        <v>2.0181060210381667</v>
      </c>
      <c r="H31" s="75"/>
    </row>
    <row r="32" spans="1:16">
      <c r="A32" s="74">
        <f t="shared" si="6"/>
        <v>130.23553090376768</v>
      </c>
      <c r="B32" s="75">
        <f t="shared" si="5"/>
        <v>817879.13407566107</v>
      </c>
      <c r="C32" s="76">
        <f t="shared" si="0"/>
        <v>1.2814726629917843</v>
      </c>
      <c r="D32" s="76">
        <f t="shared" si="1"/>
        <v>1.4426435473501973</v>
      </c>
      <c r="E32" s="76">
        <f t="shared" si="2"/>
        <v>1.6209941338869334</v>
      </c>
      <c r="F32" s="76">
        <f t="shared" si="3"/>
        <v>1.7983623779681943</v>
      </c>
      <c r="G32" s="76">
        <f t="shared" si="4"/>
        <v>1.9375202903852542</v>
      </c>
      <c r="H32" s="75"/>
    </row>
    <row r="33" spans="1:8">
      <c r="A33" s="74">
        <f t="shared" si="6"/>
        <v>132.65679019723356</v>
      </c>
      <c r="B33" s="75">
        <f t="shared" si="5"/>
        <v>833084.64243862673</v>
      </c>
      <c r="C33" s="76">
        <f t="shared" si="0"/>
        <v>1.283870739600832</v>
      </c>
      <c r="D33" s="76">
        <f t="shared" si="1"/>
        <v>1.4330275823122431</v>
      </c>
      <c r="E33" s="76">
        <f t="shared" si="2"/>
        <v>1.5934516734710453</v>
      </c>
      <c r="F33" s="76">
        <f t="shared" si="3"/>
        <v>1.7478582570491124</v>
      </c>
      <c r="G33" s="76">
        <f t="shared" si="4"/>
        <v>1.8652534599473996</v>
      </c>
      <c r="H33" s="75"/>
    </row>
    <row r="34" spans="1:8">
      <c r="A34" s="74">
        <f t="shared" si="6"/>
        <v>135.12306406180389</v>
      </c>
      <c r="B34" s="75">
        <f t="shared" si="5"/>
        <v>848572.84230812837</v>
      </c>
      <c r="C34" s="76">
        <f t="shared" si="0"/>
        <v>1.2850614146156261</v>
      </c>
      <c r="D34" s="76">
        <f t="shared" si="1"/>
        <v>1.4225025664795636</v>
      </c>
      <c r="E34" s="76">
        <f t="shared" si="2"/>
        <v>1.5663784677875621</v>
      </c>
      <c r="F34" s="76">
        <f t="shared" si="3"/>
        <v>1.7007745313299232</v>
      </c>
      <c r="G34" s="76">
        <f t="shared" si="4"/>
        <v>1.8001672791103942</v>
      </c>
      <c r="H34" s="75"/>
    </row>
    <row r="35" spans="1:8">
      <c r="A35" s="74">
        <f t="shared" si="6"/>
        <v>137.63518938083817</v>
      </c>
      <c r="B35" s="75">
        <f t="shared" si="5"/>
        <v>864348.98931166367</v>
      </c>
      <c r="C35" s="76">
        <f t="shared" si="0"/>
        <v>1.2851366212824766</v>
      </c>
      <c r="D35" s="76">
        <f t="shared" si="1"/>
        <v>1.4112526489441968</v>
      </c>
      <c r="E35" s="76">
        <f t="shared" si="2"/>
        <v>1.5399345852553108</v>
      </c>
      <c r="F35" s="76">
        <f t="shared" si="3"/>
        <v>1.6568975157572843</v>
      </c>
      <c r="G35" s="76">
        <f t="shared" si="4"/>
        <v>1.7413121751132508</v>
      </c>
      <c r="H35" s="75"/>
    </row>
    <row r="36" spans="1:8">
      <c r="A36" s="74">
        <f t="shared" si="6"/>
        <v>140.19401859651919</v>
      </c>
      <c r="B36" s="75">
        <f t="shared" si="5"/>
        <v>880418.43678614043</v>
      </c>
      <c r="C36" s="76">
        <f t="shared" si="0"/>
        <v>1.2841889675477716</v>
      </c>
      <c r="D36" s="76">
        <f t="shared" si="1"/>
        <v>1.3994417632052962</v>
      </c>
      <c r="E36" s="76">
        <f t="shared" si="2"/>
        <v>1.5142352307091658</v>
      </c>
      <c r="F36" s="76">
        <f t="shared" si="3"/>
        <v>1.6160075395742071</v>
      </c>
      <c r="G36" s="76">
        <f t="shared" si="4"/>
        <v>1.6878919407866984</v>
      </c>
      <c r="H36" s="75"/>
    </row>
    <row r="37" spans="1:8">
      <c r="A37" s="74">
        <f t="shared" si="6"/>
        <v>142.80041999911316</v>
      </c>
      <c r="B37" s="75">
        <f t="shared" si="5"/>
        <v>896786.63759443059</v>
      </c>
      <c r="C37" s="76">
        <f t="shared" si="0"/>
        <v>1.2823100455878218</v>
      </c>
      <c r="D37" s="76">
        <f t="shared" si="1"/>
        <v>1.3872139812583468</v>
      </c>
      <c r="E37" s="76">
        <f t="shared" si="2"/>
        <v>1.4893593289231866</v>
      </c>
      <c r="F37" s="76">
        <f t="shared" si="3"/>
        <v>1.5778877091488002</v>
      </c>
      <c r="G37" s="76">
        <f t="shared" si="4"/>
        <v>1.6392354436907146</v>
      </c>
      <c r="H37" s="75"/>
    </row>
    <row r="38" spans="1:8">
      <c r="A38" s="74">
        <f t="shared" si="6"/>
        <v>145.45527802160754</v>
      </c>
      <c r="B38" s="75">
        <f t="shared" si="5"/>
        <v>913459.14597569534</v>
      </c>
      <c r="C38" s="76">
        <f t="shared" si="0"/>
        <v>1.2795890363075568</v>
      </c>
      <c r="D38" s="76">
        <f t="shared" si="1"/>
        <v>1.3746944216944943</v>
      </c>
      <c r="E38" s="76">
        <f t="shared" si="2"/>
        <v>1.4653568937400383</v>
      </c>
      <c r="F38" s="76">
        <f t="shared" si="3"/>
        <v>1.5423292999556302</v>
      </c>
      <c r="G38" s="76">
        <f t="shared" si="4"/>
        <v>1.59477398477111</v>
      </c>
      <c r="H38" s="75"/>
    </row>
    <row r="39" spans="1:8">
      <c r="A39" s="74">
        <f t="shared" si="6"/>
        <v>148.15949353982671</v>
      </c>
      <c r="B39" s="75">
        <f t="shared" si="5"/>
        <v>930441.61943011172</v>
      </c>
      <c r="C39" s="76">
        <f t="shared" ref="C39:C70" si="7">(B39/wo)^2*SQRT(Ma*(Ma-1))/SQRT((1-B39^2/wp^2)^2+(B39/wo)^2*(1-B39^2/wo^2)^2*(Ma*Q)^2)/IF(answer,1,MC)</f>
        <v>1.2761116029326063</v>
      </c>
      <c r="D39" s="76">
        <f t="shared" ref="D39:D70" si="8">(B39/wo)^2*SQRT(Ma*(Ma-1))/SQRT((1-B39^2/wp^2)^2+(B39/wo)^2*(1-B39^2/wo^2)^2*(Ma*(Q*0.8))^2)/IF(answer,1,MC)</f>
        <v>1.3619905234507172</v>
      </c>
      <c r="E39" s="76">
        <f t="shared" ref="E39:E70" si="9">(B39/wo)^2*SQRT(Ma*(Ma-1))/SQRT((1-B39^2/wp^2)^2+(B39/wo)^2*(1-B39^2/wo^2)^2*(Ma*(Q*0.6))^2)/IF(answer,1,MC)</f>
        <v>1.4422552195806415</v>
      </c>
      <c r="F39" s="76">
        <f t="shared" ref="F39:F70" si="10">(B39/wo)^2*SQRT(Ma*(Ma-1))/SQRT((1-B39^2/wp^2)^2+(B39/wo)^2*(1-B39^2/wo^2)^2*(Ma*(Q*0.4))^2)/IF(answer,1,MC)</f>
        <v>1.5091348579329713</v>
      </c>
      <c r="G39" s="76">
        <f t="shared" ref="G39:G70" si="11">(B39/wo)^2*SQRT(Ma*(Ma-1))/SQRT((1-B39^2/wp^2)^2+(B39/wo)^2*(1-B39^2/wo^2)^2*(Ma*(Q*0.2))^2)/IF(answer,1,MC)</f>
        <v>1.5540231529781838</v>
      </c>
      <c r="H39" s="75"/>
    </row>
    <row r="40" spans="1:8">
      <c r="A40" s="74">
        <f t="shared" si="6"/>
        <v>150.91398417812704</v>
      </c>
      <c r="B40" s="75">
        <f t="shared" si="5"/>
        <v>947739.82063863776</v>
      </c>
      <c r="C40" s="76">
        <f t="shared" si="7"/>
        <v>1.2719590557298199</v>
      </c>
      <c r="D40" s="76">
        <f t="shared" si="8"/>
        <v>1.3491935331349609</v>
      </c>
      <c r="E40" s="76">
        <f t="shared" si="9"/>
        <v>1.4200639963962156</v>
      </c>
      <c r="F40" s="76">
        <f t="shared" si="10"/>
        <v>1.478119769280742</v>
      </c>
      <c r="G40" s="76">
        <f t="shared" si="11"/>
        <v>1.5165682406293897</v>
      </c>
      <c r="H40" s="75"/>
    </row>
    <row r="41" spans="1:8">
      <c r="A41" s="74">
        <f t="shared" si="6"/>
        <v>153.71968462077544</v>
      </c>
      <c r="B41" s="75">
        <f t="shared" si="5"/>
        <v>965359.61941846972</v>
      </c>
      <c r="C41" s="76">
        <f t="shared" si="7"/>
        <v>1.2672077617641195</v>
      </c>
      <c r="D41" s="76">
        <f t="shared" si="8"/>
        <v>1.3363800886687773</v>
      </c>
      <c r="E41" s="76">
        <f t="shared" si="9"/>
        <v>1.3987794780205687</v>
      </c>
      <c r="F41" s="76">
        <f t="shared" si="10"/>
        <v>1.4491128258796206</v>
      </c>
      <c r="G41" s="76">
        <f t="shared" si="11"/>
        <v>1.4820524756816065</v>
      </c>
      <c r="H41" s="75"/>
    </row>
    <row r="42" spans="1:8">
      <c r="A42" s="74">
        <f t="shared" si="6"/>
        <v>156.57754692911672</v>
      </c>
      <c r="B42" s="75">
        <f t="shared" si="5"/>
        <v>983306.994714853</v>
      </c>
      <c r="C42" s="76">
        <f t="shared" si="7"/>
        <v>1.2619287689497243</v>
      </c>
      <c r="D42" s="76">
        <f t="shared" si="8"/>
        <v>1.3236138129282249</v>
      </c>
      <c r="E42" s="76">
        <f t="shared" si="9"/>
        <v>1.378387840683251</v>
      </c>
      <c r="F42" s="76">
        <f t="shared" si="10"/>
        <v>1.4219561488032544</v>
      </c>
      <c r="G42" s="76">
        <f t="shared" si="11"/>
        <v>1.4501674850788047</v>
      </c>
      <c r="H42" s="75"/>
    </row>
    <row r="43" spans="1:8">
      <c r="A43" s="74">
        <f t="shared" si="6"/>
        <v>159.48854086463763</v>
      </c>
      <c r="B43" s="75">
        <f t="shared" si="5"/>
        <v>1001588.0366299243</v>
      </c>
      <c r="C43" s="76">
        <f t="shared" si="7"/>
        <v>1.2561876118452122</v>
      </c>
      <c r="D43" s="76">
        <f t="shared" si="8"/>
        <v>1.3109468570503215</v>
      </c>
      <c r="E43" s="76">
        <f t="shared" si="9"/>
        <v>1.3588678624913304</v>
      </c>
      <c r="F43" s="76">
        <f t="shared" si="10"/>
        <v>1.3965047167431568</v>
      </c>
      <c r="G43" s="76">
        <f t="shared" si="11"/>
        <v>1.4206455298039333</v>
      </c>
      <c r="H43" s="75"/>
    </row>
    <row r="44" spans="1:8">
      <c r="A44" s="74">
        <f t="shared" si="6"/>
        <v>162.45365421803697</v>
      </c>
      <c r="B44" s="75">
        <f t="shared" si="5"/>
        <v>1020208.9484892722</v>
      </c>
      <c r="C44" s="76">
        <f t="shared" si="7"/>
        <v>1.2500442669984511</v>
      </c>
      <c r="D44" s="76">
        <f t="shared" si="8"/>
        <v>1.2984213539327192</v>
      </c>
      <c r="E44" s="76">
        <f t="shared" si="9"/>
        <v>1.3401930421857489</v>
      </c>
      <c r="F44" s="76">
        <f t="shared" si="10"/>
        <v>1.3726256656512394</v>
      </c>
      <c r="G44" s="76">
        <f t="shared" si="11"/>
        <v>1.3932531518136044</v>
      </c>
      <c r="H44" s="75"/>
    </row>
    <row r="45" spans="1:8">
      <c r="A45" s="74">
        <f t="shared" si="6"/>
        <v>165.47389314441381</v>
      </c>
      <c r="B45" s="75">
        <f t="shared" si="5"/>
        <v>1039176.0489469187</v>
      </c>
      <c r="C45" s="76">
        <f t="shared" si="7"/>
        <v>1.2435532275300574</v>
      </c>
      <c r="D45" s="76">
        <f t="shared" si="8"/>
        <v>1.2860707585481765</v>
      </c>
      <c r="E45" s="76">
        <f t="shared" si="9"/>
        <v>1.3223332603403102</v>
      </c>
      <c r="F45" s="76">
        <f t="shared" si="10"/>
        <v>1.3501974702352117</v>
      </c>
      <c r="G45" s="76">
        <f t="shared" si="11"/>
        <v>1.3677859507196197</v>
      </c>
      <c r="H45" s="75"/>
    </row>
    <row r="46" spans="1:8">
      <c r="A46" s="74">
        <f t="shared" si="6"/>
        <v>168.55028250468706</v>
      </c>
      <c r="B46" s="75">
        <f t="shared" si="5"/>
        <v>1058495.7741294347</v>
      </c>
      <c r="C46" s="76">
        <f t="shared" si="7"/>
        <v>1.2367636694969004</v>
      </c>
      <c r="D46" s="76">
        <f t="shared" si="8"/>
        <v>1.2739210636517631</v>
      </c>
      <c r="E46" s="76">
        <f t="shared" si="9"/>
        <v>1.3052560707202476</v>
      </c>
      <c r="F46" s="76">
        <f t="shared" si="10"/>
        <v>1.3291090796846194</v>
      </c>
      <c r="G46" s="76">
        <f t="shared" si="11"/>
        <v>1.3440642684659236</v>
      </c>
      <c r="H46" s="75"/>
    </row>
    <row r="47" spans="1:8">
      <c r="A47" s="74">
        <f t="shared" si="6"/>
        <v>171.68386621336273</v>
      </c>
      <c r="B47" s="75">
        <f t="shared" si="5"/>
        <v>1078174.679819918</v>
      </c>
      <c r="C47" s="76">
        <f t="shared" si="7"/>
        <v>1.2297196859485344</v>
      </c>
      <c r="D47" s="76">
        <f t="shared" si="8"/>
        <v>1.2619918879981551</v>
      </c>
      <c r="E47" s="76">
        <f t="shared" si="9"/>
        <v>1.2889276950242365</v>
      </c>
      <c r="F47" s="76">
        <f t="shared" si="10"/>
        <v>1.3092590538746036</v>
      </c>
      <c r="G47" s="76">
        <f t="shared" si="11"/>
        <v>1.3219296071406019</v>
      </c>
      <c r="H47" s="75"/>
    </row>
    <row r="48" spans="1:8">
      <c r="A48" s="74">
        <f t="shared" si="6"/>
        <v>174.87570759276645</v>
      </c>
      <c r="B48" s="75">
        <f t="shared" si="5"/>
        <v>1098219.4436825733</v>
      </c>
      <c r="C48" s="76">
        <f t="shared" si="7"/>
        <v>1.2224605681348737</v>
      </c>
      <c r="D48" s="76">
        <f t="shared" si="8"/>
        <v>1.2502974400137874</v>
      </c>
      <c r="E48" s="76">
        <f t="shared" si="9"/>
        <v>1.2733137813038844</v>
      </c>
      <c r="F48" s="76">
        <f t="shared" si="10"/>
        <v>1.2905547285699448</v>
      </c>
      <c r="G48" s="76">
        <f t="shared" si="11"/>
        <v>1.3012416415100272</v>
      </c>
      <c r="H48" s="75"/>
    </row>
    <row r="49" spans="1:8">
      <c r="A49" s="74">
        <f t="shared" si="6"/>
        <v>178.12688973386184</v>
      </c>
      <c r="B49" s="75">
        <f t="shared" si="5"/>
        <v>1118636.8675286523</v>
      </c>
      <c r="C49" s="76">
        <f t="shared" si="7"/>
        <v>1.2150211167968625</v>
      </c>
      <c r="D49" s="76">
        <f t="shared" si="8"/>
        <v>1.2388473636152975</v>
      </c>
      <c r="E49" s="76">
        <f t="shared" si="9"/>
        <v>1.2583799751915541</v>
      </c>
      <c r="F49" s="76">
        <f t="shared" si="10"/>
        <v>1.2729114262321208</v>
      </c>
      <c r="G49" s="76">
        <f t="shared" si="11"/>
        <v>1.2818757162548708</v>
      </c>
      <c r="H49" s="75"/>
    </row>
    <row r="50" spans="1:8">
      <c r="A50" s="74">
        <f t="shared" si="6"/>
        <v>181.43851586377696</v>
      </c>
      <c r="B50" s="75">
        <f t="shared" si="5"/>
        <v>1139433.8796245193</v>
      </c>
      <c r="C50" s="76">
        <f t="shared" si="7"/>
        <v>1.2074319697113922</v>
      </c>
      <c r="D50" s="76">
        <f t="shared" si="8"/>
        <v>1.2276474750655664</v>
      </c>
      <c r="E50" s="76">
        <f t="shared" si="9"/>
        <v>1.2440923436463054</v>
      </c>
      <c r="F50" s="76">
        <f t="shared" si="10"/>
        <v>1.2562517211063273</v>
      </c>
      <c r="G50" s="76">
        <f t="shared" si="11"/>
        <v>1.2637207400730539</v>
      </c>
      <c r="H50" s="75"/>
    </row>
    <row r="51" spans="1:8">
      <c r="A51" s="74">
        <f t="shared" si="6"/>
        <v>184.81170972016346</v>
      </c>
      <c r="B51" s="75">
        <f t="shared" si="5"/>
        <v>1160617.5370426266</v>
      </c>
      <c r="C51" s="76">
        <f t="shared" si="7"/>
        <v>1.1997199345722882</v>
      </c>
      <c r="D51" s="76">
        <f t="shared" si="8"/>
        <v>1.2167004008443332</v>
      </c>
      <c r="E51" s="76">
        <f t="shared" si="9"/>
        <v>1.2304176831063698</v>
      </c>
      <c r="F51" s="76">
        <f t="shared" si="10"/>
        <v>1.2405047620774414</v>
      </c>
      <c r="G51" s="76">
        <f t="shared" si="11"/>
        <v>1.2466774062122792</v>
      </c>
      <c r="H51" s="75"/>
    </row>
    <row r="52" spans="1:8">
      <c r="A52" s="74">
        <f t="shared" si="6"/>
        <v>188.24761593251583</v>
      </c>
      <c r="B52" s="75">
        <f t="shared" si="5"/>
        <v>1182195.0280561994</v>
      </c>
      <c r="C52" s="76">
        <f t="shared" si="7"/>
        <v>1.1919083188266544</v>
      </c>
      <c r="D52" s="76">
        <f t="shared" si="8"/>
        <v>1.2060061268207041</v>
      </c>
      <c r="E52" s="76">
        <f t="shared" si="9"/>
        <v>1.2173237375217361</v>
      </c>
      <c r="F52" s="76">
        <f t="shared" si="10"/>
        <v>1.2256056534640949</v>
      </c>
      <c r="G52" s="76">
        <f t="shared" si="11"/>
        <v>1.2306566826916818</v>
      </c>
      <c r="H52" s="75"/>
    </row>
    <row r="53" spans="1:8">
      <c r="A53" s="74">
        <f t="shared" si="6"/>
        <v>191.74740041057959</v>
      </c>
      <c r="B53" s="75">
        <f t="shared" si="5"/>
        <v>1204173.6745784399</v>
      </c>
      <c r="C53" s="76">
        <f t="shared" si="7"/>
        <v>1.1840172502420365</v>
      </c>
      <c r="D53" s="76">
        <f t="shared" si="8"/>
        <v>1.1955624688079278</v>
      </c>
      <c r="E53" s="76">
        <f t="shared" si="9"/>
        <v>1.2047793465273215</v>
      </c>
      <c r="F53" s="76">
        <f t="shared" si="10"/>
        <v>1.2114948918675605</v>
      </c>
      <c r="G53" s="76">
        <f t="shared" si="11"/>
        <v>1.2155785263004479</v>
      </c>
      <c r="H53" s="75"/>
    </row>
    <row r="54" spans="1:8">
      <c r="A54" s="74">
        <f t="shared" si="6"/>
        <v>195.31225073998081</v>
      </c>
      <c r="B54" s="75">
        <f t="shared" si="5"/>
        <v>1226560.9346470796</v>
      </c>
      <c r="C54" s="76">
        <f t="shared" si="7"/>
        <v>1.1760639837707574</v>
      </c>
      <c r="D54" s="76">
        <f t="shared" si="8"/>
        <v>1.1853654740477748</v>
      </c>
      <c r="E54" s="76">
        <f t="shared" si="9"/>
        <v>1.1927545398104911</v>
      </c>
      <c r="F54" s="76">
        <f t="shared" si="10"/>
        <v>1.1981178559927914</v>
      </c>
      <c r="G54" s="76">
        <f t="shared" si="11"/>
        <v>1.2013707830584877</v>
      </c>
      <c r="H54" s="75"/>
    </row>
    <row r="55" spans="1:8">
      <c r="A55" s="74">
        <f t="shared" si="6"/>
        <v>198.94337658521076</v>
      </c>
      <c r="B55" s="75">
        <f t="shared" si="5"/>
        <v>1249364.4049551236</v>
      </c>
      <c r="C55" s="76">
        <f t="shared" si="7"/>
        <v>1.1680631917338979</v>
      </c>
      <c r="D55" s="76">
        <f t="shared" si="8"/>
        <v>1.1754097624508535</v>
      </c>
      <c r="E55" s="76">
        <f t="shared" si="9"/>
        <v>1.1812205903505728</v>
      </c>
      <c r="F55" s="76">
        <f t="shared" si="10"/>
        <v>1.1854243457275122</v>
      </c>
      <c r="G55" s="76">
        <f t="shared" si="11"/>
        <v>1.1879682446795747</v>
      </c>
      <c r="H55" s="75"/>
    </row>
    <row r="56" spans="1:8">
      <c r="A56" s="74">
        <f t="shared" si="6"/>
        <v>202.64201010010271</v>
      </c>
      <c r="B56" s="75">
        <f t="shared" si="5"/>
        <v>1272591.823428645</v>
      </c>
      <c r="C56" s="76">
        <f t="shared" si="7"/>
        <v>1.1600272355069108</v>
      </c>
      <c r="D56" s="76">
        <f t="shared" si="8"/>
        <v>1.1656888156073748</v>
      </c>
      <c r="E56" s="76">
        <f t="shared" si="9"/>
        <v>1.1701500365102235</v>
      </c>
      <c r="F56" s="76">
        <f t="shared" si="10"/>
        <v>1.1733681665063369</v>
      </c>
      <c r="G56" s="76">
        <f t="shared" si="11"/>
        <v>1.1753118360674832</v>
      </c>
      <c r="H56" s="75"/>
    </row>
    <row r="57" spans="1:8">
      <c r="A57" s="74">
        <f t="shared" si="6"/>
        <v>206.40940634594</v>
      </c>
      <c r="B57" s="75">
        <f t="shared" si="5"/>
        <v>1296251.0718525031</v>
      </c>
      <c r="C57" s="76">
        <f t="shared" si="7"/>
        <v>1.1519664177925479</v>
      </c>
      <c r="D57" s="76">
        <f t="shared" si="8"/>
        <v>1.1561952207462634</v>
      </c>
      <c r="E57" s="76">
        <f t="shared" si="9"/>
        <v>1.1595166808101551</v>
      </c>
      <c r="F57" s="76">
        <f t="shared" si="10"/>
        <v>1.1619067549666886</v>
      </c>
      <c r="G57" s="76">
        <f t="shared" si="11"/>
        <v>1.1633479132912903</v>
      </c>
      <c r="H57" s="75"/>
    </row>
    <row r="58" spans="1:8">
      <c r="A58" s="74">
        <f t="shared" si="6"/>
        <v>210.24684371733727</v>
      </c>
      <c r="B58" s="75">
        <f t="shared" si="5"/>
        <v>1320350.178544878</v>
      </c>
      <c r="C58" s="76">
        <f t="shared" si="7"/>
        <v>1.1438892152547091</v>
      </c>
      <c r="D58" s="76">
        <f t="shared" si="8"/>
        <v>1.1469208760023162</v>
      </c>
      <c r="E58" s="76">
        <f t="shared" si="9"/>
        <v>1.1492955715127402</v>
      </c>
      <c r="F58" s="76">
        <f t="shared" si="10"/>
        <v>1.1510008420310964</v>
      </c>
      <c r="G58" s="76">
        <f t="shared" si="11"/>
        <v>1.1520276550524828</v>
      </c>
      <c r="H58" s="75"/>
    </row>
    <row r="59" spans="1:8">
      <c r="A59" s="74">
        <f t="shared" si="6"/>
        <v>214.15562437603955</v>
      </c>
      <c r="B59" s="75">
        <f t="shared" si="5"/>
        <v>1344897.3210815284</v>
      </c>
      <c r="C59" s="76">
        <f t="shared" si="7"/>
        <v>1.1358024917963947</v>
      </c>
      <c r="D59" s="76">
        <f t="shared" si="8"/>
        <v>1.1378571625780387</v>
      </c>
      <c r="E59" s="76">
        <f t="shared" si="9"/>
        <v>1.139462971788558</v>
      </c>
      <c r="F59" s="76">
        <f t="shared" si="10"/>
        <v>1.1406141497649633</v>
      </c>
      <c r="G59" s="76">
        <f t="shared" si="11"/>
        <v>1.141306533549163</v>
      </c>
      <c r="H59" s="75"/>
    </row>
    <row r="60" spans="1:8">
      <c r="A60" s="74">
        <f t="shared" si="6"/>
        <v>218.1370746927862</v>
      </c>
      <c r="B60" s="75">
        <f t="shared" si="5"/>
        <v>1369900.8290706973</v>
      </c>
      <c r="C60" s="76">
        <f t="shared" si="7"/>
        <v>1.1277116931296436</v>
      </c>
      <c r="D60" s="76">
        <f t="shared" si="8"/>
        <v>1.1289950886737345</v>
      </c>
      <c r="E60" s="76">
        <f t="shared" si="9"/>
        <v>1.1299963201715217</v>
      </c>
      <c r="F60" s="76">
        <f t="shared" si="10"/>
        <v>1.1307131186192376</v>
      </c>
      <c r="G60" s="76">
        <f t="shared" si="11"/>
        <v>1.1311438529982563</v>
      </c>
      <c r="H60" s="75"/>
    </row>
    <row r="61" spans="1:8">
      <c r="A61" s="74">
        <f t="shared" si="6"/>
        <v>222.19254569738968</v>
      </c>
      <c r="B61" s="75">
        <f t="shared" si="5"/>
        <v>1395369.1869796072</v>
      </c>
      <c r="C61" s="76">
        <f t="shared" si="7"/>
        <v>1.1196210235344577</v>
      </c>
      <c r="D61" s="76">
        <f t="shared" si="8"/>
        <v>1.120325409413415</v>
      </c>
      <c r="E61" s="76">
        <f t="shared" si="9"/>
        <v>1.1208741851652075</v>
      </c>
      <c r="F61" s="76">
        <f t="shared" si="10"/>
        <v>1.1212666619467755</v>
      </c>
      <c r="G61" s="76">
        <f t="shared" si="11"/>
        <v>1.1215023460025777</v>
      </c>
      <c r="H61" s="75"/>
    </row>
    <row r="62" spans="1:8">
      <c r="A62" s="74">
        <f t="shared" si="6"/>
        <v>226.32341353718195</v>
      </c>
      <c r="B62" s="75">
        <f t="shared" si="5"/>
        <v>1421311.0370135026</v>
      </c>
      <c r="C62" s="76">
        <f t="shared" si="7"/>
        <v>1.1115336058620984</v>
      </c>
      <c r="D62" s="76">
        <f t="shared" si="8"/>
        <v>1.1118387264165874</v>
      </c>
      <c r="E62" s="76">
        <f t="shared" si="9"/>
        <v>1.1120762161990683</v>
      </c>
      <c r="F62" s="76">
        <f t="shared" si="10"/>
        <v>1.1122459449622673</v>
      </c>
      <c r="G62" s="76">
        <f t="shared" si="11"/>
        <v>1.1123478195303558</v>
      </c>
      <c r="H62" s="75"/>
    </row>
    <row r="63" spans="1:8">
      <c r="A63" s="74">
        <f t="shared" si="6"/>
        <v>230.53107994398405</v>
      </c>
      <c r="B63" s="75">
        <f t="shared" si="5"/>
        <v>1447735.18204822</v>
      </c>
      <c r="C63" s="76">
        <f t="shared" si="7"/>
        <v>1.103451625926656</v>
      </c>
      <c r="D63" s="76">
        <f t="shared" si="8"/>
        <v>1.1035255701551441</v>
      </c>
      <c r="E63" s="76">
        <f t="shared" si="9"/>
        <v>1.1035830926112908</v>
      </c>
      <c r="F63" s="76">
        <f t="shared" si="10"/>
        <v>1.1036241855877065</v>
      </c>
      <c r="G63" s="76">
        <f t="shared" si="11"/>
        <v>1.1036488435770617</v>
      </c>
      <c r="H63" s="75"/>
    </row>
    <row r="64" spans="1:8">
      <c r="A64" s="74">
        <f t="shared" si="6"/>
        <v>234.81697270975729</v>
      </c>
      <c r="B64" s="75">
        <f t="shared" si="5"/>
        <v>1474650.5886172757</v>
      </c>
      <c r="C64" s="76">
        <f t="shared" si="7"/>
        <v>1.0953764624645155</v>
      </c>
      <c r="D64" s="76">
        <f t="shared" si="8"/>
        <v>1.09537646778641</v>
      </c>
      <c r="E64" s="76">
        <f t="shared" si="9"/>
        <v>1.0953764719256611</v>
      </c>
      <c r="F64" s="76">
        <f t="shared" si="10"/>
        <v>1.0953764748822692</v>
      </c>
      <c r="G64" s="76">
        <f t="shared" si="11"/>
        <v>1.0953764766562339</v>
      </c>
      <c r="H64" s="75"/>
    </row>
    <row r="65" spans="1:8">
      <c r="A65" s="74">
        <f t="shared" si="6"/>
        <v>239.18254617109736</v>
      </c>
      <c r="B65" s="75">
        <f t="shared" si="5"/>
        <v>1502066.3899544915</v>
      </c>
      <c r="C65" s="76">
        <f t="shared" si="7"/>
        <v>1.0873088038380896</v>
      </c>
      <c r="D65" s="76">
        <f t="shared" si="8"/>
        <v>1.0873819987627789</v>
      </c>
      <c r="E65" s="76">
        <f t="shared" si="9"/>
        <v>1.0874389383693555</v>
      </c>
      <c r="F65" s="76">
        <f t="shared" si="10"/>
        <v>1.0874796149937223</v>
      </c>
      <c r="G65" s="76">
        <f t="shared" si="11"/>
        <v>1.0875040231594775</v>
      </c>
      <c r="H65" s="75"/>
    </row>
    <row r="66" spans="1:8">
      <c r="A66" s="74">
        <f t="shared" si="6"/>
        <v>243.62928170273594</v>
      </c>
      <c r="B66" s="75">
        <f t="shared" si="5"/>
        <v>1529991.8890931816</v>
      </c>
      <c r="C66" s="76">
        <f t="shared" si="7"/>
        <v>1.0792487526290522</v>
      </c>
      <c r="D66" s="76">
        <f t="shared" si="8"/>
        <v>1.0795328401797433</v>
      </c>
      <c r="E66" s="76">
        <f t="shared" si="9"/>
        <v>1.0797539523285016</v>
      </c>
      <c r="F66" s="76">
        <f t="shared" si="10"/>
        <v>1.0799119727868154</v>
      </c>
      <c r="G66" s="76">
        <f t="shared" si="11"/>
        <v>1.0800068183698439</v>
      </c>
      <c r="H66" s="75"/>
    </row>
    <row r="67" spans="1:8">
      <c r="A67" s="74">
        <f t="shared" si="6"/>
        <v>248.15868822021724</v>
      </c>
      <c r="B67" s="75">
        <f t="shared" si="5"/>
        <v>1558436.5620229642</v>
      </c>
      <c r="C67" s="76">
        <f t="shared" si="7"/>
        <v>1.0711959192159199</v>
      </c>
      <c r="D67" s="76">
        <f t="shared" si="8"/>
        <v>1.0718198035317827</v>
      </c>
      <c r="E67" s="76">
        <f t="shared" si="9"/>
        <v>1.0723058012437801</v>
      </c>
      <c r="F67" s="76">
        <f t="shared" si="10"/>
        <v>1.072653347502317</v>
      </c>
      <c r="G67" s="76">
        <f t="shared" si="11"/>
        <v>1.0728620375343727</v>
      </c>
      <c r="H67" s="75"/>
    </row>
    <row r="68" spans="1:8">
      <c r="A68" s="74">
        <f t="shared" si="6"/>
        <v>252.77230269191989</v>
      </c>
      <c r="B68" s="75">
        <f t="shared" si="5"/>
        <v>1587410.060905257</v>
      </c>
      <c r="C68" s="76">
        <f t="shared" si="7"/>
        <v>1.063149505367937</v>
      </c>
      <c r="D68" s="76">
        <f t="shared" si="8"/>
        <v>1.0642338642940758</v>
      </c>
      <c r="E68" s="76">
        <f t="shared" si="9"/>
        <v>1.0650795522975276</v>
      </c>
      <c r="F68" s="76">
        <f t="shared" si="10"/>
        <v>1.0656848509791059</v>
      </c>
      <c r="G68" s="76">
        <f t="shared" si="11"/>
        <v>1.0660485259225208</v>
      </c>
      <c r="H68" s="75"/>
    </row>
    <row r="69" spans="1:8">
      <c r="A69" s="74">
        <f t="shared" si="6"/>
        <v>257.47169066059809</v>
      </c>
      <c r="B69" s="75">
        <f t="shared" si="5"/>
        <v>1616922.217348556</v>
      </c>
      <c r="C69" s="76">
        <f t="shared" si="7"/>
        <v>1.0551083788170161</v>
      </c>
      <c r="D69" s="76">
        <f t="shared" si="8"/>
        <v>1.0567661855322834</v>
      </c>
      <c r="E69" s="76">
        <f t="shared" si="9"/>
        <v>1.05806100712755</v>
      </c>
      <c r="F69" s="76">
        <f t="shared" si="10"/>
        <v>1.058988799132182</v>
      </c>
      <c r="G69" s="76">
        <f t="shared" si="11"/>
        <v>1.0595466472352781</v>
      </c>
      <c r="H69" s="75"/>
    </row>
    <row r="70" spans="1:8">
      <c r="A70" s="74">
        <f t="shared" si="6"/>
        <v>262.25844677461879</v>
      </c>
      <c r="B70" s="75">
        <f t="shared" si="5"/>
        <v>1646983.0457446061</v>
      </c>
      <c r="C70" s="76">
        <f t="shared" si="7"/>
        <v>1.0470711396957368</v>
      </c>
      <c r="D70" s="76">
        <f t="shared" si="8"/>
        <v>1.0494081365579704</v>
      </c>
      <c r="E70" s="76">
        <f t="shared" si="9"/>
        <v>1.0512366587136575</v>
      </c>
      <c r="F70" s="76">
        <f t="shared" si="10"/>
        <v>1.0525486135228403</v>
      </c>
      <c r="G70" s="76">
        <f t="shared" si="11"/>
        <v>1.0533381480991404</v>
      </c>
      <c r="H70" s="75"/>
    </row>
    <row r="71" spans="1:8">
      <c r="A71" s="74">
        <f t="shared" si="6"/>
        <v>267.13419532907568</v>
      </c>
      <c r="B71" s="75">
        <f t="shared" si="5"/>
        <v>1677602.7466665953</v>
      </c>
      <c r="C71" s="76">
        <f t="shared" ref="C71:C102" si="12">(B71/wo)^2*SQRT(Ma*(Ma-1))/SQRT((1-B71^2/wp^2)^2+(B71/wo)^2*(1-B71^2/wo^2)^2*(Ma*Q)^2)/IF(answer,1,MC)</f>
        <v>1.0390361796550769</v>
      </c>
      <c r="D71" s="76">
        <f t="shared" ref="D71:D102" si="13">(B71/wo)^2*SQRT(Ma*(Ma-1))/SQRT((1-B71^2/wp^2)^2+(B71/wo)^2*(1-B71^2/wo^2)^2*(Ma*(Q*0.8))^2)/IF(answer,1,MC)</f>
        <v>1.0421513074894817</v>
      </c>
      <c r="E71" s="76">
        <f t="shared" ref="E71:E102" si="14">(B71/wo)^2*SQRT(Ma*(Ma-1))/SQRT((1-B71^2/wp^2)^2+(B71/wo)^2*(1-B71^2/wo^2)^2*(Ma*(Q*0.6))^2)/IF(answer,1,MC)</f>
        <v>1.0445936505151288</v>
      </c>
      <c r="F71" s="76">
        <f t="shared" ref="F71:F102" si="15">(B71/wo)^2*SQRT(Ma*(Ma-1))/SQRT((1-B71^2/wp^2)^2+(B71/wo)^2*(1-B71^2/wo^2)^2*(Ma*(Q*0.4))^2)/IF(answer,1,MC)</f>
        <v>1.0463487319851721</v>
      </c>
      <c r="G71" s="76">
        <f t="shared" ref="G71:G102" si="16">(B71/wo)^2*SQRT(Ma*(Ma-1))/SQRT((1-B71^2/wp^2)^2+(B71/wo)^2*(1-B71^2/wo^2)^2*(Ma*(Q*0.2))^2)/IF(answer,1,MC)</f>
        <v>1.0474060366916156</v>
      </c>
      <c r="H71" s="75"/>
    </row>
    <row r="72" spans="1:8">
      <c r="A72" s="74">
        <f t="shared" si="6"/>
        <v>272.10059081696278</v>
      </c>
      <c r="B72" s="75">
        <f t="shared" ref="B72:B109" si="17">2000*3.14*A72</f>
        <v>1708791.7103305263</v>
      </c>
      <c r="C72" s="76">
        <f t="shared" si="12"/>
        <v>1.0310017344025659</v>
      </c>
      <c r="D72" s="76">
        <f t="shared" si="13"/>
        <v>1.0349875204434766</v>
      </c>
      <c r="E72" s="76">
        <f t="shared" si="14"/>
        <v>1.038119737886158</v>
      </c>
      <c r="F72" s="76">
        <f t="shared" si="15"/>
        <v>1.0403745273868095</v>
      </c>
      <c r="G72" s="76">
        <f t="shared" si="16"/>
        <v>1.0417344738099721</v>
      </c>
      <c r="H72" s="75"/>
    </row>
    <row r="73" spans="1:8">
      <c r="A73" s="74">
        <f t="shared" ref="A73:A109" si="18">A72*10^0.008</f>
        <v>277.15931849059541</v>
      </c>
      <c r="B73" s="75">
        <f t="shared" si="17"/>
        <v>1740560.5201209392</v>
      </c>
      <c r="C73" s="76">
        <f t="shared" si="12"/>
        <v>1.0229659303314231</v>
      </c>
      <c r="D73" s="76">
        <f t="shared" si="13"/>
        <v>1.0279088379676145</v>
      </c>
      <c r="E73" s="76">
        <f t="shared" si="14"/>
        <v>1.0318032517583069</v>
      </c>
      <c r="F73" s="76">
        <f t="shared" si="15"/>
        <v>1.0346122337029584</v>
      </c>
      <c r="G73" s="76">
        <f t="shared" si="16"/>
        <v>1.0363086749204256</v>
      </c>
      <c r="H73" s="75"/>
    </row>
    <row r="74" spans="1:8">
      <c r="A74" s="74">
        <f t="shared" si="18"/>
        <v>282.31209493346864</v>
      </c>
      <c r="B74" s="75">
        <f t="shared" si="17"/>
        <v>1772919.956182183</v>
      </c>
      <c r="C74" s="76">
        <f t="shared" si="12"/>
        <v>1.0149268258448512</v>
      </c>
      <c r="D74" s="76">
        <f t="shared" si="13"/>
        <v>1.0209075692272067</v>
      </c>
      <c r="E74" s="76">
        <f t="shared" si="14"/>
        <v>1.0256330645511047</v>
      </c>
      <c r="F74" s="76">
        <f t="shared" si="15"/>
        <v>1.0290488786725003</v>
      </c>
      <c r="G74" s="76">
        <f t="shared" si="16"/>
        <v>1.0311148219172623</v>
      </c>
      <c r="H74" s="75"/>
    </row>
    <row r="75" spans="1:8">
      <c r="A75" s="74">
        <f t="shared" si="18"/>
        <v>287.56066864274743</v>
      </c>
      <c r="B75" s="75">
        <f t="shared" si="17"/>
        <v>1805880.999076454</v>
      </c>
      <c r="C75" s="76">
        <f t="shared" si="12"/>
        <v>1.0068824479176188</v>
      </c>
      <c r="D75" s="76">
        <f t="shared" si="13"/>
        <v>1.013976274375521</v>
      </c>
      <c r="E75" s="76">
        <f t="shared" si="14"/>
        <v>1.0195985582520277</v>
      </c>
      <c r="F75" s="76">
        <f t="shared" si="15"/>
        <v>1.0236722223845975</v>
      </c>
      <c r="G75" s="76">
        <f t="shared" si="16"/>
        <v>1.0261399834858616</v>
      </c>
      <c r="H75" s="75"/>
    </row>
    <row r="76" spans="1:8">
      <c r="A76" s="74">
        <f t="shared" si="18"/>
        <v>292.90682062258605</v>
      </c>
      <c r="B76" s="75">
        <f t="shared" si="17"/>
        <v>1839454.8335098403</v>
      </c>
      <c r="C76" s="76">
        <f t="shared" si="12"/>
        <v>0.99883082437964932</v>
      </c>
      <c r="D76" s="76">
        <f t="shared" si="13"/>
        <v>1.0071077674666944</v>
      </c>
      <c r="E76" s="76">
        <f t="shared" si="14"/>
        <v>1.0136895945932611</v>
      </c>
      <c r="F76" s="76">
        <f t="shared" si="15"/>
        <v>1.0184707012148455</v>
      </c>
      <c r="G76" s="76">
        <f t="shared" si="16"/>
        <v>1.0213720431045683</v>
      </c>
      <c r="H76" s="75"/>
    </row>
    <row r="77" spans="1:8">
      <c r="A77" s="74">
        <f t="shared" si="18"/>
        <v>298.35236498847814</v>
      </c>
      <c r="B77" s="75">
        <f t="shared" si="17"/>
        <v>1873652.8521276428</v>
      </c>
      <c r="C77" s="76">
        <f t="shared" si="12"/>
        <v>0.99077001235367956</v>
      </c>
      <c r="D77" s="76">
        <f t="shared" si="13"/>
        <v>1.0002951182100737</v>
      </c>
      <c r="E77" s="76">
        <f t="shared" si="14"/>
        <v>1.007896487243563</v>
      </c>
      <c r="F77" s="76">
        <f t="shared" si="15"/>
        <v>1.0134333765926782</v>
      </c>
      <c r="G77" s="76">
        <f t="shared" si="16"/>
        <v>1.0167996338415515</v>
      </c>
      <c r="H77" s="75"/>
    </row>
    <row r="78" spans="1:8">
      <c r="A78" s="74">
        <f t="shared" si="18"/>
        <v>303.89914958284243</v>
      </c>
      <c r="B78" s="75">
        <f t="shared" si="17"/>
        <v>1908486.6593802504</v>
      </c>
      <c r="C78" s="76">
        <f t="shared" si="12"/>
        <v>0.98269812323111427</v>
      </c>
      <c r="D78" s="76">
        <f t="shared" si="13"/>
        <v>0.99353165281365108</v>
      </c>
      <c r="E78" s="76">
        <f t="shared" si="14"/>
        <v>1.0022099759280605</v>
      </c>
      <c r="F78" s="76">
        <f t="shared" si="15"/>
        <v>1.0085498881373132</v>
      </c>
      <c r="G78" s="76">
        <f t="shared" si="16"/>
        <v>1.0124120792071885</v>
      </c>
      <c r="H78" s="75"/>
    </row>
    <row r="79" spans="1:8">
      <c r="A79" s="74">
        <f t="shared" si="18"/>
        <v>309.54905660205316</v>
      </c>
      <c r="B79" s="75">
        <f t="shared" si="17"/>
        <v>1943968.0754608938</v>
      </c>
      <c r="C79" s="76">
        <f t="shared" si="12"/>
        <v>0.97461334452680148</v>
      </c>
      <c r="D79" s="76">
        <f t="shared" si="13"/>
        <v>0.98681095412072317</v>
      </c>
      <c r="E79" s="76">
        <f t="shared" si="14"/>
        <v>0.99662120238600505</v>
      </c>
      <c r="F79" s="76">
        <f t="shared" si="15"/>
        <v>1.0038104107488171</v>
      </c>
      <c r="G79" s="76">
        <f t="shared" si="16"/>
        <v>1.0081993394126485</v>
      </c>
      <c r="H79" s="75"/>
    </row>
    <row r="80" spans="1:8">
      <c r="A80" s="74">
        <f t="shared" si="18"/>
        <v>315.30400323512771</v>
      </c>
      <c r="B80" s="75">
        <f t="shared" si="17"/>
        <v>1980109.1403166021</v>
      </c>
      <c r="C80" s="76">
        <f t="shared" si="12"/>
        <v>0.96651395891448899</v>
      </c>
      <c r="D80" s="76">
        <f t="shared" si="13"/>
        <v>0.98012686120694759</v>
      </c>
      <c r="E80" s="76">
        <f t="shared" si="14"/>
        <v>0.99112168807579593</v>
      </c>
      <c r="F80" s="76">
        <f t="shared" si="15"/>
        <v>0.99920561528470142</v>
      </c>
      <c r="G80" s="76">
        <f t="shared" si="16"/>
        <v>1.0041519624633948</v>
      </c>
      <c r="H80" s="75"/>
    </row>
    <row r="81" spans="1:8">
      <c r="A81" s="74">
        <f t="shared" si="18"/>
        <v>321.16594231428849</v>
      </c>
      <c r="B81" s="75">
        <f t="shared" si="17"/>
        <v>2016922.1177337316</v>
      </c>
      <c r="C81" s="76">
        <f t="shared" si="12"/>
        <v>0.9583983607098121</v>
      </c>
      <c r="D81" s="76">
        <f t="shared" si="13"/>
        <v>0.97347346857344141</v>
      </c>
      <c r="E81" s="76">
        <f t="shared" si="14"/>
        <v>0.98570331353729324</v>
      </c>
      <c r="F81" s="76">
        <f t="shared" si="15"/>
        <v>0.99472663249132764</v>
      </c>
      <c r="G81" s="76">
        <f t="shared" si="16"/>
        <v>1.0002610395839817</v>
      </c>
      <c r="H81" s="75"/>
    </row>
    <row r="82" spans="1:8">
      <c r="A82" s="74">
        <f t="shared" si="18"/>
        <v>327.13686297761956</v>
      </c>
      <c r="B82" s="75">
        <f t="shared" si="17"/>
        <v>2054419.4994994509</v>
      </c>
      <c r="C82" s="76">
        <f t="shared" si="12"/>
        <v>0.95026507003664817</v>
      </c>
      <c r="D82" s="76">
        <f t="shared" si="13"/>
        <v>0.9668451250448129</v>
      </c>
      <c r="E82" s="76">
        <f t="shared" si="14"/>
        <v>0.98035829932325591</v>
      </c>
      <c r="F82" s="76">
        <f t="shared" si="15"/>
        <v>0.99036501989399262</v>
      </c>
      <c r="G82" s="76">
        <f t="shared" si="16"/>
        <v>0.99651816452936037</v>
      </c>
      <c r="H82" s="75"/>
    </row>
    <row r="83" spans="1:8">
      <c r="A83" s="74">
        <f t="shared" si="18"/>
        <v>333.21879134404293</v>
      </c>
      <c r="B83" s="75">
        <f t="shared" si="17"/>
        <v>2092614.0096405896</v>
      </c>
      <c r="C83" s="76">
        <f t="shared" si="12"/>
        <v>0.94211274488521801</v>
      </c>
      <c r="D83" s="76">
        <f t="shared" si="13"/>
        <v>0.96023643245822787</v>
      </c>
      <c r="E83" s="76">
        <f t="shared" si="14"/>
        <v>0.9750791884142751</v>
      </c>
      <c r="F83" s="76">
        <f t="shared" si="15"/>
        <v>0.98611273138033839</v>
      </c>
      <c r="G83" s="76">
        <f t="shared" si="16"/>
        <v>0.99291539638914195</v>
      </c>
      <c r="H83" s="75"/>
    </row>
    <row r="84" spans="1:8">
      <c r="A84" s="74">
        <f t="shared" si="18"/>
        <v>339.41379120084383</v>
      </c>
      <c r="B84" s="75">
        <f t="shared" si="17"/>
        <v>2131518.6087412992</v>
      </c>
      <c r="C84" s="76">
        <f t="shared" si="12"/>
        <v>0.93394019124614591</v>
      </c>
      <c r="D84" s="76">
        <f t="shared" si="13"/>
        <v>0.95364224421024024</v>
      </c>
      <c r="E84" s="76">
        <f t="shared" si="14"/>
        <v>0.96985883003458984</v>
      </c>
      <c r="F84" s="76">
        <f t="shared" si="15"/>
        <v>0.98196208923911599</v>
      </c>
      <c r="G84" s="76">
        <f t="shared" si="16"/>
        <v>0.98944522553599745</v>
      </c>
      <c r="H84" s="75"/>
    </row>
    <row r="85" spans="1:8">
      <c r="A85" s="74">
        <f t="shared" si="18"/>
        <v>345.72396470397774</v>
      </c>
      <c r="B85" s="75">
        <f t="shared" si="17"/>
        <v>2171146.4983409801</v>
      </c>
      <c r="C85" s="76">
        <f t="shared" si="12"/>
        <v>0.92574637148351857</v>
      </c>
      <c r="D85" s="76">
        <f t="shared" si="13"/>
        <v>0.94705766371164612</v>
      </c>
      <c r="E85" s="76">
        <f t="shared" si="14"/>
        <v>0.9646903647894689</v>
      </c>
      <c r="F85" s="76">
        <f t="shared" si="15"/>
        <v>0.9779057584407399</v>
      </c>
      <c r="G85" s="76">
        <f t="shared" si="16"/>
        <v>0.98610054240848233</v>
      </c>
      <c r="H85" s="75"/>
    </row>
    <row r="86" spans="1:8">
      <c r="A86" s="74">
        <f t="shared" si="18"/>
        <v>352.15145309139717</v>
      </c>
      <c r="B86" s="75">
        <f t="shared" si="17"/>
        <v>2211511.1254139743</v>
      </c>
      <c r="C86" s="76">
        <f t="shared" si="12"/>
        <v>0.91753041109156785</v>
      </c>
      <c r="D86" s="76">
        <f t="shared" si="13"/>
        <v>0.94047804278664138</v>
      </c>
      <c r="E86" s="76">
        <f t="shared" si="14"/>
        <v>0.95956721104826692</v>
      </c>
      <c r="F86" s="76">
        <f t="shared" si="15"/>
        <v>0.97393672296783795</v>
      </c>
      <c r="G86" s="76">
        <f t="shared" si="16"/>
        <v>0.98287460885284172</v>
      </c>
      <c r="H86" s="75"/>
    </row>
    <row r="87" spans="1:8">
      <c r="A87" s="74">
        <f t="shared" si="18"/>
        <v>358.69843740964046</v>
      </c>
      <c r="B87" s="75">
        <f t="shared" si="17"/>
        <v>2252626.1869325419</v>
      </c>
      <c r="C87" s="76">
        <f t="shared" si="12"/>
        <v>0.9092916039636546</v>
      </c>
      <c r="D87" s="76">
        <f t="shared" si="13"/>
        <v>0.93389898004072935</v>
      </c>
      <c r="E87" s="76">
        <f t="shared" si="14"/>
        <v>0.95448305250072019</v>
      </c>
      <c r="F87" s="76">
        <f t="shared" si="15"/>
        <v>0.97004826402344402</v>
      </c>
      <c r="G87" s="76">
        <f t="shared" si="16"/>
        <v>0.97976103177845431</v>
      </c>
      <c r="H87" s="75"/>
    </row>
    <row r="88" spans="1:8">
      <c r="A88" s="74">
        <f t="shared" si="18"/>
        <v>365.36713925392843</v>
      </c>
      <c r="B88" s="75">
        <f t="shared" si="17"/>
        <v>2294505.6345146704</v>
      </c>
      <c r="C88" s="76">
        <f t="shared" si="12"/>
        <v>0.90102941628851418</v>
      </c>
      <c r="D88" s="76">
        <f t="shared" si="13"/>
        <v>0.92731631921180135</v>
      </c>
      <c r="E88" s="76">
        <f t="shared" si="14"/>
        <v>0.94943182681741012</v>
      </c>
      <c r="F88" s="76">
        <f t="shared" si="15"/>
        <v>0.96623393996181783</v>
      </c>
      <c r="G88" s="76">
        <f t="shared" si="16"/>
        <v>0.97675373890801453</v>
      </c>
      <c r="H88" s="75"/>
    </row>
    <row r="89" spans="1:8">
      <c r="A89" s="74">
        <f t="shared" si="18"/>
        <v>372.15982152202076</v>
      </c>
      <c r="B89" s="75">
        <f t="shared" si="17"/>
        <v>2337163.6791582904</v>
      </c>
      <c r="C89" s="76">
        <f t="shared" si="12"/>
        <v>0.89274348917702528</v>
      </c>
      <c r="D89" s="76">
        <f t="shared" si="13"/>
        <v>0.92072614751040915</v>
      </c>
      <c r="E89" s="76">
        <f t="shared" si="14"/>
        <v>0.94440771534858015</v>
      </c>
      <c r="F89" s="76">
        <f t="shared" si="15"/>
        <v>0.96248756780241829</v>
      </c>
      <c r="G89" s="76">
        <f t="shared" si="16"/>
        <v>0.97384695642688601</v>
      </c>
      <c r="H89" s="75"/>
    </row>
    <row r="90" spans="1:8">
      <c r="A90" s="74">
        <f t="shared" si="18"/>
        <v>379.07878918208752</v>
      </c>
      <c r="B90" s="75">
        <f t="shared" si="17"/>
        <v>2380614.7960635098</v>
      </c>
      <c r="C90" s="76">
        <f t="shared" si="12"/>
        <v>0.88443364011283332</v>
      </c>
      <c r="D90" s="76">
        <f t="shared" si="13"/>
        <v>0.91412479394819357</v>
      </c>
      <c r="E90" s="76">
        <f t="shared" si="14"/>
        <v>0.93940513379855306</v>
      </c>
      <c r="F90" s="76">
        <f t="shared" si="15"/>
        <v>0.95880320620142789</v>
      </c>
      <c r="G90" s="76">
        <f t="shared" si="16"/>
        <v>0.97103518835662117</v>
      </c>
      <c r="H90" s="75"/>
    </row>
    <row r="91" spans="1:8">
      <c r="A91" s="74">
        <f t="shared" si="18"/>
        <v>386.12639005485647</v>
      </c>
      <c r="B91" s="75">
        <f t="shared" si="17"/>
        <v>2424873.7295444985</v>
      </c>
      <c r="C91" s="76">
        <f t="shared" si="12"/>
        <v>0.87609986331183731</v>
      </c>
      <c r="D91" s="76">
        <f t="shared" si="13"/>
        <v>0.90750882764761731</v>
      </c>
      <c r="E91" s="76">
        <f t="shared" si="14"/>
        <v>0.93441872381586977</v>
      </c>
      <c r="F91" s="76">
        <f t="shared" si="15"/>
        <v>0.9551751397676731</v>
      </c>
      <c r="G91" s="76">
        <f t="shared" si="16"/>
        <v>0.96831319749585176</v>
      </c>
    </row>
    <row r="92" spans="1:8">
      <c r="A92" s="74">
        <f t="shared" si="18"/>
        <v>393.30501561030161</v>
      </c>
      <c r="B92" s="75">
        <f t="shared" si="17"/>
        <v>2469955.4980326942</v>
      </c>
      <c r="C92" s="76">
        <f t="shared" si="12"/>
        <v>0.86774232906860027</v>
      </c>
      <c r="D92" s="76">
        <f t="shared" si="13"/>
        <v>0.90087505612135677</v>
      </c>
      <c r="E92" s="76">
        <f t="shared" si="14"/>
        <v>0.92944334544191187</v>
      </c>
      <c r="F92" s="76">
        <f t="shared" si="15"/>
        <v>0.95159786462092255</v>
      </c>
      <c r="G92" s="76">
        <f t="shared" si="16"/>
        <v>0.96567598778785635</v>
      </c>
    </row>
    <row r="93" spans="1:8">
      <c r="A93" s="74">
        <f t="shared" si="18"/>
        <v>400.61710177914324</v>
      </c>
      <c r="B93" s="75">
        <f t="shared" si="17"/>
        <v>2515875.3991730195</v>
      </c>
      <c r="C93" s="76">
        <f t="shared" si="12"/>
        <v>0.85936138216203117</v>
      </c>
      <c r="D93" s="76">
        <f t="shared" si="13"/>
        <v>0.89422052350588044</v>
      </c>
      <c r="E93" s="76">
        <f t="shared" si="14"/>
        <v>0.92447407036317497</v>
      </c>
      <c r="F93" s="76">
        <f t="shared" si="15"/>
        <v>0.94806607510053487</v>
      </c>
      <c r="G93" s="76">
        <f t="shared" si="16"/>
        <v>0.96311878798841233</v>
      </c>
    </row>
    <row r="94" spans="1:8">
      <c r="A94" s="74">
        <f t="shared" si="18"/>
        <v>408.06512977943493</v>
      </c>
      <c r="B94" s="75">
        <f t="shared" si="17"/>
        <v>2562649.0150148515</v>
      </c>
      <c r="C94" s="76">
        <f t="shared" si="12"/>
        <v>0.85095753938802443</v>
      </c>
      <c r="D94" s="76">
        <f t="shared" si="13"/>
        <v>0.88754250873073193</v>
      </c>
      <c r="E94" s="76">
        <f t="shared" si="14"/>
        <v>0.91950617591454009</v>
      </c>
      <c r="F94" s="76">
        <f t="shared" si="15"/>
        <v>0.94457465154139097</v>
      </c>
      <c r="G94" s="76">
        <f t="shared" si="16"/>
        <v>0.96063703652024135</v>
      </c>
    </row>
    <row r="95" spans="1:8">
      <c r="A95" s="74">
        <f t="shared" si="18"/>
        <v>415.65162695851797</v>
      </c>
      <c r="B95" s="75">
        <f t="shared" si="17"/>
        <v>2610292.217299493</v>
      </c>
      <c r="C95" s="76">
        <f t="shared" si="12"/>
        <v>0.84253148628299912</v>
      </c>
      <c r="D95" s="76">
        <f t="shared" si="13"/>
        <v>0.88083852360278114</v>
      </c>
      <c r="E95" s="76">
        <f t="shared" si="14"/>
        <v>0.91453513978283951</v>
      </c>
      <c r="F95" s="76">
        <f t="shared" si="15"/>
        <v>0.94111864904208398</v>
      </c>
      <c r="G95" s="76">
        <f t="shared" si="16"/>
        <v>0.95822636741166378</v>
      </c>
    </row>
    <row r="96" spans="1:8">
      <c r="A96" s="74">
        <f t="shared" si="18"/>
        <v>423.3791676506288</v>
      </c>
      <c r="B96" s="75">
        <f t="shared" si="17"/>
        <v>2658821.172845949</v>
      </c>
      <c r="C96" s="76">
        <f t="shared" si="12"/>
        <v>0.83408407309928134</v>
      </c>
      <c r="D96" s="76">
        <f t="shared" si="13"/>
        <v>0.8741063107831164</v>
      </c>
      <c r="E96" s="76">
        <f t="shared" si="14"/>
        <v>0.90955663536171671</v>
      </c>
      <c r="F96" s="76">
        <f t="shared" si="15"/>
        <v>0.93769328715754741</v>
      </c>
      <c r="G96" s="76">
        <f t="shared" si="16"/>
        <v>0.95588259722714974</v>
      </c>
    </row>
    <row r="97" spans="1:7">
      <c r="A97" s="74">
        <f t="shared" si="18"/>
        <v>431.25037405045066</v>
      </c>
      <c r="B97" s="75">
        <f t="shared" si="17"/>
        <v>2708252.34903683</v>
      </c>
      <c r="C97" s="76">
        <f t="shared" si="12"/>
        <v>0.82561631009093972</v>
      </c>
      <c r="D97" s="76">
        <f t="shared" si="13"/>
        <v>0.86734384163329192</v>
      </c>
      <c r="E97" s="76">
        <f t="shared" si="14"/>
        <v>0.90456652771031665</v>
      </c>
      <c r="F97" s="76">
        <f t="shared" si="15"/>
        <v>0.93429394045477654</v>
      </c>
      <c r="G97" s="76">
        <f t="shared" si="16"/>
        <v>0.95360171290646323</v>
      </c>
    </row>
    <row r="98" spans="1:7">
      <c r="A98" s="74">
        <f t="shared" si="18"/>
        <v>439.26791710290564</v>
      </c>
      <c r="B98" s="75">
        <f t="shared" si="17"/>
        <v>2758602.5194062474</v>
      </c>
      <c r="C98" s="76">
        <f t="shared" si="12"/>
        <v>0.81712936216685506</v>
      </c>
      <c r="D98" s="76">
        <f t="shared" si="13"/>
        <v>0.86054931390720935</v>
      </c>
      <c r="E98" s="76">
        <f t="shared" si="14"/>
        <v>0.8995608700696256</v>
      </c>
      <c r="F98" s="76">
        <f t="shared" si="15"/>
        <v>0.93091612987610173</v>
      </c>
      <c r="G98" s="76">
        <f t="shared" si="16"/>
        <v>0.95137986043713507</v>
      </c>
    </row>
    <row r="99" spans="1:7">
      <c r="A99" s="74">
        <f t="shared" si="18"/>
        <v>447.43451740948939</v>
      </c>
      <c r="B99" s="75">
        <f t="shared" si="17"/>
        <v>2809888.7693315935</v>
      </c>
      <c r="C99" s="76">
        <f t="shared" si="12"/>
        <v>0.80862454296638309</v>
      </c>
      <c r="D99" s="76">
        <f t="shared" si="13"/>
        <v>0.85372114926501685</v>
      </c>
      <c r="E99" s="76">
        <f t="shared" si="14"/>
        <v>0.89453590089143542</v>
      </c>
      <c r="F99" s="76">
        <f t="shared" si="15"/>
        <v>0.92755551485965315</v>
      </c>
      <c r="G99" s="76">
        <f t="shared" si="16"/>
        <v>0.94921333429220578</v>
      </c>
    </row>
    <row r="100" spans="1:7">
      <c r="A100" s="74">
        <f t="shared" si="18"/>
        <v>455.75294615145572</v>
      </c>
      <c r="B100" s="75">
        <f t="shared" si="17"/>
        <v>2862128.5018311418</v>
      </c>
      <c r="C100" s="76">
        <f t="shared" si="12"/>
        <v>0.80010330841188326</v>
      </c>
      <c r="D100" s="76">
        <f t="shared" si="13"/>
        <v>0.84685799058595712</v>
      </c>
      <c r="E100" s="76">
        <f t="shared" si="14"/>
        <v>0.88948804133587189</v>
      </c>
      <c r="F100" s="76">
        <f t="shared" si="15"/>
        <v>0.92420788617133132</v>
      </c>
      <c r="G100" s="76">
        <f t="shared" si="16"/>
        <v>0.94709856757165467</v>
      </c>
    </row>
    <row r="101" spans="1:7">
      <c r="A101" s="74">
        <f t="shared" si="18"/>
        <v>464.22602603016446</v>
      </c>
      <c r="B101" s="75">
        <f t="shared" si="17"/>
        <v>2915339.4434694326</v>
      </c>
      <c r="C101" s="76">
        <f t="shared" si="12"/>
        <v>0.79156724979149862</v>
      </c>
      <c r="D101" s="76">
        <f t="shared" si="13"/>
        <v>0.8399586990580743</v>
      </c>
      <c r="E101" s="76">
        <f t="shared" si="14"/>
        <v>0.88441389319425578</v>
      </c>
      <c r="F101" s="76">
        <f t="shared" si="15"/>
        <v>0.9208691594067282</v>
      </c>
      <c r="G101" s="76">
        <f t="shared" si="16"/>
        <v>0.94503212279173188</v>
      </c>
    </row>
    <row r="102" spans="1:7">
      <c r="A102" s="74">
        <f t="shared" si="18"/>
        <v>472.85663222491183</v>
      </c>
      <c r="B102" s="75">
        <f t="shared" si="17"/>
        <v>2969539.6503724465</v>
      </c>
      <c r="C102" s="76">
        <f t="shared" si="12"/>
        <v>0.78301808642485171</v>
      </c>
      <c r="D102" s="76">
        <f t="shared" si="13"/>
        <v>0.83302235102405209</v>
      </c>
      <c r="E102" s="76">
        <f t="shared" si="14"/>
        <v>0.8793102371947924</v>
      </c>
      <c r="F102" s="76">
        <f t="shared" si="15"/>
        <v>0.91753536912516487</v>
      </c>
      <c r="G102" s="76">
        <f t="shared" si="16"/>
        <v>0.94301068327164062</v>
      </c>
    </row>
    <row r="103" spans="1:7">
      <c r="A103" s="74">
        <f t="shared" si="18"/>
        <v>481.64769336856801</v>
      </c>
      <c r="B103" s="75">
        <f t="shared" si="17"/>
        <v>3024747.5143546071</v>
      </c>
      <c r="C103" s="76">
        <f t="shared" ref="C103:C109" si="19">(B103/wo)^2*SQRT(Ma*(Ma-1))/SQRT((1-B103^2/wp^2)^2+(B103/wo)^2*(1-B103^2/wo^2)^2*(Ma*Q)^2)/IF(answer,1,MC)</f>
        <v>0.77445765796365862</v>
      </c>
      <c r="D103" s="76">
        <f t="shared" ref="D103:D109" si="20">(B103/wo)^2*SQRT(Ma*(Ma-1))/SQRT((1-B103^2/wp^2)^2+(B103/wo)^2*(1-B103^2/wo^2)^2*(Ma*(Q*0.8))^2)/IF(answer,1,MC)</f>
        <v>0.82604823456416387</v>
      </c>
      <c r="E103" s="76">
        <f t="shared" ref="E103:E109" si="21">(B103/wo)^2*SQRT(Ma*(Ma-1))/SQRT((1-B103^2/wp^2)^2+(B103/wo)^2*(1-B103^2/wo^2)^2*(Ma*(Q*0.6))^2)/IF(answer,1,MC)</f>
        <v>0.8741740316491925</v>
      </c>
      <c r="F103" s="76">
        <f t="shared" ref="F103:F109" si="22">(B103/wo)^2*SQRT(Ma*(Ma-1))/SQRT((1-B103^2/wp^2)^2+(B103/wo)^2*(1-B103^2/wo^2)^2*(Ma*(Q*0.4))^2)/IF(answer,1,MC)</f>
        <v>0.91420266358128333</v>
      </c>
      <c r="G103" s="76">
        <f t="shared" ref="G103:G109" si="23">(B103/wo)^2*SQRT(Ma*(Ma-1))/SQRT((1-B103^2/wp^2)^2+(B103/wo)^2*(1-B103^2/wo^2)^2*(Ma*(Q*0.2))^2)/IF(answer,1,MC)</f>
        <v>0.94103104507172819</v>
      </c>
    </row>
    <row r="104" spans="1:7">
      <c r="A104" s="74">
        <f t="shared" si="18"/>
        <v>490.60219254135336</v>
      </c>
      <c r="B104" s="75">
        <f t="shared" si="17"/>
        <v>3080981.7691596993</v>
      </c>
      <c r="C104" s="76">
        <f t="shared" si="19"/>
        <v>0.76588791637863163</v>
      </c>
      <c r="D104" s="76">
        <f t="shared" si="20"/>
        <v>0.8190358457993463</v>
      </c>
      <c r="E104" s="76">
        <f t="shared" si="21"/>
        <v>0.86900241139889312</v>
      </c>
      <c r="F104" s="76">
        <f t="shared" si="22"/>
        <v>0.910867300022564</v>
      </c>
      <c r="G104" s="76">
        <f t="shared" si="23"/>
        <v>0.93909010944160065</v>
      </c>
    </row>
    <row r="105" spans="1:7">
      <c r="A105" s="74">
        <f t="shared" si="18"/>
        <v>499.72316828309022</v>
      </c>
      <c r="B105" s="75">
        <f t="shared" si="17"/>
        <v>3138261.4968178067</v>
      </c>
      <c r="C105" s="76">
        <f t="shared" si="19"/>
        <v>0.75731091768334902</v>
      </c>
      <c r="D105" s="76">
        <f t="shared" si="20"/>
        <v>0.81198488489969067</v>
      </c>
      <c r="E105" s="76">
        <f t="shared" si="21"/>
        <v>0.86379268702003087</v>
      </c>
      <c r="F105" s="76">
        <f t="shared" si="22"/>
        <v>0.9075256405236779</v>
      </c>
      <c r="G105" s="76">
        <f t="shared" si="23"/>
        <v>0.93718487574041109</v>
      </c>
    </row>
    <row r="106" spans="1:7">
      <c r="A106" s="74">
        <f t="shared" si="18"/>
        <v>509.01371562427391</v>
      </c>
      <c r="B106" s="75">
        <f t="shared" si="17"/>
        <v>3196606.1341204401</v>
      </c>
      <c r="C106" s="76">
        <f t="shared" si="19"/>
        <v>0.74872881344502129</v>
      </c>
      <c r="D106" s="76">
        <f t="shared" si="20"/>
        <v>0.80489525178620613</v>
      </c>
      <c r="E106" s="76">
        <f t="shared" si="21"/>
        <v>0.85854234424682085</v>
      </c>
      <c r="F106" s="76">
        <f t="shared" si="22"/>
        <v>0.90417414833085463</v>
      </c>
      <c r="G106" s="76">
        <f t="shared" si="23"/>
        <v>0.93531243479507242</v>
      </c>
    </row>
    <row r="107" spans="1:7">
      <c r="A107" s="74">
        <f t="shared" si="18"/>
        <v>518.47698713631269</v>
      </c>
      <c r="B107" s="75">
        <f t="shared" si="17"/>
        <v>3256035.4792160438</v>
      </c>
      <c r="C107" s="76">
        <f t="shared" si="19"/>
        <v>0.74014384213119</v>
      </c>
      <c r="D107" s="76">
        <f t="shared" si="20"/>
        <v>0.79776704151643052</v>
      </c>
      <c r="E107" s="76">
        <f t="shared" si="21"/>
        <v>0.85324904357346065</v>
      </c>
      <c r="F107" s="76">
        <f t="shared" si="22"/>
        <v>0.90080938469137606</v>
      </c>
      <c r="G107" s="76">
        <f t="shared" si="23"/>
        <v>0.93346996266528837</v>
      </c>
    </row>
    <row r="108" spans="1:7">
      <c r="A108" s="74">
        <f t="shared" si="18"/>
        <v>528.11619400129325</v>
      </c>
      <c r="B108" s="75">
        <f t="shared" si="17"/>
        <v>3316569.6983281216</v>
      </c>
      <c r="C108" s="76">
        <f t="shared" si="19"/>
        <v>0.73155832034036505</v>
      </c>
      <c r="D108" s="76">
        <f t="shared" si="20"/>
        <v>0.79060053934737684</v>
      </c>
      <c r="E108" s="76">
        <f t="shared" si="21"/>
        <v>0.8479106199951868</v>
      </c>
      <c r="F108" s="76">
        <f t="shared" si="22"/>
        <v>0.89742800614498464</v>
      </c>
      <c r="G108" s="76">
        <f t="shared" si="23"/>
        <v>0.93165471478717443</v>
      </c>
    </row>
    <row r="109" spans="1:7">
      <c r="A109" s="74">
        <f t="shared" si="18"/>
        <v>537.93460710163458</v>
      </c>
      <c r="B109" s="75">
        <f t="shared" si="17"/>
        <v>3378229.3325982653</v>
      </c>
      <c r="C109" s="76">
        <f t="shared" si="19"/>
        <v>0.72297463396341111</v>
      </c>
      <c r="D109" s="76">
        <f t="shared" si="20"/>
        <v>0.78339621547233507</v>
      </c>
      <c r="E109" s="76">
        <f t="shared" si="21"/>
        <v>0.8425250828496762</v>
      </c>
      <c r="F109" s="76">
        <f t="shared" si="22"/>
        <v>0.8940267622554211</v>
      </c>
      <c r="G109" s="76">
        <f t="shared" si="23"/>
        <v>0.92986402046985628</v>
      </c>
    </row>
  </sheetData>
  <mergeCells count="1">
    <mergeCell ref="O14:P14"/>
  </mergeCells>
  <phoneticPr fontId="2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50</vt:i4>
      </vt:variant>
    </vt:vector>
  </HeadingPairs>
  <TitlesOfParts>
    <vt:vector size="53" baseType="lpstr">
      <vt:lpstr>FAN7688 Design Tool</vt:lpstr>
      <vt:lpstr>Sheet2</vt:lpstr>
      <vt:lpstr>Sheet3</vt:lpstr>
      <vt:lpstr>Ae</vt:lpstr>
      <vt:lpstr>answer</vt:lpstr>
      <vt:lpstr>Attn1</vt:lpstr>
      <vt:lpstr>attn2</vt:lpstr>
      <vt:lpstr>Bmax</vt:lpstr>
      <vt:lpstr>C.DT</vt:lpstr>
      <vt:lpstr>Cdl</vt:lpstr>
      <vt:lpstr>CICS</vt:lpstr>
      <vt:lpstr>Cout</vt:lpstr>
      <vt:lpstr>Cr</vt:lpstr>
      <vt:lpstr>Crd</vt:lpstr>
      <vt:lpstr>Eff</vt:lpstr>
      <vt:lpstr>ESR</vt:lpstr>
      <vt:lpstr>f_min</vt:lpstr>
      <vt:lpstr>fo</vt:lpstr>
      <vt:lpstr>fod</vt:lpstr>
      <vt:lpstr>fs_nrm</vt:lpstr>
      <vt:lpstr>Io</vt:lpstr>
      <vt:lpstr>Io.olp</vt:lpstr>
      <vt:lpstr>Iocp</vt:lpstr>
      <vt:lpstr>k</vt:lpstr>
      <vt:lpstr>Lp</vt:lpstr>
      <vt:lpstr>Lr</vt:lpstr>
      <vt:lpstr>Lrd</vt:lpstr>
      <vt:lpstr>M_min</vt:lpstr>
      <vt:lpstr>Ma</vt:lpstr>
      <vt:lpstr>MC</vt:lpstr>
      <vt:lpstr>mm</vt:lpstr>
      <vt:lpstr>Mv</vt:lpstr>
      <vt:lpstr>n</vt:lpstr>
      <vt:lpstr>nct</vt:lpstr>
      <vt:lpstr>nn</vt:lpstr>
      <vt:lpstr>Np</vt:lpstr>
      <vt:lpstr>Ns</vt:lpstr>
      <vt:lpstr>Pin</vt:lpstr>
      <vt:lpstr>Po</vt:lpstr>
      <vt:lpstr>Q</vt:lpstr>
      <vt:lpstr>Qd</vt:lpstr>
      <vt:lpstr>R.DT</vt:lpstr>
      <vt:lpstr>Rac</vt:lpstr>
      <vt:lpstr>Ro</vt:lpstr>
      <vt:lpstr>Thu</vt:lpstr>
      <vt:lpstr>u</vt:lpstr>
      <vt:lpstr>VF</vt:lpstr>
      <vt:lpstr>Vin_max</vt:lpstr>
      <vt:lpstr>Vin_min</vt:lpstr>
      <vt:lpstr>wm</vt:lpstr>
      <vt:lpstr>Vo</vt:lpstr>
      <vt:lpstr>wo</vt:lpstr>
      <vt:lpstr>wp</vt:lpstr>
    </vt:vector>
  </TitlesOfParts>
  <Company>Fairchild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Unneback</cp:lastModifiedBy>
  <dcterms:created xsi:type="dcterms:W3CDTF">2015-12-07T23:10:23Z</dcterms:created>
  <dcterms:modified xsi:type="dcterms:W3CDTF">2018-06-04T20:27:06Z</dcterms:modified>
</cp:coreProperties>
</file>