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3256" windowHeight="12432"/>
  </bookViews>
  <sheets>
    <sheet name="Inputs" sheetId="1" r:id="rId1"/>
    <sheet name="Settings" sheetId="3" r:id="rId2"/>
    <sheet name="Calendar View" sheetId="4" r:id="rId3"/>
    <sheet name="pvt Depts" sheetId="6" state="hidden" r:id="rId4"/>
    <sheet name="Calc" sheetId="5" state="hidden" r:id="rId5"/>
  </sheets>
  <definedNames>
    <definedName name="_xlnm._FilterDatabase" localSheetId="0" hidden="1">Inputs!$H$7:$N$31</definedName>
    <definedName name="course.names">courses[Program name]</definedName>
    <definedName name="cur.symbol">Settings!$F$6</definedName>
    <definedName name="cur.type">Settings!$F$9</definedName>
    <definedName name="filters.applied">Calc!$C$6</definedName>
    <definedName name="people.names">people[Name]</definedName>
    <definedName name="ratings">Settings!$D$6:$D$10</definedName>
    <definedName name="selected.depts">Calc!$B$5:$K$5</definedName>
    <definedName name="Slicer_Department">#N/A</definedName>
    <definedName name="training.status">Settings!$B$6:$B$8</definedName>
  </definedNames>
  <calcPr calcId="152511"/>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5" l="1"/>
  <c r="G11" i="5"/>
  <c r="G10" i="5"/>
  <c r="G9" i="5"/>
  <c r="H20" i="5"/>
  <c r="L20" i="5" s="1"/>
  <c r="K5" i="4" s="1"/>
  <c r="E20" i="5" l="1" a="1"/>
  <c r="C20" i="5" l="1"/>
  <c r="E5" i="4" s="1"/>
  <c r="I20" i="5"/>
  <c r="M5" i="4" s="1"/>
  <c r="G20" i="5"/>
  <c r="J5" i="4" s="1"/>
  <c r="C11" i="5"/>
  <c r="D11" i="5" s="1"/>
  <c r="C10" i="5"/>
  <c r="D10" i="5" s="1"/>
  <c r="D28" i="5" s="1"/>
  <c r="C5" i="5"/>
  <c r="D5" i="5"/>
  <c r="E5" i="5"/>
  <c r="F5" i="5"/>
  <c r="G5" i="5"/>
  <c r="H5" i="5"/>
  <c r="I5" i="5"/>
  <c r="J5" i="5"/>
  <c r="K5" i="5"/>
  <c r="B5" i="5"/>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M20" i="5" l="1" a="1"/>
  <c r="M20" i="5" s="1"/>
  <c r="E20" i="5"/>
  <c r="G5" i="4" s="1"/>
  <c r="C6" i="5"/>
  <c r="D30" i="5"/>
  <c r="D38" i="5" s="1" a="1"/>
  <c r="D38" i="5" s="1"/>
  <c r="AB38" i="5" s="1"/>
  <c r="H13" i="4"/>
  <c r="W8" i="1"/>
  <c r="W12" i="1"/>
  <c r="W16" i="1"/>
  <c r="W20" i="1"/>
  <c r="W24" i="1"/>
  <c r="W28" i="1"/>
  <c r="W32" i="1"/>
  <c r="W36" i="1"/>
  <c r="W40" i="1"/>
  <c r="W44" i="1"/>
  <c r="W48" i="1"/>
  <c r="W52" i="1"/>
  <c r="W56" i="1"/>
  <c r="W60" i="1"/>
  <c r="W64" i="1"/>
  <c r="W68" i="1"/>
  <c r="W72" i="1"/>
  <c r="W76" i="1"/>
  <c r="W80" i="1"/>
  <c r="W84" i="1"/>
  <c r="W88" i="1"/>
  <c r="W92" i="1"/>
  <c r="W96" i="1"/>
  <c r="W100" i="1"/>
  <c r="W104" i="1"/>
  <c r="W108" i="1"/>
  <c r="W112" i="1"/>
  <c r="W116" i="1"/>
  <c r="W120" i="1"/>
  <c r="W124" i="1"/>
  <c r="W128" i="1"/>
  <c r="W132" i="1"/>
  <c r="W136" i="1"/>
  <c r="W140" i="1"/>
  <c r="W144" i="1"/>
  <c r="W148" i="1"/>
  <c r="W152" i="1"/>
  <c r="W156" i="1"/>
  <c r="E10" i="1"/>
  <c r="E14" i="1"/>
  <c r="E18" i="1"/>
  <c r="E22" i="1"/>
  <c r="E26" i="1"/>
  <c r="E30" i="1"/>
  <c r="E34" i="1"/>
  <c r="E38" i="1"/>
  <c r="E42" i="1"/>
  <c r="E46" i="1"/>
  <c r="E50" i="1"/>
  <c r="E54" i="1"/>
  <c r="E58" i="1"/>
  <c r="E62" i="1"/>
  <c r="E66" i="1"/>
  <c r="E70" i="1"/>
  <c r="E74" i="1"/>
  <c r="E78" i="1"/>
  <c r="E82" i="1"/>
  <c r="E86" i="1"/>
  <c r="E90" i="1"/>
  <c r="E94" i="1"/>
  <c r="E98" i="1"/>
  <c r="E102" i="1"/>
  <c r="E106" i="1"/>
  <c r="W129" i="1"/>
  <c r="W137" i="1"/>
  <c r="W141" i="1"/>
  <c r="W149" i="1"/>
  <c r="W157" i="1"/>
  <c r="E11" i="1"/>
  <c r="E15" i="1"/>
  <c r="E23" i="1"/>
  <c r="E27" i="1"/>
  <c r="E35" i="1"/>
  <c r="E39" i="1"/>
  <c r="E47" i="1"/>
  <c r="E55" i="1"/>
  <c r="E59" i="1"/>
  <c r="E67" i="1"/>
  <c r="E75" i="1"/>
  <c r="E79" i="1"/>
  <c r="E87" i="1"/>
  <c r="E91" i="1"/>
  <c r="E99" i="1"/>
  <c r="E107" i="1"/>
  <c r="W10" i="1"/>
  <c r="W9" i="1"/>
  <c r="W13" i="1"/>
  <c r="W17" i="1"/>
  <c r="W21" i="1"/>
  <c r="W25" i="1"/>
  <c r="W29" i="1"/>
  <c r="W33" i="1"/>
  <c r="W37" i="1"/>
  <c r="W41" i="1"/>
  <c r="W45" i="1"/>
  <c r="W49" i="1"/>
  <c r="W53" i="1"/>
  <c r="W57" i="1"/>
  <c r="W61" i="1"/>
  <c r="W65" i="1"/>
  <c r="W69" i="1"/>
  <c r="W73" i="1"/>
  <c r="W77" i="1"/>
  <c r="W81" i="1"/>
  <c r="W85" i="1"/>
  <c r="W89" i="1"/>
  <c r="W93" i="1"/>
  <c r="W97" i="1"/>
  <c r="W101" i="1"/>
  <c r="W105" i="1"/>
  <c r="W109" i="1"/>
  <c r="W113" i="1"/>
  <c r="W117" i="1"/>
  <c r="W121" i="1"/>
  <c r="W125" i="1"/>
  <c r="W133" i="1"/>
  <c r="W145" i="1"/>
  <c r="W153" i="1"/>
  <c r="E19" i="1"/>
  <c r="E31" i="1"/>
  <c r="E43" i="1"/>
  <c r="E51" i="1"/>
  <c r="E63" i="1"/>
  <c r="E71" i="1"/>
  <c r="E83" i="1"/>
  <c r="E95" i="1"/>
  <c r="E103" i="1"/>
  <c r="W14" i="1"/>
  <c r="W15" i="1"/>
  <c r="W23" i="1"/>
  <c r="W31" i="1"/>
  <c r="W39" i="1"/>
  <c r="W47" i="1"/>
  <c r="W55" i="1"/>
  <c r="W63" i="1"/>
  <c r="W71" i="1"/>
  <c r="W79" i="1"/>
  <c r="W87" i="1"/>
  <c r="W95" i="1"/>
  <c r="W103" i="1"/>
  <c r="W111" i="1"/>
  <c r="W119" i="1"/>
  <c r="W127" i="1"/>
  <c r="W135" i="1"/>
  <c r="W143" i="1"/>
  <c r="W151" i="1"/>
  <c r="E9" i="1"/>
  <c r="E17" i="1"/>
  <c r="E25" i="1"/>
  <c r="E33" i="1"/>
  <c r="E41" i="1"/>
  <c r="E49" i="1"/>
  <c r="E57" i="1"/>
  <c r="E65" i="1"/>
  <c r="E73" i="1"/>
  <c r="E81" i="1"/>
  <c r="E89" i="1"/>
  <c r="E97" i="1"/>
  <c r="E105" i="1"/>
  <c r="W18" i="1"/>
  <c r="W26" i="1"/>
  <c r="W34" i="1"/>
  <c r="W42" i="1"/>
  <c r="W50" i="1"/>
  <c r="W74" i="1"/>
  <c r="W98" i="1"/>
  <c r="W122" i="1"/>
  <c r="W154" i="1"/>
  <c r="E44" i="1"/>
  <c r="E68" i="1"/>
  <c r="E92" i="1"/>
  <c r="W19" i="1"/>
  <c r="W27" i="1"/>
  <c r="W35" i="1"/>
  <c r="W43" i="1"/>
  <c r="W51" i="1"/>
  <c r="W59" i="1"/>
  <c r="W67" i="1"/>
  <c r="W75" i="1"/>
  <c r="W83" i="1"/>
  <c r="W91" i="1"/>
  <c r="W99" i="1"/>
  <c r="W107" i="1"/>
  <c r="W115" i="1"/>
  <c r="W123" i="1"/>
  <c r="W131" i="1"/>
  <c r="W139" i="1"/>
  <c r="W147" i="1"/>
  <c r="W155" i="1"/>
  <c r="E13" i="1"/>
  <c r="E21" i="1"/>
  <c r="E29" i="1"/>
  <c r="E37" i="1"/>
  <c r="E45" i="1"/>
  <c r="E53" i="1"/>
  <c r="E61" i="1"/>
  <c r="E69" i="1"/>
  <c r="E77" i="1"/>
  <c r="E85" i="1"/>
  <c r="E93" i="1"/>
  <c r="E101" i="1"/>
  <c r="W11" i="1"/>
  <c r="W22" i="1"/>
  <c r="W30" i="1"/>
  <c r="W38" i="1"/>
  <c r="W46" i="1"/>
  <c r="W54" i="1"/>
  <c r="W62" i="1"/>
  <c r="W70" i="1"/>
  <c r="W78" i="1"/>
  <c r="W86" i="1"/>
  <c r="W94" i="1"/>
  <c r="W102" i="1"/>
  <c r="W110" i="1"/>
  <c r="W118" i="1"/>
  <c r="W126" i="1"/>
  <c r="W134" i="1"/>
  <c r="W142" i="1"/>
  <c r="W150" i="1"/>
  <c r="E8" i="1"/>
  <c r="E16" i="1"/>
  <c r="E24" i="1"/>
  <c r="E32" i="1"/>
  <c r="E40" i="1"/>
  <c r="E48" i="1"/>
  <c r="E56" i="1"/>
  <c r="E64" i="1"/>
  <c r="E72" i="1"/>
  <c r="E80" i="1"/>
  <c r="E88" i="1"/>
  <c r="E96" i="1"/>
  <c r="E104" i="1"/>
  <c r="W58" i="1"/>
  <c r="W66" i="1"/>
  <c r="W82" i="1"/>
  <c r="W90" i="1"/>
  <c r="W106" i="1"/>
  <c r="W114" i="1"/>
  <c r="W130" i="1"/>
  <c r="W138" i="1"/>
  <c r="W146" i="1"/>
  <c r="E12" i="1"/>
  <c r="E20" i="1"/>
  <c r="E28" i="1"/>
  <c r="E36" i="1"/>
  <c r="E52" i="1"/>
  <c r="E60" i="1"/>
  <c r="E76" i="1"/>
  <c r="E84" i="1"/>
  <c r="E100" i="1"/>
  <c r="D20" i="5" a="1"/>
  <c r="D20" i="5" s="1"/>
  <c r="F5" i="4" s="1"/>
  <c r="J20" i="5"/>
  <c r="N20" i="5" s="1"/>
  <c r="P5" i="4" s="1"/>
  <c r="C28" i="5"/>
  <c r="D29" i="5"/>
  <c r="D31" i="5" s="1"/>
  <c r="D68" i="5" s="1"/>
  <c r="H10" i="4" s="1"/>
  <c r="E28" i="5"/>
  <c r="D12" i="5"/>
  <c r="M21" i="5" l="1" a="1"/>
  <c r="M21" i="5" s="1"/>
  <c r="J21" i="5"/>
  <c r="E21" i="5" a="1"/>
  <c r="E21" i="5" s="1"/>
  <c r="G6" i="4" s="1"/>
  <c r="C21" i="5"/>
  <c r="E6" i="4" s="1"/>
  <c r="D21" i="5" a="1"/>
  <c r="D21" i="5" s="1"/>
  <c r="F6" i="4" s="1"/>
  <c r="D69" i="5"/>
  <c r="D70" i="5" s="1"/>
  <c r="H11" i="4" s="1"/>
  <c r="C13" i="4"/>
  <c r="M13" i="4"/>
  <c r="K20" i="5"/>
  <c r="O5" i="4" s="1"/>
  <c r="N5" i="4"/>
  <c r="D36" i="5" a="1"/>
  <c r="D36" i="5" s="1"/>
  <c r="AB36" i="5" s="1"/>
  <c r="H61" i="5" s="1"/>
  <c r="H62" i="5" s="1"/>
  <c r="H29" i="4" s="1"/>
  <c r="D41" i="5" a="1"/>
  <c r="D41" i="5" s="1"/>
  <c r="AB41" i="5" s="1"/>
  <c r="D35" i="5" a="1"/>
  <c r="D35" i="5" s="1"/>
  <c r="AB35" i="5" s="1"/>
  <c r="H58" i="5" s="1"/>
  <c r="H25" i="4" s="1"/>
  <c r="L38" i="5"/>
  <c r="D33" i="5" a="1"/>
  <c r="D33" i="5" s="1"/>
  <c r="AB33" i="5" s="1"/>
  <c r="H52" i="5" s="1"/>
  <c r="H53" i="5" s="1"/>
  <c r="H20" i="4" s="1"/>
  <c r="H38" i="5"/>
  <c r="AN38" i="5" s="1"/>
  <c r="D37" i="5" a="1"/>
  <c r="D37" i="5" s="1"/>
  <c r="AB37" i="5" s="1"/>
  <c r="D34" i="5" a="1"/>
  <c r="D34" i="5" s="1"/>
  <c r="AB34" i="5" s="1"/>
  <c r="H55" i="5" s="1"/>
  <c r="X38" i="5"/>
  <c r="D40" i="5" a="1"/>
  <c r="D40" i="5" s="1"/>
  <c r="AB40" i="5" s="1"/>
  <c r="D39" i="5" a="1"/>
  <c r="D39" i="5" s="1"/>
  <c r="AB39" i="5" s="1"/>
  <c r="D32" i="5" a="1"/>
  <c r="D32" i="5" s="1"/>
  <c r="AB32" i="5" s="1"/>
  <c r="H49" i="5" s="1"/>
  <c r="AF38" i="5"/>
  <c r="E29" i="5"/>
  <c r="E31" i="5" s="1"/>
  <c r="E68" i="5" s="1"/>
  <c r="M10" i="4" s="1"/>
  <c r="E30" i="5"/>
  <c r="C29" i="5"/>
  <c r="C31" i="5" s="1"/>
  <c r="C68" i="5" s="1"/>
  <c r="C10" i="4" s="1"/>
  <c r="C30" i="5"/>
  <c r="C32" i="5" s="1" a="1"/>
  <c r="C32" i="5" s="1"/>
  <c r="N21" i="5" l="1"/>
  <c r="P6" i="4" s="1"/>
  <c r="N6" i="4"/>
  <c r="E69" i="5"/>
  <c r="E70" i="5" s="1"/>
  <c r="M11" i="4" s="1"/>
  <c r="C69" i="5"/>
  <c r="C70" i="5" s="1"/>
  <c r="C11" i="4" s="1"/>
  <c r="P38" i="5"/>
  <c r="T38" i="5" s="1"/>
  <c r="AJ38" i="5"/>
  <c r="H36" i="5"/>
  <c r="H28" i="4"/>
  <c r="X36" i="5"/>
  <c r="H60" i="5" s="1"/>
  <c r="H27" i="4" s="1"/>
  <c r="AF36" i="5"/>
  <c r="L36" i="5"/>
  <c r="AF35" i="5"/>
  <c r="H59" i="5"/>
  <c r="H26" i="4" s="1"/>
  <c r="L35" i="5"/>
  <c r="H41" i="5"/>
  <c r="AN41" i="5" s="1"/>
  <c r="AF41" i="5"/>
  <c r="L41" i="5"/>
  <c r="X41" i="5"/>
  <c r="AF32" i="5"/>
  <c r="H35" i="5"/>
  <c r="X35" i="5"/>
  <c r="H57" i="5" s="1"/>
  <c r="H24" i="4" s="1"/>
  <c r="AF39" i="5"/>
  <c r="AF40" i="5"/>
  <c r="H19" i="4"/>
  <c r="X34" i="5"/>
  <c r="H54" i="5" s="1"/>
  <c r="H21" i="4" s="1"/>
  <c r="AF34" i="5"/>
  <c r="L34" i="5"/>
  <c r="H32" i="5"/>
  <c r="H34" i="5"/>
  <c r="X33" i="5"/>
  <c r="H51" i="5" s="1"/>
  <c r="H18" i="4" s="1"/>
  <c r="H33" i="5"/>
  <c r="AF33" i="5"/>
  <c r="L33" i="5"/>
  <c r="H37" i="5"/>
  <c r="AN37" i="5" s="1"/>
  <c r="H39" i="5"/>
  <c r="AN39" i="5" s="1"/>
  <c r="X37" i="5"/>
  <c r="L37" i="5"/>
  <c r="L39" i="5"/>
  <c r="X39" i="5"/>
  <c r="AF37" i="5"/>
  <c r="L40" i="5"/>
  <c r="H40" i="5"/>
  <c r="AN40" i="5" s="1"/>
  <c r="H50" i="5"/>
  <c r="H17" i="4" s="1"/>
  <c r="H16" i="4"/>
  <c r="H56" i="5"/>
  <c r="H23" i="4" s="1"/>
  <c r="H22" i="4"/>
  <c r="L32" i="5"/>
  <c r="X32" i="5"/>
  <c r="H48" i="5" s="1"/>
  <c r="H15" i="4" s="1"/>
  <c r="X40" i="5"/>
  <c r="E37" i="5" a="1"/>
  <c r="E37" i="5" s="1"/>
  <c r="AC37" i="5" s="1"/>
  <c r="E39" i="5" a="1"/>
  <c r="E39" i="5" s="1"/>
  <c r="AC39" i="5" s="1"/>
  <c r="E36" i="5" a="1"/>
  <c r="E36" i="5" s="1"/>
  <c r="AC36" i="5" s="1"/>
  <c r="I61" i="5" s="1"/>
  <c r="E34" i="5" a="1"/>
  <c r="E34" i="5" s="1"/>
  <c r="AC34" i="5" s="1"/>
  <c r="I55" i="5" s="1"/>
  <c r="E32" i="5" a="1"/>
  <c r="E32" i="5" s="1"/>
  <c r="AC32" i="5" s="1"/>
  <c r="I49" i="5" s="1"/>
  <c r="E33" i="5" a="1"/>
  <c r="E33" i="5" s="1"/>
  <c r="AC33" i="5" s="1"/>
  <c r="I52" i="5" s="1"/>
  <c r="E38" i="5" a="1"/>
  <c r="E38" i="5" s="1"/>
  <c r="AC38" i="5" s="1"/>
  <c r="E40" i="5" a="1"/>
  <c r="E40" i="5" s="1"/>
  <c r="AC40" i="5" s="1"/>
  <c r="E41" i="5" a="1"/>
  <c r="E41" i="5" s="1"/>
  <c r="AC41" i="5" s="1"/>
  <c r="E35" i="5" a="1"/>
  <c r="E35" i="5" s="1"/>
  <c r="AC35" i="5" s="1"/>
  <c r="I58" i="5" s="1"/>
  <c r="C37" i="5" a="1"/>
  <c r="C37" i="5" s="1"/>
  <c r="AA37" i="5" s="1"/>
  <c r="C39" i="5" a="1"/>
  <c r="C39" i="5" s="1"/>
  <c r="AA39" i="5" s="1"/>
  <c r="C41" i="5" a="1"/>
  <c r="C41" i="5" s="1"/>
  <c r="AA41" i="5" s="1"/>
  <c r="C34" i="5" a="1"/>
  <c r="C34" i="5" s="1"/>
  <c r="AA34" i="5" s="1"/>
  <c r="G55" i="5" s="1"/>
  <c r="C36" i="5" a="1"/>
  <c r="C36" i="5" s="1"/>
  <c r="AA36" i="5" s="1"/>
  <c r="G61" i="5" s="1"/>
  <c r="C35" i="5" a="1"/>
  <c r="C35" i="5" s="1"/>
  <c r="AA35" i="5" s="1"/>
  <c r="G58" i="5" s="1"/>
  <c r="AA32" i="5"/>
  <c r="G49" i="5" s="1"/>
  <c r="C38" i="5" a="1"/>
  <c r="C38" i="5" s="1"/>
  <c r="AA38" i="5" s="1"/>
  <c r="C40" i="5" a="1"/>
  <c r="C40" i="5" s="1"/>
  <c r="AA40" i="5" s="1"/>
  <c r="C33" i="5" a="1"/>
  <c r="C33" i="5" s="1"/>
  <c r="AA33" i="5" s="1"/>
  <c r="G52" i="5" s="1"/>
  <c r="AN34" i="5" l="1"/>
  <c r="P56" i="5" s="1" a="1"/>
  <c r="P56" i="5" s="1"/>
  <c r="AN32" i="5"/>
  <c r="P50" i="5" s="1" a="1"/>
  <c r="P50" i="5" s="1"/>
  <c r="AN35" i="5"/>
  <c r="P59" i="5" s="1" a="1"/>
  <c r="P59" i="5" s="1"/>
  <c r="AN33" i="5"/>
  <c r="P53" i="5" s="1" a="1"/>
  <c r="P53" i="5" s="1"/>
  <c r="AN36" i="5"/>
  <c r="P62" i="5" s="1" a="1"/>
  <c r="P62" i="5" s="1"/>
  <c r="L54" i="5"/>
  <c r="I21" i="4" s="1"/>
  <c r="L48" i="5"/>
  <c r="L49" i="5" s="1"/>
  <c r="L51" i="5"/>
  <c r="I18" i="4" s="1"/>
  <c r="L57" i="5"/>
  <c r="L60" i="5"/>
  <c r="L61" i="5" s="1"/>
  <c r="I28" i="4" s="1"/>
  <c r="P40" i="5"/>
  <c r="T40" i="5" s="1"/>
  <c r="AJ40" i="5"/>
  <c r="P37" i="5"/>
  <c r="T37" i="5" s="1"/>
  <c r="AJ37" i="5"/>
  <c r="P41" i="5"/>
  <c r="T41" i="5" s="1"/>
  <c r="AJ41" i="5"/>
  <c r="AJ36" i="5"/>
  <c r="AJ34" i="5"/>
  <c r="AJ32" i="5"/>
  <c r="P39" i="5"/>
  <c r="T39" i="5" s="1"/>
  <c r="AJ39" i="5"/>
  <c r="AJ33" i="5"/>
  <c r="AJ35" i="5"/>
  <c r="P36" i="5"/>
  <c r="T36" i="5" s="1"/>
  <c r="P34" i="5"/>
  <c r="T34" i="5" s="1"/>
  <c r="P35" i="5"/>
  <c r="T35" i="5" s="1"/>
  <c r="P32" i="5"/>
  <c r="P33" i="5"/>
  <c r="T33" i="5" s="1"/>
  <c r="C28" i="4"/>
  <c r="G62" i="5"/>
  <c r="C29" i="4" s="1"/>
  <c r="I62" i="5"/>
  <c r="M29" i="4" s="1"/>
  <c r="M28" i="4"/>
  <c r="C22" i="4"/>
  <c r="G56" i="5"/>
  <c r="C23" i="4" s="1"/>
  <c r="M25" i="4"/>
  <c r="I59" i="5"/>
  <c r="M26" i="4" s="1"/>
  <c r="M19" i="4"/>
  <c r="I53" i="5"/>
  <c r="M20" i="4" s="1"/>
  <c r="G50" i="5"/>
  <c r="C17" i="4" s="1"/>
  <c r="C16" i="4"/>
  <c r="I50" i="5"/>
  <c r="M17" i="4" s="1"/>
  <c r="M16" i="4"/>
  <c r="G53" i="5"/>
  <c r="C20" i="4" s="1"/>
  <c r="C19" i="4"/>
  <c r="C25" i="4"/>
  <c r="G59" i="5"/>
  <c r="C26" i="4" s="1"/>
  <c r="I56" i="5"/>
  <c r="M23" i="4" s="1"/>
  <c r="M22" i="4"/>
  <c r="AE33" i="5"/>
  <c r="W33" i="5"/>
  <c r="G51" i="5" s="1"/>
  <c r="C18" i="4" s="1"/>
  <c r="AE39" i="5"/>
  <c r="W39" i="5"/>
  <c r="AG34" i="5"/>
  <c r="Y34" i="5"/>
  <c r="I54" i="5" s="1"/>
  <c r="M21" i="4" s="1"/>
  <c r="AE36" i="5"/>
  <c r="W36" i="5"/>
  <c r="G60" i="5" s="1"/>
  <c r="C27" i="4" s="1"/>
  <c r="AG38" i="5"/>
  <c r="Y38" i="5"/>
  <c r="AE38" i="5"/>
  <c r="W38" i="5"/>
  <c r="AE34" i="5"/>
  <c r="W34" i="5"/>
  <c r="G54" i="5" s="1"/>
  <c r="C21" i="4" s="1"/>
  <c r="AG35" i="5"/>
  <c r="Y35" i="5"/>
  <c r="I57" i="5" s="1"/>
  <c r="M24" i="4" s="1"/>
  <c r="AG33" i="5"/>
  <c r="Y33" i="5"/>
  <c r="I51" i="5" s="1"/>
  <c r="M18" i="4" s="1"/>
  <c r="AG39" i="5"/>
  <c r="Y39" i="5"/>
  <c r="AE35" i="5"/>
  <c r="W35" i="5"/>
  <c r="G57" i="5" s="1"/>
  <c r="C24" i="4" s="1"/>
  <c r="AG40" i="5"/>
  <c r="Y40" i="5"/>
  <c r="AE40" i="5"/>
  <c r="W40" i="5"/>
  <c r="AE37" i="5"/>
  <c r="W37" i="5"/>
  <c r="AG36" i="5"/>
  <c r="Y36" i="5"/>
  <c r="I60" i="5" s="1"/>
  <c r="M27" i="4" s="1"/>
  <c r="AE32" i="5"/>
  <c r="W32" i="5"/>
  <c r="G48" i="5" s="1"/>
  <c r="C15" i="4" s="1"/>
  <c r="AE41" i="5"/>
  <c r="W41" i="5"/>
  <c r="AG41" i="5"/>
  <c r="Y41" i="5"/>
  <c r="AG32" i="5"/>
  <c r="Y32" i="5"/>
  <c r="I48" i="5" s="1"/>
  <c r="M15" i="4" s="1"/>
  <c r="AG37" i="5"/>
  <c r="Y37" i="5"/>
  <c r="K33" i="5"/>
  <c r="G33" i="5"/>
  <c r="K35" i="5"/>
  <c r="G35" i="5"/>
  <c r="K39" i="5"/>
  <c r="G39" i="5"/>
  <c r="AM39" i="5" s="1"/>
  <c r="M40" i="5"/>
  <c r="I40" i="5"/>
  <c r="AO40" i="5" s="1"/>
  <c r="M34" i="5"/>
  <c r="I34" i="5"/>
  <c r="K40" i="5"/>
  <c r="G40" i="5"/>
  <c r="AM40" i="5" s="1"/>
  <c r="K36" i="5"/>
  <c r="G36" i="5"/>
  <c r="K37" i="5"/>
  <c r="G37" i="5"/>
  <c r="AM37" i="5" s="1"/>
  <c r="M38" i="5"/>
  <c r="I38" i="5"/>
  <c r="AO38" i="5" s="1"/>
  <c r="M36" i="5"/>
  <c r="I36" i="5"/>
  <c r="K38" i="5"/>
  <c r="G38" i="5"/>
  <c r="AM38" i="5" s="1"/>
  <c r="K34" i="5"/>
  <c r="G34" i="5"/>
  <c r="M35" i="5"/>
  <c r="I35" i="5"/>
  <c r="I33" i="5"/>
  <c r="M33" i="5"/>
  <c r="M39" i="5"/>
  <c r="I39" i="5"/>
  <c r="AO39" i="5" s="1"/>
  <c r="K32" i="5"/>
  <c r="G32" i="5"/>
  <c r="K41" i="5"/>
  <c r="G41" i="5"/>
  <c r="AM41" i="5" s="1"/>
  <c r="I41" i="5"/>
  <c r="AO41" i="5" s="1"/>
  <c r="M41" i="5"/>
  <c r="M32" i="5"/>
  <c r="I32" i="5"/>
  <c r="I37" i="5"/>
  <c r="AO37" i="5" s="1"/>
  <c r="M37" i="5"/>
  <c r="AO32" i="5" l="1"/>
  <c r="Q50" i="5" s="1" a="1"/>
  <c r="Q50" i="5" s="1"/>
  <c r="AO35" i="5"/>
  <c r="Q59" i="5" s="1" a="1"/>
  <c r="Q59" i="5" s="1"/>
  <c r="AM36" i="5"/>
  <c r="O62" i="5" s="1" a="1"/>
  <c r="O62" i="5" s="1"/>
  <c r="AO34" i="5"/>
  <c r="Q56" i="5" s="1" a="1"/>
  <c r="Q56" i="5" s="1"/>
  <c r="AM33" i="5"/>
  <c r="O53" i="5" s="1" a="1"/>
  <c r="O53" i="5" s="1"/>
  <c r="AO33" i="5"/>
  <c r="Q53" i="5" s="1" a="1"/>
  <c r="Q53" i="5" s="1"/>
  <c r="AM32" i="5"/>
  <c r="O50" i="5" s="1" a="1"/>
  <c r="O50" i="5" s="1"/>
  <c r="AM34" i="5"/>
  <c r="O56" i="5" s="1" a="1"/>
  <c r="O56" i="5" s="1"/>
  <c r="AO36" i="5"/>
  <c r="Q62" i="5" s="1" a="1"/>
  <c r="Q62" i="5" s="1"/>
  <c r="AM35" i="5"/>
  <c r="O59" i="5" s="1" a="1"/>
  <c r="O59" i="5" s="1"/>
  <c r="L55" i="5"/>
  <c r="I22" i="4" s="1"/>
  <c r="T53" i="5"/>
  <c r="K20" i="4" s="1"/>
  <c r="T56" i="5"/>
  <c r="K23" i="4" s="1"/>
  <c r="T62" i="5"/>
  <c r="K29" i="4" s="1"/>
  <c r="T59" i="5"/>
  <c r="K26" i="4" s="1"/>
  <c r="T50" i="5"/>
  <c r="K17" i="4" s="1"/>
  <c r="L62" i="5"/>
  <c r="I29" i="4" s="1"/>
  <c r="I27" i="4"/>
  <c r="L59" i="5"/>
  <c r="I26" i="4" s="1"/>
  <c r="I24" i="4"/>
  <c r="L52" i="5"/>
  <c r="I19" i="4" s="1"/>
  <c r="I15" i="4"/>
  <c r="AI32" i="5"/>
  <c r="K54" i="5"/>
  <c r="M60" i="5"/>
  <c r="K57" i="5"/>
  <c r="M51" i="5"/>
  <c r="L58" i="5"/>
  <c r="I25" i="4" s="1"/>
  <c r="M48" i="5"/>
  <c r="N15" i="4" s="1"/>
  <c r="M57" i="5"/>
  <c r="K60" i="5"/>
  <c r="D27" i="4" s="1"/>
  <c r="M54" i="5"/>
  <c r="K51" i="5"/>
  <c r="D18" i="4" s="1"/>
  <c r="L56" i="5"/>
  <c r="I23" i="4" s="1"/>
  <c r="L53" i="5"/>
  <c r="I20" i="4" s="1"/>
  <c r="T32" i="5"/>
  <c r="L50" i="5" s="1"/>
  <c r="I17" i="4" s="1"/>
  <c r="D71" i="5"/>
  <c r="D72" i="5"/>
  <c r="Q37" i="5"/>
  <c r="U37" i="5" s="1"/>
  <c r="AK37" i="5"/>
  <c r="Q41" i="5"/>
  <c r="U41" i="5" s="1"/>
  <c r="AK41" i="5"/>
  <c r="AK33" i="5"/>
  <c r="AK32" i="5"/>
  <c r="O41" i="5"/>
  <c r="S41" i="5" s="1"/>
  <c r="AI41" i="5"/>
  <c r="Q39" i="5"/>
  <c r="U39" i="5" s="1"/>
  <c r="AK39" i="5"/>
  <c r="AK35" i="5"/>
  <c r="O38" i="5"/>
  <c r="S38" i="5" s="1"/>
  <c r="AI38" i="5"/>
  <c r="Q38" i="5"/>
  <c r="U38" i="5" s="1"/>
  <c r="AK38" i="5"/>
  <c r="AI36" i="5"/>
  <c r="AK34" i="5"/>
  <c r="O39" i="5"/>
  <c r="S39" i="5" s="1"/>
  <c r="AI39" i="5"/>
  <c r="AI33" i="5"/>
  <c r="I16" i="4"/>
  <c r="AI34" i="5"/>
  <c r="AK36" i="5"/>
  <c r="O37" i="5"/>
  <c r="S37" i="5" s="1"/>
  <c r="AI37" i="5"/>
  <c r="O40" i="5"/>
  <c r="S40" i="5" s="1"/>
  <c r="AI40" i="5"/>
  <c r="Q40" i="5"/>
  <c r="U40" i="5" s="1"/>
  <c r="AK40" i="5"/>
  <c r="AI35" i="5"/>
  <c r="Q32" i="5"/>
  <c r="Q35" i="5"/>
  <c r="U35" i="5" s="1"/>
  <c r="O36" i="5"/>
  <c r="S36" i="5" s="1"/>
  <c r="Q34" i="5"/>
  <c r="U34" i="5" s="1"/>
  <c r="O33" i="5"/>
  <c r="S33" i="5" s="1"/>
  <c r="O32" i="5"/>
  <c r="K48" i="5"/>
  <c r="K49" i="5" s="1"/>
  <c r="O34" i="5"/>
  <c r="S34" i="5" s="1"/>
  <c r="Q36" i="5"/>
  <c r="U36" i="5" s="1"/>
  <c r="O35" i="5"/>
  <c r="S35" i="5" s="1"/>
  <c r="Q33" i="5"/>
  <c r="U33" i="5" s="1"/>
  <c r="D74" i="5" l="1"/>
  <c r="K11" i="4" s="1"/>
  <c r="U62" i="5"/>
  <c r="P29" i="4" s="1"/>
  <c r="S59" i="5"/>
  <c r="F26" i="4" s="1"/>
  <c r="U50" i="5"/>
  <c r="P17" i="4" s="1"/>
  <c r="U56" i="5"/>
  <c r="P23" i="4" s="1"/>
  <c r="U53" i="5"/>
  <c r="P20" i="4" s="1"/>
  <c r="S50" i="5"/>
  <c r="F17" i="4" s="1"/>
  <c r="S53" i="5"/>
  <c r="F20" i="4" s="1"/>
  <c r="S62" i="5"/>
  <c r="F29" i="4" s="1"/>
  <c r="U59" i="5"/>
  <c r="P26" i="4" s="1"/>
  <c r="S56" i="5"/>
  <c r="F23" i="4" s="1"/>
  <c r="M61" i="5"/>
  <c r="N28" i="4" s="1"/>
  <c r="N27" i="4"/>
  <c r="K62" i="5"/>
  <c r="D29" i="4" s="1"/>
  <c r="M55" i="5"/>
  <c r="N22" i="4" s="1"/>
  <c r="N21" i="4"/>
  <c r="K55" i="5"/>
  <c r="D22" i="4" s="1"/>
  <c r="D21" i="4"/>
  <c r="M59" i="5"/>
  <c r="N26" i="4" s="1"/>
  <c r="N24" i="4"/>
  <c r="K59" i="5"/>
  <c r="D26" i="4" s="1"/>
  <c r="D24" i="4"/>
  <c r="M49" i="5"/>
  <c r="N16" i="4" s="1"/>
  <c r="M52" i="5"/>
  <c r="N19" i="4" s="1"/>
  <c r="N18" i="4"/>
  <c r="M62" i="5"/>
  <c r="N29" i="4" s="1"/>
  <c r="K61" i="5"/>
  <c r="D28" i="4" s="1"/>
  <c r="K52" i="5"/>
  <c r="D19" i="4" s="1"/>
  <c r="K58" i="5"/>
  <c r="D25" i="4" s="1"/>
  <c r="M56" i="5"/>
  <c r="N23" i="4" s="1"/>
  <c r="M58" i="5"/>
  <c r="N25" i="4" s="1"/>
  <c r="D73" i="5"/>
  <c r="K10" i="4" s="1"/>
  <c r="K53" i="5"/>
  <c r="D20" i="4" s="1"/>
  <c r="K56" i="5"/>
  <c r="D23" i="4" s="1"/>
  <c r="M53" i="5"/>
  <c r="N20" i="4" s="1"/>
  <c r="S32" i="5"/>
  <c r="K50" i="5" s="1"/>
  <c r="D17" i="4" s="1"/>
  <c r="C71" i="5"/>
  <c r="U32" i="5"/>
  <c r="M50" i="5" s="1"/>
  <c r="N17" i="4" s="1"/>
  <c r="E71" i="5"/>
  <c r="C72" i="5"/>
  <c r="E72" i="5"/>
  <c r="D15" i="4"/>
  <c r="D16" i="4"/>
  <c r="E74" i="5" l="1"/>
  <c r="P11" i="4" s="1"/>
  <c r="C74" i="5"/>
  <c r="F11" i="4" s="1"/>
  <c r="E73" i="5"/>
  <c r="P10" i="4" s="1"/>
  <c r="C73" i="5"/>
  <c r="F10" i="4" s="1"/>
</calcChain>
</file>

<file path=xl/sharedStrings.xml><?xml version="1.0" encoding="utf-8"?>
<sst xmlns="http://schemas.openxmlformats.org/spreadsheetml/2006/main" count="1064" uniqueCount="351">
  <si>
    <t>Training Tracker</t>
  </si>
  <si>
    <t>Input data</t>
  </si>
  <si>
    <t>People (trainees)</t>
  </si>
  <si>
    <t>ID</t>
  </si>
  <si>
    <t>Name</t>
  </si>
  <si>
    <t>Department</t>
  </si>
  <si>
    <t>Training programs (courses)</t>
  </si>
  <si>
    <t>Program name</t>
  </si>
  <si>
    <t>Duration</t>
  </si>
  <si>
    <t>Cost</t>
  </si>
  <si>
    <t>Trainer</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</si>
  <si>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</si>
  <si>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</si>
  <si>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</si>
  <si>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</si>
  <si>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</si>
  <si>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</si>
  <si>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</si>
  <si>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</si>
  <si>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</si>
  <si>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</si>
  <si>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</si>
  <si>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</si>
  <si>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</si>
  <si>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</si>
  <si>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</si>
  <si>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</si>
  <si>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</si>
  <si>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</si>
  <si>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</si>
  <si>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</si>
  <si>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</si>
  <si>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</si>
  <si>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</si>
  <si>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</si>
  <si>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</si>
  <si>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</si>
  <si>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</si>
  <si>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</si>
  <si>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</si>
  <si>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</si>
  <si>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</si>
  <si>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</si>
  <si>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</si>
  <si>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</si>
  <si>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</si>
  <si>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</si>
  <si>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</si>
  <si>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</si>
  <si>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</si>
  <si>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</si>
  <si>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</si>
  <si>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</si>
  <si>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</si>
  <si>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</si>
  <si>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</si>
  <si>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</si>
  <si>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</si>
  <si>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</si>
  <si>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</si>
  <si>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</si>
  <si>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</si>
  <si>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</si>
  <si>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</si>
  <si>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</si>
  <si>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</si>
  <si>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</si>
  <si>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</si>
  <si>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</si>
  <si>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</si>
  <si>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</si>
  <si>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</si>
  <si>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</si>
  <si>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</si>
  <si>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</si>
  <si>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</si>
  <si>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</si>
  <si>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</si>
  <si>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</si>
  <si>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</si>
  <si>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</si>
  <si>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</si>
  <si>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</si>
  <si>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</si>
  <si>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</si>
  <si>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</si>
  <si>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</si>
  <si>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</si>
  <si>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</si>
  <si>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</si>
  <si>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</si>
  <si>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</si>
  <si>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</si>
  <si>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</si>
  <si>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</si>
  <si>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</si>
  <si>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</si>
  <si>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</si>
  <si>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</si>
  <si>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</si>
  <si>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</si>
  <si>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</si>
  <si>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</si>
  <si>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</si>
  <si>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</si>
  <si>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</si>
  <si>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</si>
  <si>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</si>
  <si>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</si>
  <si>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</si>
  <si>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</si>
  <si>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Barclay Romero</t>
  </si>
  <si>
    <t>Karly Barron</t>
  </si>
  <si>
    <t>Lance Kirkland</t>
  </si>
  <si>
    <t>Mira Perkins</t>
  </si>
  <si>
    <t>Conan Lopez</t>
  </si>
  <si>
    <t>Lionel Joseph</t>
  </si>
  <si>
    <t>Basia David</t>
  </si>
  <si>
    <t>Avye Kelly</t>
  </si>
  <si>
    <t>Kamal Pope</t>
  </si>
  <si>
    <t>Kay Rios</t>
  </si>
  <si>
    <t>Dorothy Pena</t>
  </si>
  <si>
    <t>Ivory Sloan</t>
  </si>
  <si>
    <t>Ali Hernandez</t>
  </si>
  <si>
    <t>Harrison Ross</t>
  </si>
  <si>
    <t>Kellie Ferrell</t>
  </si>
  <si>
    <t>George Mcleod</t>
  </si>
  <si>
    <t>Lydia Wolfe</t>
  </si>
  <si>
    <t>Ciaran Becker</t>
  </si>
  <si>
    <t>Nehru Acosta</t>
  </si>
  <si>
    <t>Stone Pickett</t>
  </si>
  <si>
    <t>Rashad Hobbs</t>
  </si>
  <si>
    <t>Edward Glenn</t>
  </si>
  <si>
    <t>Jordan Schneider</t>
  </si>
  <si>
    <t>Asher Workman</t>
  </si>
  <si>
    <t>Otto Burke</t>
  </si>
  <si>
    <t>David Hernandez</t>
  </si>
  <si>
    <t>Charity Gross</t>
  </si>
  <si>
    <t>Yoshio Pierce</t>
  </si>
  <si>
    <t>Hiroko Bird</t>
  </si>
  <si>
    <t>Yeo Garrison</t>
  </si>
  <si>
    <t>Emmanuel Maldonado</t>
  </si>
  <si>
    <t>Ahmed Cortez</t>
  </si>
  <si>
    <t>Cole Shelton</t>
  </si>
  <si>
    <t>Nyssa England</t>
  </si>
  <si>
    <t>Nicole Davidson</t>
  </si>
  <si>
    <t>Salvador Small</t>
  </si>
  <si>
    <t>Kenneth Gallagher</t>
  </si>
  <si>
    <t>Madonna Hines</t>
  </si>
  <si>
    <t>Timon Armstrong</t>
  </si>
  <si>
    <t>Quamar Ramos</t>
  </si>
  <si>
    <t>Demetria Wiley</t>
  </si>
  <si>
    <t>Perry Schmidt</t>
  </si>
  <si>
    <t>Gregory Odom</t>
  </si>
  <si>
    <t>Kyla Spears</t>
  </si>
  <si>
    <t>Keith Mccarty</t>
  </si>
  <si>
    <t>Mallory Carlson</t>
  </si>
  <si>
    <t>Zeph Gill</t>
  </si>
  <si>
    <t>Barbara Mcconnell</t>
  </si>
  <si>
    <t>Bruce Day</t>
  </si>
  <si>
    <t>Noelani Snyder</t>
  </si>
  <si>
    <t>Perry Ray</t>
  </si>
  <si>
    <t>Bevis Mcpherson</t>
  </si>
  <si>
    <t>Stone Meadows</t>
  </si>
  <si>
    <t>Guinevere Reilly</t>
  </si>
  <si>
    <t>Prescott Mcknight</t>
  </si>
  <si>
    <t>Halee Middleton</t>
  </si>
  <si>
    <t>Kieran Wilson</t>
  </si>
  <si>
    <t>Brooke Odom</t>
  </si>
  <si>
    <t>Abel Sherman</t>
  </si>
  <si>
    <t>Winifred Vaughn</t>
  </si>
  <si>
    <t>Eu Dolor Egestas Inc.</t>
  </si>
  <si>
    <t>Ryan Walton</t>
  </si>
  <si>
    <t>Morbi Tristique Industries</t>
  </si>
  <si>
    <t>Colleen Bryan</t>
  </si>
  <si>
    <t>Sylvester Pittman</t>
  </si>
  <si>
    <t>Interdum Company</t>
  </si>
  <si>
    <t>Kathleen Chan</t>
  </si>
  <si>
    <t>Colorado Fields</t>
  </si>
  <si>
    <t>Metus In Nec Foundation</t>
  </si>
  <si>
    <t>Lacus Pede Company</t>
  </si>
  <si>
    <t>Roary Snyder</t>
  </si>
  <si>
    <t>Quisque PC</t>
  </si>
  <si>
    <t>Elmo Monroe</t>
  </si>
  <si>
    <t>Libero At Auctor Associates</t>
  </si>
  <si>
    <t>Veda Bruce</t>
  </si>
  <si>
    <t>Nulla Eu Incorporated</t>
  </si>
  <si>
    <t>Tiger Bauer</t>
  </si>
  <si>
    <t>Vivamus Industries</t>
  </si>
  <si>
    <t>Edan Barton</t>
  </si>
  <si>
    <t>Imelda Herring</t>
  </si>
  <si>
    <t>Joseph Woods</t>
  </si>
  <si>
    <t>Robin Blackburn</t>
  </si>
  <si>
    <t>Callie Jefferson</t>
  </si>
  <si>
    <t>Ira Lynch</t>
  </si>
  <si>
    <t>Castor Whitney</t>
  </si>
  <si>
    <t>Iris Bernard</t>
  </si>
  <si>
    <t>Jade Weber</t>
  </si>
  <si>
    <t>Quinlan Mcbride</t>
  </si>
  <si>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</si>
  <si>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</si>
  <si>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</si>
  <si>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</si>
  <si>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</si>
  <si>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</si>
  <si>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</si>
  <si>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</si>
  <si>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</si>
  <si>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</si>
  <si>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</si>
  <si>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</si>
  <si>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</si>
  <si>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</si>
  <si>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</si>
  <si>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</si>
  <si>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</si>
  <si>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</si>
  <si>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</si>
  <si>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</si>
  <si>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</si>
  <si>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Advanced Sales Methods</t>
  </si>
  <si>
    <t>Basic Business Skills</t>
  </si>
  <si>
    <t>Basic Sales Skills</t>
  </si>
  <si>
    <t>Advanced People Management Skills</t>
  </si>
  <si>
    <t>Advanced Business Techniques</t>
  </si>
  <si>
    <t>Advanced People Management Techniques</t>
  </si>
  <si>
    <t>Basic IT Methods</t>
  </si>
  <si>
    <t>Basic Advertising Techniques</t>
  </si>
  <si>
    <t>Advanced IT Techniques</t>
  </si>
  <si>
    <t>Advanced People Management Methods</t>
  </si>
  <si>
    <t>Basic Advertising Methods</t>
  </si>
  <si>
    <t>Basic People Management Techniques</t>
  </si>
  <si>
    <t>Basic People Management Skills</t>
  </si>
  <si>
    <t>Advanced IT Skills</t>
  </si>
  <si>
    <t>Advanced Project Management Skills</t>
  </si>
  <si>
    <t>Basic People Management Methods</t>
  </si>
  <si>
    <t>Basic Advertising Skills</t>
  </si>
  <si>
    <t>Advanced Business Methods</t>
  </si>
  <si>
    <t>Advanced Advertising Skills</t>
  </si>
  <si>
    <t>Basic Project Management Methods</t>
  </si>
  <si>
    <t>Advanced Sales Techniques</t>
  </si>
  <si>
    <t>Operations</t>
  </si>
  <si>
    <t>Marketing</t>
  </si>
  <si>
    <t>IT</t>
  </si>
  <si>
    <t>Finance</t>
  </si>
  <si>
    <t>Sales</t>
  </si>
  <si>
    <t>HR</t>
  </si>
  <si>
    <t>Date</t>
  </si>
  <si>
    <t>Person Name</t>
  </si>
  <si>
    <t>Program Name</t>
  </si>
  <si>
    <t>Status</t>
  </si>
  <si>
    <t>Feedback Rating</t>
  </si>
  <si>
    <t>People Training Mapping (tracker)</t>
  </si>
  <si>
    <t>Settings</t>
  </si>
  <si>
    <t>Training Statuses</t>
  </si>
  <si>
    <t>Nominated</t>
  </si>
  <si>
    <t>Attended</t>
  </si>
  <si>
    <t>Cancelled</t>
  </si>
  <si>
    <t>Ratings</t>
  </si>
  <si>
    <t>5 - Very happy</t>
  </si>
  <si>
    <t>4 - Happy</t>
  </si>
  <si>
    <t>3 - Average</t>
  </si>
  <si>
    <t>2 - Not happy</t>
  </si>
  <si>
    <t>1 - Disaster</t>
  </si>
  <si>
    <t>Capacity</t>
  </si>
  <si>
    <t>i</t>
  </si>
  <si>
    <t>Calculations - Training Tracker</t>
  </si>
  <si>
    <t>Column Labels</t>
  </si>
  <si>
    <t>Departments Selected</t>
  </si>
  <si>
    <t>Month</t>
  </si>
  <si>
    <t>Month options</t>
  </si>
  <si>
    <t>Start</t>
  </si>
  <si>
    <t>End</t>
  </si>
  <si>
    <t>Months:</t>
  </si>
  <si>
    <t>Selected month</t>
  </si>
  <si>
    <t>Course Listing</t>
  </si>
  <si>
    <t>Prev</t>
  </si>
  <si>
    <t>This</t>
  </si>
  <si>
    <t>Next</t>
  </si>
  <si>
    <t>Month Start</t>
  </si>
  <si>
    <t>Count</t>
  </si>
  <si>
    <t>MMYY</t>
  </si>
  <si>
    <t>Fill Rate</t>
  </si>
  <si>
    <t>Attendance</t>
  </si>
  <si>
    <t>Summaries</t>
  </si>
  <si>
    <t>Programs</t>
  </si>
  <si>
    <t>Trainees</t>
  </si>
  <si>
    <t>Attendence</t>
  </si>
  <si>
    <t>All</t>
  </si>
  <si>
    <t>Course takers</t>
  </si>
  <si>
    <t>Ashley Workman</t>
  </si>
  <si>
    <t>Basia Davidhall</t>
  </si>
  <si>
    <t>Bruce Daily</t>
  </si>
  <si>
    <t>Felicity Gross</t>
  </si>
  <si>
    <t>Cole Sheraton</t>
  </si>
  <si>
    <t>Edward Green</t>
  </si>
  <si>
    <t>George Mahood</t>
  </si>
  <si>
    <t>Lira Inch</t>
  </si>
  <si>
    <t>Jordan Sheldon</t>
  </si>
  <si>
    <t>Joseph Forest</t>
  </si>
  <si>
    <t>Kamala Pope</t>
  </si>
  <si>
    <t>Kellie Ferriss</t>
  </si>
  <si>
    <t>Kamara Gallagher</t>
  </si>
  <si>
    <t>Kieran William</t>
  </si>
  <si>
    <t>Kyla Arrows</t>
  </si>
  <si>
    <t>Wesley Snyder</t>
  </si>
  <si>
    <t>Tim Burke</t>
  </si>
  <si>
    <t>Smith Burke</t>
  </si>
  <si>
    <t>Patricia Schmidt</t>
  </si>
  <si>
    <t>Tara Armstrong</t>
  </si>
  <si>
    <t>Yoshio Nudge</t>
  </si>
  <si>
    <t>Multiple Course Takers</t>
  </si>
  <si>
    <t>Filter?</t>
  </si>
  <si>
    <t>Filtered?</t>
  </si>
  <si>
    <t>ALL</t>
  </si>
  <si>
    <t>Filtered Depts</t>
  </si>
  <si>
    <t>Display text - Restructured</t>
  </si>
  <si>
    <t>Dates</t>
  </si>
  <si>
    <t>Text</t>
  </si>
  <si>
    <t>Attendance (sel Depts)</t>
  </si>
  <si>
    <t>Filters Applied?</t>
  </si>
  <si>
    <t>Summaries by month</t>
  </si>
  <si>
    <t>Courses</t>
  </si>
  <si>
    <t>Attendees</t>
  </si>
  <si>
    <t>Attendees (F)</t>
  </si>
  <si>
    <t>All Depts</t>
  </si>
  <si>
    <t>1 Course</t>
  </si>
  <si>
    <t>Att.</t>
  </si>
  <si>
    <t>Cap.</t>
  </si>
  <si>
    <t>&gt;1 Course</t>
  </si>
  <si>
    <t>Currency Symbol</t>
  </si>
  <si>
    <t>$</t>
  </si>
  <si>
    <t>Show in Thousands?</t>
  </si>
  <si>
    <t>Thousands</t>
  </si>
  <si>
    <t>Cost (disp)</t>
  </si>
  <si>
    <t>Currency options</t>
  </si>
  <si>
    <t>Symbol</t>
  </si>
  <si>
    <t>Type</t>
  </si>
  <si>
    <t>Divide</t>
  </si>
  <si>
    <t>Code</t>
  </si>
  <si>
    <t>Cost (Disp)</t>
  </si>
  <si>
    <t>Attendees (Disp)</t>
  </si>
  <si>
    <t>«</t>
  </si>
  <si>
    <t>¶</t>
  </si>
  <si>
    <t>Ratings Blank Display</t>
  </si>
  <si>
    <t>Rating</t>
  </si>
  <si>
    <t>Rating Display</t>
  </si>
  <si>
    <t>Training - Calendar View</t>
  </si>
  <si>
    <t>Feedback Count</t>
  </si>
  <si>
    <t>Training Tracker - Settings</t>
  </si>
  <si>
    <t>Edit with caution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</si>
</sst>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quot;$&quot;#,##0_);[Red]\(&quot;$&quot;#,##0\)"/>
    <numFmt numFmtId="164" formatCode="&quot;$&quot;#,##0"/>
    <numFmt numFmtId="165" formatCode="[$-409]d\-mmm\-yy;@"/>
    <numFmt numFmtId="166" formatCode="[$-409]mmm\-yy;@"/>
    <numFmt numFmtId="167" formatCode="[$-409]dd\-mmm\-yy;@"/>
    <numFmt numFmtId="168" formatCode="0.0"/>
    <numFmt numFmtId="169" formatCode="d"/>
    <numFmt numFmtId="170" formatCode="mmmm\,\ yyyy"/>
  </numFmts>
  <fonts count="22" x14ac:knownFonts="1">
    <font>
      <sz val="11"/>
      <color theme="1"/>
      <name val="Calibri"/>
      <family val="2"/>
      <scheme val="minor"/>
    </font>
    <font>
      <sz val="24"/>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color theme="1"/>
      <name val="Webdings"/>
      <family val="1"/>
      <charset val="2"/>
    </font>
    <font>
      <i/>
      <sz val="14"/>
      <color theme="1" tint="0.14999847407452621"/>
      <name val="Cambria"/>
      <family val="1"/>
    </font>
    <font>
      <sz val="9"/>
      <color theme="1" tint="0.14999847407452621"/>
      <name val="Calibri"/>
      <family val="2"/>
      <scheme val="minor"/>
    </font>
    <font>
      <sz val="9"/>
      <color theme="1" tint="0.499984740745262"/>
      <name val="Calibri"/>
      <family val="2"/>
      <scheme val="minor"/>
    </font>
    <font>
      <sz val="14"/>
      <color theme="1"/>
      <name val="Calibri"/>
      <family val="2"/>
      <scheme val="minor"/>
    </font>
    <font>
      <sz val="9"/>
      <color theme="7" tint="-0.499984740745262"/>
      <name val="Calibri"/>
      <family val="2"/>
      <scheme val="minor"/>
    </font>
    <font>
      <b/>
      <sz val="11"/>
      <color theme="1" tint="0.14999847407452621"/>
      <name val="Calibri"/>
      <family val="2"/>
      <scheme val="minor"/>
    </font>
    <font>
      <b/>
      <sz val="14"/>
      <color theme="1" tint="0.14999847407452621"/>
      <name val="Calibri"/>
      <family val="2"/>
      <scheme val="minor"/>
    </font>
    <font>
      <sz val="9"/>
      <color theme="1"/>
      <name val="Calibri"/>
      <family val="2"/>
      <scheme val="minor"/>
    </font>
    <font>
      <b/>
      <sz val="11"/>
      <name val="Calibri"/>
      <family val="2"/>
      <scheme val="minor"/>
    </font>
    <font>
      <sz val="11"/>
      <color theme="1"/>
      <name val="Wingdings"/>
      <charset val="2"/>
    </font>
    <font>
      <sz val="16"/>
      <color theme="1"/>
      <name val="Verdana"/>
      <family val="2"/>
    </font>
    <font>
      <sz val="11"/>
      <color theme="5"/>
      <name val="Wingdings"/>
      <charset val="2"/>
    </font>
    <font>
      <sz val="10"/>
      <color theme="5"/>
      <name val="Wingdings"/>
      <charset val="2"/>
    </font>
    <font>
      <sz val="11"/>
      <color theme="9"/>
      <name val="Calibri"/>
      <family val="2"/>
      <scheme val="minor"/>
    </font>
    <font>
      <sz val="11"/>
      <color theme="9"/>
      <name val="Wingdings"/>
      <charset val="2"/>
    </font>
    <font>
      <i/>
      <sz val="11"/>
      <color theme="1" tint="0.1499984740745262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tint="-0.14999847407452621"/>
        <bgColor indexed="64"/>
      </patternFill>
    </fill>
  </fills>
  <borders count="18">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right/>
      <top style="thin">
        <color theme="0" tint="-0.14996795556505021"/>
      </top>
      <bottom style="thin">
        <color theme="0" tint="-0.149967955565050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6795556505021"/>
      </bottom>
      <diagonal/>
    </border>
  </borders>
  <cellStyleXfs count="3">
    <xf numFmtId="0" fontId="0" fillId="0" borderId="0"/>
    <xf numFmtId="9" fontId="2" fillId="0" borderId="0" applyFont="0" applyFill="0" applyBorder="0" applyAlignment="0" applyProtection="0"/>
    <xf numFmtId="0" fontId="4" fillId="0" borderId="0" applyFill="0" applyProtection="0"/>
  </cellStyleXfs>
  <cellXfs count="96">
    <xf numFmtId="0" fontId="0" fillId="0" borderId="0" xfId="0"/>
    <xf numFmtId="0" fontId="0" fillId="2" borderId="0" xfId="0" applyFill="1"/>
    <xf numFmtId="0" fontId="0" fillId="0" borderId="0" xfId="0" applyAlignment="1">
      <alignment horizontal="center"/>
    </xf>
    <xf numFmtId="164" fontId="0" fillId="0" borderId="0" xfId="0" applyNumberFormat="1"/>
    <xf numFmtId="0" fontId="3" fillId="3" borderId="2" xfId="0" applyFont="1" applyFill="1" applyBorder="1"/>
    <xf numFmtId="0" fontId="3" fillId="3" borderId="3" xfId="0" applyFont="1" applyFill="1" applyBorder="1"/>
    <xf numFmtId="0" fontId="3" fillId="3" borderId="4" xfId="0" applyFont="1" applyFill="1" applyBorder="1"/>
    <xf numFmtId="0" fontId="0" fillId="3" borderId="3" xfId="0" applyFill="1" applyBorder="1"/>
    <xf numFmtId="0" fontId="0" fillId="3" borderId="4" xfId="0" applyFill="1" applyBorder="1"/>
    <xf numFmtId="0" fontId="1" fillId="2" borderId="0" xfId="0" applyFont="1" applyFill="1" applyAlignment="1">
      <alignment horizontal="left" vertical="center"/>
    </xf>
    <xf numFmtId="165" fontId="0" fillId="0" borderId="0" xfId="0" applyNumberFormat="1" applyAlignment="1">
      <alignment horizontal="left" indent="1"/>
    </xf>
    <xf numFmtId="0" fontId="0" fillId="0" borderId="0" xfId="0" applyAlignment="1">
      <alignment horizontal="left" indent="1"/>
    </xf>
    <xf numFmtId="0" fontId="5" fillId="0" borderId="0" xfId="0" applyFont="1" applyAlignment="1">
      <alignment horizontal="center"/>
    </xf>
    <xf numFmtId="0" fontId="3" fillId="3" borderId="2" xfId="0" applyFont="1" applyFill="1" applyBorder="1" applyAlignment="1">
      <alignment vertical="center"/>
    </xf>
    <xf numFmtId="0" fontId="3" fillId="3" borderId="3" xfId="0" applyFont="1" applyFill="1" applyBorder="1" applyAlignment="1">
      <alignment vertical="center"/>
    </xf>
    <xf numFmtId="0" fontId="3" fillId="3" borderId="4" xfId="0" applyFont="1" applyFill="1" applyBorder="1" applyAlignment="1">
      <alignment vertical="center"/>
    </xf>
    <xf numFmtId="0" fontId="0" fillId="0" borderId="0" xfId="0"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0" borderId="1" xfId="0" applyBorder="1"/>
    <xf numFmtId="0" fontId="3" fillId="3" borderId="1" xfId="0" applyFont="1" applyFill="1" applyBorder="1"/>
    <xf numFmtId="0" fontId="0" fillId="0" borderId="0" xfId="0" pivotButton="1"/>
    <xf numFmtId="14" fontId="0" fillId="0" borderId="0" xfId="0" applyNumberFormat="1"/>
    <xf numFmtId="0" fontId="0" fillId="0" borderId="1" xfId="0" applyBorder="1" applyAlignment="1">
      <alignment horizontal="center"/>
    </xf>
    <xf numFmtId="167" fontId="0" fillId="0" borderId="1" xfId="0" applyNumberFormat="1" applyBorder="1" applyAlignment="1">
      <alignment horizontal="center"/>
    </xf>
    <xf numFmtId="0" fontId="3" fillId="3" borderId="1" xfId="0" applyFont="1" applyFill="1" applyBorder="1" applyAlignment="1">
      <alignment horizontal="center"/>
    </xf>
    <xf numFmtId="0" fontId="0" fillId="0" borderId="7" xfId="0" applyBorder="1" applyAlignment="1">
      <alignment horizontal="center"/>
    </xf>
    <xf numFmtId="0" fontId="0" fillId="0" borderId="5" xfId="0" applyBorder="1"/>
    <xf numFmtId="0" fontId="0" fillId="0" borderId="5" xfId="0" applyBorder="1" applyAlignment="1">
      <alignment horizontal="center"/>
    </xf>
    <xf numFmtId="0" fontId="0" fillId="0" borderId="6" xfId="0" applyBorder="1" applyAlignment="1">
      <alignment horizontal="center"/>
    </xf>
    <xf numFmtId="9" fontId="0" fillId="0" borderId="1" xfId="1" applyFont="1" applyBorder="1"/>
    <xf numFmtId="14" fontId="0" fillId="0" borderId="1" xfId="0" applyNumberFormat="1" applyBorder="1"/>
    <xf numFmtId="168" fontId="0" fillId="0" borderId="1" xfId="0" applyNumberFormat="1" applyBorder="1" applyAlignment="1">
      <alignment horizontal="center"/>
    </xf>
    <xf numFmtId="1" fontId="0" fillId="0" borderId="1" xfId="0" applyNumberFormat="1" applyBorder="1" applyAlignment="1">
      <alignment horizontal="center"/>
    </xf>
    <xf numFmtId="0" fontId="0" fillId="0" borderId="1" xfId="0" applyFill="1" applyBorder="1" applyAlignment="1">
      <alignment horizontal="center"/>
    </xf>
    <xf numFmtId="0" fontId="0" fillId="0" borderId="0" xfId="0" applyBorder="1"/>
    <xf numFmtId="0" fontId="6" fillId="0" borderId="0" xfId="0" applyFont="1" applyBorder="1" applyAlignment="1">
      <alignment vertical="top" wrapText="1"/>
    </xf>
    <xf numFmtId="169" fontId="9" fillId="0" borderId="0" xfId="0" applyNumberFormat="1" applyFont="1" applyFill="1" applyAlignment="1">
      <alignment horizontal="center" vertical="top"/>
    </xf>
    <xf numFmtId="0" fontId="10" fillId="0" borderId="0" xfId="0" applyNumberFormat="1" applyFont="1" applyFill="1" applyAlignment="1">
      <alignment horizontal="center"/>
    </xf>
    <xf numFmtId="0" fontId="3" fillId="0" borderId="0" xfId="0" applyFont="1"/>
    <xf numFmtId="0" fontId="3" fillId="3" borderId="8" xfId="0" applyFont="1" applyFill="1" applyBorder="1" applyAlignment="1">
      <alignment horizontal="center"/>
    </xf>
    <xf numFmtId="0" fontId="8" fillId="0" borderId="0" xfId="0" applyFont="1" applyAlignment="1">
      <alignment horizontal="center" wrapText="1"/>
    </xf>
    <xf numFmtId="0" fontId="0" fillId="0" borderId="1" xfId="0" applyNumberFormat="1" applyBorder="1"/>
    <xf numFmtId="0" fontId="0" fillId="0" borderId="1" xfId="0" applyFill="1" applyBorder="1"/>
    <xf numFmtId="0" fontId="12" fillId="0" borderId="9" xfId="0" applyFont="1" applyBorder="1" applyAlignment="1">
      <alignment vertical="center"/>
    </xf>
    <xf numFmtId="0" fontId="12" fillId="0" borderId="9" xfId="0" applyFont="1" applyBorder="1" applyAlignment="1">
      <alignment horizontal="center" vertical="center"/>
    </xf>
    <xf numFmtId="0" fontId="12" fillId="0" borderId="9" xfId="0" applyFont="1" applyBorder="1" applyAlignment="1">
      <alignment horizontal="center" vertical="center"/>
    </xf>
    <xf numFmtId="9" fontId="12" fillId="0" borderId="9" xfId="1" applyFont="1" applyBorder="1" applyAlignment="1">
      <alignment horizontal="center" vertical="center"/>
    </xf>
    <xf numFmtId="0" fontId="3" fillId="0" borderId="0" xfId="0" applyFont="1" applyAlignment="1">
      <alignment vertical="center"/>
    </xf>
    <xf numFmtId="0" fontId="13" fillId="0" borderId="0" xfId="0" applyFont="1"/>
    <xf numFmtId="0" fontId="8" fillId="3" borderId="0" xfId="0" applyFont="1" applyFill="1" applyBorder="1"/>
    <xf numFmtId="0" fontId="0" fillId="3" borderId="0" xfId="0" applyFill="1" applyBorder="1"/>
    <xf numFmtId="0" fontId="8" fillId="3" borderId="10" xfId="0" applyFont="1" applyFill="1" applyBorder="1"/>
    <xf numFmtId="0" fontId="8" fillId="3" borderId="11" xfId="0" applyFont="1" applyFill="1" applyBorder="1"/>
    <xf numFmtId="6" fontId="8" fillId="3" borderId="13" xfId="0" applyNumberFormat="1" applyFont="1" applyFill="1" applyBorder="1"/>
    <xf numFmtId="9" fontId="8" fillId="3" borderId="14" xfId="0" applyNumberFormat="1" applyFont="1" applyFill="1" applyBorder="1" applyAlignment="1">
      <alignment horizontal="center"/>
    </xf>
    <xf numFmtId="0" fontId="0" fillId="3" borderId="13" xfId="0" applyFill="1" applyBorder="1"/>
    <xf numFmtId="0" fontId="0" fillId="3" borderId="14" xfId="0" applyFill="1" applyBorder="1"/>
    <xf numFmtId="0" fontId="8" fillId="3" borderId="12" xfId="0" applyFont="1" applyFill="1" applyBorder="1" applyAlignment="1">
      <alignment horizontal="right"/>
    </xf>
    <xf numFmtId="0" fontId="0" fillId="0" borderId="7" xfId="0" applyBorder="1"/>
    <xf numFmtId="166" fontId="0" fillId="0" borderId="1" xfId="0" applyNumberFormat="1" applyBorder="1" applyAlignment="1">
      <alignment horizontal="center"/>
    </xf>
    <xf numFmtId="0" fontId="0" fillId="0" borderId="2" xfId="0" applyBorder="1"/>
    <xf numFmtId="0" fontId="0" fillId="0" borderId="3" xfId="0" applyBorder="1"/>
    <xf numFmtId="0" fontId="0" fillId="0" borderId="4" xfId="0" applyBorder="1"/>
    <xf numFmtId="0" fontId="3" fillId="4" borderId="2" xfId="0" applyFont="1" applyFill="1" applyBorder="1"/>
    <xf numFmtId="0" fontId="3" fillId="4" borderId="3" xfId="0" applyFont="1" applyFill="1" applyBorder="1"/>
    <xf numFmtId="0" fontId="3" fillId="4" borderId="4" xfId="0" applyFont="1" applyFill="1" applyBorder="1"/>
    <xf numFmtId="0" fontId="14" fillId="3" borderId="2" xfId="0" applyFont="1" applyFill="1" applyBorder="1"/>
    <xf numFmtId="0" fontId="14" fillId="3" borderId="3" xfId="0" applyFont="1" applyFill="1" applyBorder="1"/>
    <xf numFmtId="0" fontId="14" fillId="3" borderId="4" xfId="0" applyFont="1" applyFill="1" applyBorder="1"/>
    <xf numFmtId="0" fontId="3" fillId="0" borderId="2" xfId="0" applyFont="1" applyBorder="1"/>
    <xf numFmtId="0" fontId="3" fillId="0" borderId="1" xfId="0" applyFont="1" applyBorder="1"/>
    <xf numFmtId="2" fontId="0" fillId="0" borderId="1" xfId="0" applyNumberFormat="1" applyBorder="1"/>
    <xf numFmtId="0" fontId="15" fillId="0" borderId="0" xfId="0" applyFont="1"/>
    <xf numFmtId="0" fontId="16" fillId="0" borderId="0" xfId="0" applyFont="1"/>
    <xf numFmtId="0" fontId="15" fillId="0" borderId="1" xfId="0" applyFont="1" applyBorder="1" applyAlignment="1">
      <alignment horizontal="center"/>
    </xf>
    <xf numFmtId="0" fontId="15" fillId="0" borderId="1" xfId="0" applyFont="1" applyBorder="1"/>
    <xf numFmtId="0" fontId="18" fillId="0" borderId="0" xfId="0" applyFont="1" applyAlignment="1">
      <alignment horizontal="center"/>
    </xf>
    <xf numFmtId="0" fontId="19" fillId="0" borderId="9" xfId="0" applyFont="1" applyBorder="1" applyAlignment="1">
      <alignment vertical="center"/>
    </xf>
    <xf numFmtId="0" fontId="19" fillId="0" borderId="9" xfId="0" applyFont="1" applyBorder="1" applyAlignment="1">
      <alignment horizontal="center" vertical="center"/>
    </xf>
    <xf numFmtId="0" fontId="3" fillId="0" borderId="1" xfId="0" applyFont="1" applyFill="1" applyBorder="1"/>
    <xf numFmtId="0" fontId="8" fillId="0" borderId="17" xfId="0" applyFont="1" applyBorder="1" applyAlignment="1">
      <alignment horizontal="center" wrapText="1"/>
    </xf>
    <xf numFmtId="0" fontId="17" fillId="0" borderId="9" xfId="0" applyFont="1" applyBorder="1" applyAlignment="1">
      <alignment horizontal="center" vertical="center"/>
    </xf>
    <xf numFmtId="0" fontId="20" fillId="0" borderId="9" xfId="0" applyFont="1" applyBorder="1" applyAlignment="1">
      <alignment horizontal="center" vertical="center"/>
    </xf>
    <xf numFmtId="0" fontId="3" fillId="3" borderId="0" xfId="0" applyFont="1" applyFill="1"/>
    <xf numFmtId="0" fontId="21" fillId="2" borderId="0" xfId="0" applyFont="1" applyFill="1" applyAlignment="1">
      <alignment vertical="center"/>
    </xf>
    <xf numFmtId="0" fontId="7" fillId="0" borderId="0" xfId="0" applyFont="1" applyAlignment="1"/>
    <xf numFmtId="0" fontId="6" fillId="0" borderId="0" xfId="0" applyFont="1" applyBorder="1" applyAlignment="1">
      <alignment vertical="top" wrapText="1"/>
    </xf>
    <xf numFmtId="0" fontId="8" fillId="0" borderId="0" xfId="0" applyFont="1"/>
    <xf numFmtId="0" fontId="8" fillId="0" borderId="0" xfId="0" applyFont="1" applyAlignment="1">
      <alignment horizontal="center" wrapText="1"/>
    </xf>
    <xf numFmtId="170" fontId="11" fillId="4" borderId="6" xfId="0" applyNumberFormat="1" applyFont="1" applyFill="1" applyBorder="1" applyAlignment="1">
      <alignment horizontal="left"/>
    </xf>
    <xf numFmtId="170" fontId="11" fillId="4" borderId="15" xfId="0" applyNumberFormat="1" applyFont="1" applyFill="1" applyBorder="1" applyAlignment="1">
      <alignment horizontal="left"/>
    </xf>
    <xf numFmtId="170" fontId="11" fillId="4" borderId="16" xfId="0" applyNumberFormat="1" applyFont="1" applyFill="1" applyBorder="1" applyAlignment="1">
      <alignment horizontal="left"/>
    </xf>
    <xf numFmtId="0" fontId="12" fillId="0" borderId="9" xfId="0" applyFont="1" applyBorder="1" applyAlignment="1">
      <alignment horizontal="center" vertical="center"/>
    </xf>
    <xf numFmtId="0" fontId="19" fillId="0" borderId="9" xfId="0" applyFont="1" applyBorder="1" applyAlignment="1">
      <alignment horizontal="center" vertical="center"/>
    </xf>
  </cellXfs>
  <cellStyles count="3">
    <cellStyle name="Normal" xfId="0" builtinId="0"/>
    <cellStyle name="Normal 2" xfId="2"/>
    <cellStyle name="Percent" xfId="1" builtinId="5"/>
  </cellStyles>
  <dxfs count="28">
    <dxf>
      <font>
        <color theme="9"/>
      </font>
    </dxf>
    <dxf>
      <border>
        <bottom style="thin">
          <color theme="0" tint="-0.14996795556505021"/>
        </bottom>
        <vertical/>
        <horizontal/>
      </border>
    </dxf>
    <dxf>
      <border>
        <bottom style="thin">
          <color theme="0" tint="-0.14996795556505021"/>
        </bottom>
        <vertical/>
        <horizontal/>
      </border>
    </dxf>
    <dxf>
      <fill>
        <patternFill>
          <bgColor theme="7" tint="0.39994506668294322"/>
        </patternFill>
      </fill>
    </dxf>
    <dxf>
      <fill>
        <patternFill>
          <bgColor theme="7"/>
        </patternFill>
      </fill>
    </dxf>
    <dxf>
      <fill>
        <patternFill>
          <bgColor theme="7" tint="0.39994506668294322"/>
        </patternFill>
      </fill>
    </dxf>
    <dxf>
      <fill>
        <patternFill>
          <bgColor theme="7"/>
        </patternFill>
      </fill>
    </dxf>
    <dxf>
      <fill>
        <patternFill>
          <bgColor theme="7" tint="0.39994506668294322"/>
        </patternFill>
      </fill>
    </dxf>
    <dxf>
      <fill>
        <patternFill>
          <bgColor theme="7"/>
        </patternFill>
      </fill>
    </dxf>
    <dxf>
      <fill>
        <patternFill>
          <bgColor theme="7" tint="0.39994506668294322"/>
        </patternFill>
      </fill>
    </dxf>
    <dxf>
      <fill>
        <patternFill>
          <bgColor theme="7"/>
        </patternFill>
      </fill>
    </dxf>
    <dxf>
      <border>
        <bottom style="thin">
          <color theme="0" tint="-0.14996795556505021"/>
        </bottom>
        <vertical/>
        <horizontal/>
      </border>
    </dxf>
    <dxf>
      <fill>
        <patternFill>
          <bgColor theme="7" tint="0.39994506668294322"/>
        </patternFill>
      </fill>
    </dxf>
    <dxf>
      <fill>
        <patternFill>
          <bgColor theme="7"/>
        </patternFill>
      </fill>
    </dxf>
    <dxf>
      <fill>
        <patternFill>
          <bgColor theme="7" tint="0.39994506668294322"/>
        </patternFill>
      </fill>
    </dxf>
    <dxf>
      <fill>
        <patternFill>
          <bgColor theme="7"/>
        </patternFill>
      </fill>
    </dxf>
    <dxf>
      <numFmt numFmtId="0" formatCode="General"/>
    </dxf>
    <dxf>
      <numFmt numFmtId="0" formatCode="General"/>
    </dxf>
    <dxf>
      <numFmt numFmtId="0" formatCode="General"/>
      <alignment horizontal="center" vertical="bottom" textRotation="0" wrapText="0" indent="0" justifyLastLine="0" shrinkToFit="0" readingOrder="0"/>
    </dxf>
    <dxf>
      <numFmt numFmtId="164" formatCode="&quot;$&quot;#,##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409]d\-mmm\-yy;@"/>
      <alignment horizontal="left" vertical="bottom" textRotation="0" wrapText="0" relativeIndent="1" justifyLastLine="0" shrinkToFit="0" readingOrder="0"/>
    </dxf>
    <dxf>
      <numFmt numFmtId="0" formatCode="General"/>
    </dxf>
    <dxf>
      <font>
        <color rgb="FF9C0006"/>
      </font>
      <fill>
        <patternFill>
          <bgColor rgb="FFFFC7CE"/>
        </patternFill>
      </fill>
    </dxf>
    <dxf>
      <fill>
        <patternFill>
          <bgColor theme="7" tint="0.39994506668294322"/>
        </patternFill>
      </fill>
    </dxf>
    <dxf>
      <font>
        <b/>
        <color theme="1"/>
      </font>
      <border>
        <bottom style="thin">
          <color theme="7"/>
        </bottom>
        <vertical/>
        <horizontal/>
      </border>
    </dxf>
    <dxf>
      <font>
        <color theme="1"/>
      </font>
      <fill>
        <patternFill patternType="solid">
          <bgColor theme="7"/>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StyleLight4 2" pivot="0" table="0" count="10">
      <tableStyleElement type="wholeTable" dxfId="27"/>
      <tableStyleElement type="headerRow" dxfId="2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270">
              <stop position="0">
                <color rgb="FFF8E162"/>
              </stop>
              <stop position="1">
                <color theme="9"/>
              </stop>
            </gradientFill>
          </fill>
          <border>
            <left style="thin">
              <color rgb="FF999999"/>
            </left>
            <right style="thin">
              <color rgb="FF999999"/>
            </right>
            <top style="thin">
              <color rgb="FF999999"/>
            </top>
            <bottom style="thin">
              <color rgb="FF999999"/>
            </bottom>
            <vertical/>
            <horizontal/>
          </border>
        </dxf>
        <dxf>
          <font>
            <color rgb="FF000000"/>
          </font>
          <fill>
            <gradientFill degree="270">
              <stop position="0">
                <color rgb="FFF8E162"/>
              </stop>
              <stop position="1">
                <color theme="9"/>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9"/>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7"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Scroll" dx="22" fmlaLink="Calc!$D$14" horiz="1" max="12" min="1" page="3" val="12"/>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1314450</xdr:colOff>
      <xdr:row>4</xdr:row>
      <xdr:rowOff>47625</xdr:rowOff>
    </xdr:from>
    <xdr:to>
      <xdr:col>21</xdr:col>
      <xdr:colOff>942975</xdr:colOff>
      <xdr:row>4</xdr:row>
      <xdr:rowOff>276225</xdr:rowOff>
    </xdr:to>
    <xdr:grpSp>
      <xdr:nvGrpSpPr>
        <xdr:cNvPr id="7" name="Group 6"/>
        <xdr:cNvGrpSpPr/>
      </xdr:nvGrpSpPr>
      <xdr:grpSpPr>
        <a:xfrm>
          <a:off x="15190470" y="1335405"/>
          <a:ext cx="3171825" cy="228600"/>
          <a:chOff x="15868650" y="1352550"/>
          <a:chExt cx="3076575" cy="228600"/>
        </a:xfrm>
      </xdr:grpSpPr>
      <xdr:sp macro="" textlink="">
        <xdr:nvSpPr>
          <xdr:cNvPr id="10" name="Rounded Rectangle 9"/>
          <xdr:cNvSpPr/>
        </xdr:nvSpPr>
        <xdr:spPr>
          <a:xfrm>
            <a:off x="15868650" y="1352550"/>
            <a:ext cx="3038475" cy="219075"/>
          </a:xfrm>
          <a:prstGeom prst="round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xdr:cNvPicPr>
            <a:picLocks noChangeAspect="1"/>
          </xdr:cNvPicPr>
        </xdr:nvPicPr>
        <xdr:blipFill rotWithShape="1">
          <a:blip xmlns:r="http://schemas.openxmlformats.org/officeDocument/2006/relationships" r:embed="rId1"/>
          <a:srcRect l="34251" t="-1" r="35608" b="-12"/>
          <a:stretch/>
        </xdr:blipFill>
        <xdr:spPr>
          <a:xfrm>
            <a:off x="16378237" y="1371600"/>
            <a:ext cx="209551" cy="190500"/>
          </a:xfrm>
          <a:prstGeom prst="rect">
            <a:avLst/>
          </a:prstGeom>
        </xdr:spPr>
      </xdr:pic>
      <xdr:pic>
        <xdr:nvPicPr>
          <xdr:cNvPr id="5" name="Picture 4"/>
          <xdr:cNvPicPr>
            <a:picLocks noChangeAspect="1"/>
          </xdr:cNvPicPr>
        </xdr:nvPicPr>
        <xdr:blipFill rotWithShape="1">
          <a:blip xmlns:r="http://schemas.openxmlformats.org/officeDocument/2006/relationships" r:embed="rId1"/>
          <a:srcRect l="67132" t="5000" r="5467" b="-13"/>
          <a:stretch/>
        </xdr:blipFill>
        <xdr:spPr>
          <a:xfrm>
            <a:off x="17602199" y="1376362"/>
            <a:ext cx="190501" cy="180976"/>
          </a:xfrm>
          <a:prstGeom prst="rect">
            <a:avLst/>
          </a:prstGeom>
        </xdr:spPr>
      </xdr:pic>
      <xdr:pic>
        <xdr:nvPicPr>
          <xdr:cNvPr id="2" name="Picture 1"/>
          <xdr:cNvPicPr>
            <a:picLocks noChangeAspect="1"/>
          </xdr:cNvPicPr>
        </xdr:nvPicPr>
        <xdr:blipFill rotWithShape="1">
          <a:blip xmlns:r="http://schemas.openxmlformats.org/officeDocument/2006/relationships" r:embed="rId1"/>
          <a:srcRect t="-1" r="68489" b="-12"/>
          <a:stretch/>
        </xdr:blipFill>
        <xdr:spPr>
          <a:xfrm>
            <a:off x="15944850" y="1371600"/>
            <a:ext cx="219075" cy="190500"/>
          </a:xfrm>
          <a:prstGeom prst="rect">
            <a:avLst/>
          </a:prstGeom>
        </xdr:spPr>
      </xdr:pic>
      <xdr:sp macro="" textlink="">
        <xdr:nvSpPr>
          <xdr:cNvPr id="6" name="TextBox 5"/>
          <xdr:cNvSpPr txBox="1"/>
        </xdr:nvSpPr>
        <xdr:spPr>
          <a:xfrm>
            <a:off x="16097250" y="1352550"/>
            <a:ext cx="28479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1">
                    <a:lumMod val="65000"/>
                  </a:schemeClr>
                </a:solidFill>
              </a:rPr>
              <a:t>Ok      </a:t>
            </a:r>
            <a:r>
              <a:rPr lang="en-US" sz="900" baseline="0">
                <a:solidFill>
                  <a:schemeClr val="bg1">
                    <a:lumMod val="65000"/>
                  </a:schemeClr>
                </a:solidFill>
              </a:rPr>
              <a:t>    Duplicate enrollment          Course over capacity</a:t>
            </a:r>
            <a:r>
              <a:rPr lang="en-US" sz="900">
                <a:solidFill>
                  <a:schemeClr val="bg1">
                    <a:lumMod val="65000"/>
                  </a:schemeClr>
                </a:solidFill>
              </a:rPr>
              <a:t>    </a:t>
            </a: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16</xdr:col>
          <xdr:colOff>0</xdr:colOff>
          <xdr:row>8</xdr:row>
          <xdr:rowOff>0</xdr:rowOff>
        </xdr:to>
        <xdr:sp macro="" textlink="">
          <xdr:nvSpPr>
            <xdr:cNvPr id="4097" name="Scroll Bar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twoCellAnchor editAs="oneCell">
    <xdr:from>
      <xdr:col>9</xdr:col>
      <xdr:colOff>0</xdr:colOff>
      <xdr:row>0</xdr:row>
      <xdr:rowOff>245190</xdr:rowOff>
    </xdr:from>
    <xdr:to>
      <xdr:col>15</xdr:col>
      <xdr:colOff>38100</xdr:colOff>
      <xdr:row>0</xdr:row>
      <xdr:rowOff>845265</xdr:rowOff>
    </xdr:to>
    <mc:AlternateContent xmlns:mc="http://schemas.openxmlformats.org/markup-compatibility/2006" xmlns:a14="http://schemas.microsoft.com/office/drawing/2010/main">
      <mc:Choice Requires="a14">
        <xdr:graphicFrame macro="">
          <xdr:nvGraphicFramePr>
            <xdr:cNvPr id="6"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191000" y="245190"/>
              <a:ext cx="3048000"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2</xdr:row>
      <xdr:rowOff>0</xdr:rowOff>
    </xdr:from>
    <xdr:to>
      <xdr:col>8</xdr:col>
      <xdr:colOff>586740</xdr:colOff>
      <xdr:row>3</xdr:row>
      <xdr:rowOff>108457</xdr:rowOff>
    </xdr:to>
    <xdr:grpSp>
      <xdr:nvGrpSpPr>
        <xdr:cNvPr id="9" name="Group 8"/>
        <xdr:cNvGrpSpPr/>
      </xdr:nvGrpSpPr>
      <xdr:grpSpPr>
        <a:xfrm>
          <a:off x="1805940" y="1188720"/>
          <a:ext cx="2392680" cy="298957"/>
          <a:chOff x="1790700" y="923925"/>
          <a:chExt cx="2377440" cy="298957"/>
        </a:xfrm>
      </xdr:grpSpPr>
      <xdr:sp macro="" textlink="">
        <xdr:nvSpPr>
          <xdr:cNvPr id="4" name="Rectangle 3"/>
          <xdr:cNvSpPr/>
        </xdr:nvSpPr>
        <xdr:spPr>
          <a:xfrm>
            <a:off x="1790700" y="923925"/>
            <a:ext cx="2377440" cy="190500"/>
          </a:xfrm>
          <a:prstGeom prst="rect">
            <a:avLst/>
          </a:prstGeom>
          <a:solidFill>
            <a:schemeClr val="accent4"/>
          </a:solidFill>
          <a:ln>
            <a:noFill/>
          </a:ln>
          <a:effectLst>
            <a:outerShdw blurRad="25400" dist="12700" dir="5400000" algn="t"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lumMod val="85000"/>
                    <a:lumOff val="15000"/>
                  </a:schemeClr>
                </a:solidFill>
              </a:rPr>
              <a:t>People</a:t>
            </a:r>
          </a:p>
        </xdr:txBody>
      </xdr:sp>
      <xdr:sp macro="" textlink="">
        <xdr:nvSpPr>
          <xdr:cNvPr id="2" name="Right Triangle 1"/>
          <xdr:cNvSpPr/>
        </xdr:nvSpPr>
        <xdr:spPr>
          <a:xfrm rot="10800000">
            <a:off x="3867150" y="990599"/>
            <a:ext cx="289128" cy="232283"/>
          </a:xfrm>
          <a:prstGeom prst="rtTriangle">
            <a:avLst/>
          </a:prstGeom>
          <a:solidFill>
            <a:schemeClr val="accent4"/>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8</xdr:col>
      <xdr:colOff>571500</xdr:colOff>
      <xdr:row>2</xdr:row>
      <xdr:rowOff>0</xdr:rowOff>
    </xdr:from>
    <xdr:to>
      <xdr:col>9</xdr:col>
      <xdr:colOff>19050</xdr:colOff>
      <xdr:row>6</xdr:row>
      <xdr:rowOff>76200</xdr:rowOff>
    </xdr:to>
    <xdr:sp macro="" textlink="">
      <xdr:nvSpPr>
        <xdr:cNvPr id="3" name="Rectangle 2"/>
        <xdr:cNvSpPr/>
      </xdr:nvSpPr>
      <xdr:spPr>
        <a:xfrm>
          <a:off x="4152900" y="923925"/>
          <a:ext cx="57150" cy="11811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xdr:colOff>
      <xdr:row>2</xdr:row>
      <xdr:rowOff>0</xdr:rowOff>
    </xdr:from>
    <xdr:to>
      <xdr:col>16</xdr:col>
      <xdr:colOff>0</xdr:colOff>
      <xdr:row>3</xdr:row>
      <xdr:rowOff>0</xdr:rowOff>
    </xdr:to>
    <xdr:sp macro="" textlink="">
      <xdr:nvSpPr>
        <xdr:cNvPr id="8" name="Rectangle 7"/>
        <xdr:cNvSpPr/>
      </xdr:nvSpPr>
      <xdr:spPr>
        <a:xfrm>
          <a:off x="4213860" y="1200150"/>
          <a:ext cx="3596640" cy="190500"/>
        </a:xfrm>
        <a:prstGeom prst="rect">
          <a:avLst/>
        </a:prstGeom>
        <a:solidFill>
          <a:schemeClr val="accent2"/>
        </a:solidFill>
        <a:ln>
          <a:noFill/>
        </a:ln>
        <a:effectLst>
          <a:outerShdw blurRad="25400" dist="12700" dir="5400000" algn="t"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lumMod val="85000"/>
                  <a:lumOff val="15000"/>
                </a:schemeClr>
              </a:solidFill>
            </a:rPr>
            <a:t>Courses</a:t>
          </a:r>
        </a:p>
      </xdr:txBody>
    </xdr:sp>
    <xdr:clientData/>
  </xdr:twoCellAnchor>
  <xdr:twoCellAnchor>
    <xdr:from>
      <xdr:col>15</xdr:col>
      <xdr:colOff>279270</xdr:colOff>
      <xdr:row>2</xdr:row>
      <xdr:rowOff>38099</xdr:rowOff>
    </xdr:from>
    <xdr:to>
      <xdr:col>16</xdr:col>
      <xdr:colOff>0</xdr:colOff>
      <xdr:row>3</xdr:row>
      <xdr:rowOff>104774</xdr:rowOff>
    </xdr:to>
    <xdr:sp macro="" textlink="">
      <xdr:nvSpPr>
        <xdr:cNvPr id="7" name="Right Triangle 6"/>
        <xdr:cNvSpPr/>
      </xdr:nvSpPr>
      <xdr:spPr>
        <a:xfrm rot="10800000">
          <a:off x="7480170" y="1238249"/>
          <a:ext cx="330330" cy="257175"/>
        </a:xfrm>
        <a:prstGeom prst="rtTriangle">
          <a:avLst/>
        </a:prstGeom>
        <a:solidFill>
          <a:schemeClr val="accent2"/>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0</xdr:colOff>
      <xdr:row>0</xdr:row>
      <xdr:rowOff>76200</xdr:rowOff>
    </xdr:from>
    <xdr:ext cx="1192955" cy="233205"/>
    <xdr:sp macro="" textlink="">
      <xdr:nvSpPr>
        <xdr:cNvPr id="10" name="TextBox 9"/>
        <xdr:cNvSpPr txBox="1"/>
      </xdr:nvSpPr>
      <xdr:spPr>
        <a:xfrm>
          <a:off x="4191000" y="76200"/>
          <a:ext cx="119295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chemeClr val="accent4">
                  <a:lumMod val="50000"/>
                </a:schemeClr>
              </a:solidFill>
            </a:rPr>
            <a:t>Select a department:</a:t>
          </a:r>
        </a:p>
      </xdr:txBody>
    </xdr:sp>
    <xdr:clientData/>
  </xdr:oneCellAnchor>
  <xdr:oneCellAnchor>
    <xdr:from>
      <xdr:col>9</xdr:col>
      <xdr:colOff>0</xdr:colOff>
      <xdr:row>0</xdr:row>
      <xdr:rowOff>781050</xdr:rowOff>
    </xdr:from>
    <xdr:ext cx="2720681" cy="233205"/>
    <xdr:sp macro="" textlink="">
      <xdr:nvSpPr>
        <xdr:cNvPr id="22" name="TextBox 21"/>
        <xdr:cNvSpPr txBox="1"/>
      </xdr:nvSpPr>
      <xdr:spPr>
        <a:xfrm>
          <a:off x="4191000" y="781050"/>
          <a:ext cx="272068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chemeClr val="accent4">
                  <a:lumMod val="50000"/>
                </a:schemeClr>
              </a:solidFill>
            </a:rPr>
            <a:t>Selected</a:t>
          </a:r>
          <a:r>
            <a:rPr lang="en-US" sz="900" baseline="0">
              <a:solidFill>
                <a:schemeClr val="accent4">
                  <a:lumMod val="50000"/>
                </a:schemeClr>
              </a:solidFill>
            </a:rPr>
            <a:t> dept </a:t>
          </a:r>
          <a:r>
            <a:rPr lang="en-US" sz="900">
              <a:solidFill>
                <a:schemeClr val="accent4">
                  <a:lumMod val="50000"/>
                </a:schemeClr>
              </a:solidFill>
            </a:rPr>
            <a:t>values are shown in </a:t>
          </a:r>
          <a:r>
            <a:rPr lang="en-US" sz="900" b="1">
              <a:solidFill>
                <a:schemeClr val="accent6"/>
              </a:solidFill>
            </a:rPr>
            <a:t>green</a:t>
          </a:r>
          <a:r>
            <a:rPr lang="en-US" sz="900" baseline="0">
              <a:solidFill>
                <a:schemeClr val="accent6"/>
              </a:solidFill>
            </a:rPr>
            <a:t> </a:t>
          </a:r>
          <a:r>
            <a:rPr lang="en-US" sz="900" baseline="0">
              <a:solidFill>
                <a:schemeClr val="accent4">
                  <a:lumMod val="50000"/>
                </a:schemeClr>
              </a:solidFill>
            </a:rPr>
            <a:t>or (brackets)</a:t>
          </a:r>
          <a:endParaRPr lang="en-US" sz="900">
            <a:solidFill>
              <a:schemeClr val="accent4">
                <a:lumMod val="50000"/>
              </a:schemeClr>
            </a:solidFill>
          </a:endParaRPr>
        </a:p>
      </xdr:txBody>
    </xdr:sp>
    <xdr:clientData/>
  </xdr:oneCellAnchor>
  <xdr:oneCellAnchor>
    <xdr:from>
      <xdr:col>15</xdr:col>
      <xdr:colOff>571500</xdr:colOff>
      <xdr:row>0</xdr:row>
      <xdr:rowOff>76200</xdr:rowOff>
    </xdr:from>
    <xdr:ext cx="184731" cy="233205"/>
    <xdr:sp macro="" textlink="">
      <xdr:nvSpPr>
        <xdr:cNvPr id="14" name="TextBox 13"/>
        <xdr:cNvSpPr txBox="1"/>
      </xdr:nvSpPr>
      <xdr:spPr>
        <a:xfrm>
          <a:off x="7818120" y="76200"/>
          <a:ext cx="18473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900">
            <a:solidFill>
              <a:schemeClr val="accent4">
                <a:lumMod val="50000"/>
              </a:schemeClr>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rnachandra Rao Duggirala" refreshedDate="42306.469257638892" createdVersion="5" refreshedVersion="5" minRefreshableVersion="3" recordCount="100">
  <cacheSource type="worksheet">
    <worksheetSource name="people"/>
  </cacheSource>
  <cacheFields count="3">
    <cacheField name="ID" numFmtId="0">
      <sharedItems/>
    </cacheField>
    <cacheField name="Name" numFmtId="0">
      <sharedItems/>
    </cacheField>
    <cacheField name="Department" numFmtId="0">
      <sharedItems count="6">
        <s v="Finance"/>
        <s v="Marketing"/>
        <s v="Sales"/>
        <s v="Operations"/>
        <s v="IT"/>
        <s v="H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s v="P0001"/>
    <s v="Abel Sherman"/>
    <x v="0"/>
  </r>
  <r>
    <s v="P0002"/>
    <s v="Ahmed Cortez"/>
    <x v="1"/>
  </r>
  <r>
    <s v="P0003"/>
    <s v="Ali Hernandez"/>
    <x v="2"/>
  </r>
  <r>
    <s v="P0004"/>
    <s v="Asher Workman"/>
    <x v="1"/>
  </r>
  <r>
    <s v="P0005"/>
    <s v="Asher Workman"/>
    <x v="3"/>
  </r>
  <r>
    <s v="P0006"/>
    <s v="Avye Kelly"/>
    <x v="4"/>
  </r>
  <r>
    <s v="P0007"/>
    <s v="Barbara Mcconnell"/>
    <x v="4"/>
  </r>
  <r>
    <s v="P0008"/>
    <s v="Barclay Romero"/>
    <x v="2"/>
  </r>
  <r>
    <s v="P0009"/>
    <s v="Basia David"/>
    <x v="3"/>
  </r>
  <r>
    <s v="P0010"/>
    <s v="Basia David"/>
    <x v="0"/>
  </r>
  <r>
    <s v="P0011"/>
    <s v="Bevis Mcpherson"/>
    <x v="0"/>
  </r>
  <r>
    <s v="P0012"/>
    <s v="Brooke Odom"/>
    <x v="2"/>
  </r>
  <r>
    <s v="P0013"/>
    <s v="Bruce Day"/>
    <x v="1"/>
  </r>
  <r>
    <s v="P0014"/>
    <s v="Bruce Day"/>
    <x v="3"/>
  </r>
  <r>
    <s v="P0015"/>
    <s v="Callie Jefferson"/>
    <x v="3"/>
  </r>
  <r>
    <s v="P0016"/>
    <s v="Castor Whitney"/>
    <x v="0"/>
  </r>
  <r>
    <s v="P0017"/>
    <s v="Charity Gross"/>
    <x v="5"/>
  </r>
  <r>
    <s v="P0018"/>
    <s v="Charity Gross"/>
    <x v="4"/>
  </r>
  <r>
    <s v="P0019"/>
    <s v="Ciaran Becker"/>
    <x v="2"/>
  </r>
  <r>
    <s v="P0020"/>
    <s v="Cole Shelton"/>
    <x v="3"/>
  </r>
  <r>
    <s v="P0021"/>
    <s v="Cole Shelton"/>
    <x v="0"/>
  </r>
  <r>
    <s v="P0022"/>
    <s v="Colleen Bryan"/>
    <x v="0"/>
  </r>
  <r>
    <s v="P0023"/>
    <s v="Colorado Fields"/>
    <x v="3"/>
  </r>
  <r>
    <s v="P0024"/>
    <s v="Conan Lopez"/>
    <x v="1"/>
  </r>
  <r>
    <s v="P0025"/>
    <s v="David Hernandez"/>
    <x v="0"/>
  </r>
  <r>
    <s v="P0026"/>
    <s v="Demetria Wiley"/>
    <x v="1"/>
  </r>
  <r>
    <s v="P0027"/>
    <s v="Dorothy Pena"/>
    <x v="4"/>
  </r>
  <r>
    <s v="P0028"/>
    <s v="Edan Barton"/>
    <x v="1"/>
  </r>
  <r>
    <s v="P0029"/>
    <s v="Edward Glenn"/>
    <x v="2"/>
  </r>
  <r>
    <s v="P0030"/>
    <s v="Edward Glenn"/>
    <x v="5"/>
  </r>
  <r>
    <s v="P0031"/>
    <s v="Elmo Monroe"/>
    <x v="0"/>
  </r>
  <r>
    <s v="P0032"/>
    <s v="Emmanuel Maldonado"/>
    <x v="3"/>
  </r>
  <r>
    <s v="P0033"/>
    <s v="George Mcleod"/>
    <x v="0"/>
  </r>
  <r>
    <s v="P0034"/>
    <s v="George Mcleod"/>
    <x v="1"/>
  </r>
  <r>
    <s v="P0035"/>
    <s v="Gregory Odom"/>
    <x v="5"/>
  </r>
  <r>
    <s v="P0036"/>
    <s v="Guinevere Reilly"/>
    <x v="5"/>
  </r>
  <r>
    <s v="P0037"/>
    <s v="Halee Middleton"/>
    <x v="1"/>
  </r>
  <r>
    <s v="P0038"/>
    <s v="Harrison Ross"/>
    <x v="0"/>
  </r>
  <r>
    <s v="P0039"/>
    <s v="Hiroko Bird"/>
    <x v="2"/>
  </r>
  <r>
    <s v="P0040"/>
    <s v="Imelda Herring"/>
    <x v="0"/>
  </r>
  <r>
    <s v="P0041"/>
    <s v="Ira Lynch"/>
    <x v="1"/>
  </r>
  <r>
    <s v="P0042"/>
    <s v="Ira Lynch"/>
    <x v="4"/>
  </r>
  <r>
    <s v="P0043"/>
    <s v="Iris Bernard"/>
    <x v="5"/>
  </r>
  <r>
    <s v="P0044"/>
    <s v="Ivory Sloan"/>
    <x v="4"/>
  </r>
  <r>
    <s v="P0045"/>
    <s v="Jade Weber"/>
    <x v="0"/>
  </r>
  <r>
    <s v="P0046"/>
    <s v="Jordan Schneider"/>
    <x v="1"/>
  </r>
  <r>
    <s v="P0047"/>
    <s v="Jordan Schneider"/>
    <x v="4"/>
  </r>
  <r>
    <s v="P0048"/>
    <s v="Joseph Woods"/>
    <x v="1"/>
  </r>
  <r>
    <s v="P0049"/>
    <s v="Joseph Woods"/>
    <x v="0"/>
  </r>
  <r>
    <s v="P0050"/>
    <s v="Kamal Pope"/>
    <x v="0"/>
  </r>
  <r>
    <s v="P0051"/>
    <s v="Kamal Pope"/>
    <x v="4"/>
  </r>
  <r>
    <s v="P0052"/>
    <s v="Karly Barron"/>
    <x v="3"/>
  </r>
  <r>
    <s v="P0053"/>
    <s v="Kathleen Chan"/>
    <x v="3"/>
  </r>
  <r>
    <s v="P0054"/>
    <s v="Kay Rios"/>
    <x v="0"/>
  </r>
  <r>
    <s v="P0055"/>
    <s v="Keith Mccarty"/>
    <x v="5"/>
  </r>
  <r>
    <s v="P0056"/>
    <s v="Kellie Ferrell"/>
    <x v="0"/>
  </r>
  <r>
    <s v="P0057"/>
    <s v="Kellie Ferrell"/>
    <x v="4"/>
  </r>
  <r>
    <s v="P0058"/>
    <s v="Kenneth Gallagher"/>
    <x v="2"/>
  </r>
  <r>
    <s v="P0059"/>
    <s v="Kenneth Gallagher"/>
    <x v="3"/>
  </r>
  <r>
    <s v="P0060"/>
    <s v="Kieran Wilson"/>
    <x v="4"/>
  </r>
  <r>
    <s v="P0061"/>
    <s v="Kieran Wilson"/>
    <x v="1"/>
  </r>
  <r>
    <s v="P0062"/>
    <s v="Kyla Spears"/>
    <x v="5"/>
  </r>
  <r>
    <s v="P0063"/>
    <s v="Kyla Spears"/>
    <x v="0"/>
  </r>
  <r>
    <s v="P0064"/>
    <s v="Lance Kirkland"/>
    <x v="0"/>
  </r>
  <r>
    <s v="P0065"/>
    <s v="Lionel Joseph"/>
    <x v="5"/>
  </r>
  <r>
    <s v="P0066"/>
    <s v="Lydia Wolfe"/>
    <x v="2"/>
  </r>
  <r>
    <s v="P0067"/>
    <s v="Madonna Hines"/>
    <x v="5"/>
  </r>
  <r>
    <s v="P0068"/>
    <s v="Mallory Carlson"/>
    <x v="4"/>
  </r>
  <r>
    <s v="P0069"/>
    <s v="Mira Perkins"/>
    <x v="1"/>
  </r>
  <r>
    <s v="P0070"/>
    <s v="Nehru Acosta"/>
    <x v="4"/>
  </r>
  <r>
    <s v="P0071"/>
    <s v="Nicole Davidson"/>
    <x v="0"/>
  </r>
  <r>
    <s v="P0072"/>
    <s v="Noelani Snyder"/>
    <x v="1"/>
  </r>
  <r>
    <s v="P0073"/>
    <s v="Noelani Snyder"/>
    <x v="2"/>
  </r>
  <r>
    <s v="P0074"/>
    <s v="Nyssa England"/>
    <x v="0"/>
  </r>
  <r>
    <s v="P0075"/>
    <s v="Otto Burke"/>
    <x v="4"/>
  </r>
  <r>
    <s v="P0076"/>
    <s v="Otto Burke"/>
    <x v="0"/>
  </r>
  <r>
    <s v="P0077"/>
    <s v="Otto Burke"/>
    <x v="1"/>
  </r>
  <r>
    <s v="P0078"/>
    <s v="Perry Ray"/>
    <x v="5"/>
  </r>
  <r>
    <s v="P0079"/>
    <s v="Perry Schmidt"/>
    <x v="2"/>
  </r>
  <r>
    <s v="P0080"/>
    <s v="Perry Schmidt"/>
    <x v="3"/>
  </r>
  <r>
    <s v="P0081"/>
    <s v="Prescott Mcknight"/>
    <x v="4"/>
  </r>
  <r>
    <s v="P0082"/>
    <s v="Quamar Ramos"/>
    <x v="3"/>
  </r>
  <r>
    <s v="P0083"/>
    <s v="Quinlan Mcbride"/>
    <x v="0"/>
  </r>
  <r>
    <s v="P0084"/>
    <s v="Rashad Hobbs"/>
    <x v="0"/>
  </r>
  <r>
    <s v="P0085"/>
    <s v="Roary Snyder"/>
    <x v="2"/>
  </r>
  <r>
    <s v="P0086"/>
    <s v="Robin Blackburn"/>
    <x v="0"/>
  </r>
  <r>
    <s v="P0087"/>
    <s v="Ryan Walton"/>
    <x v="2"/>
  </r>
  <r>
    <s v="P0088"/>
    <s v="Salvador Small"/>
    <x v="0"/>
  </r>
  <r>
    <s v="P0089"/>
    <s v="Stone Meadows"/>
    <x v="3"/>
  </r>
  <r>
    <s v="P0090"/>
    <s v="Stone Pickett"/>
    <x v="3"/>
  </r>
  <r>
    <s v="P0091"/>
    <s v="Sylvester Pittman"/>
    <x v="0"/>
  </r>
  <r>
    <s v="P0092"/>
    <s v="Tiger Bauer"/>
    <x v="3"/>
  </r>
  <r>
    <s v="P0093"/>
    <s v="Timon Armstrong"/>
    <x v="4"/>
  </r>
  <r>
    <s v="P0094"/>
    <s v="Timon Armstrong"/>
    <x v="3"/>
  </r>
  <r>
    <s v="P0095"/>
    <s v="Veda Bruce"/>
    <x v="0"/>
  </r>
  <r>
    <s v="P0096"/>
    <s v="Winifred Vaughn"/>
    <x v="2"/>
  </r>
  <r>
    <s v="P0097"/>
    <s v="Yeo Garrison"/>
    <x v="5"/>
  </r>
  <r>
    <s v="P0098"/>
    <s v="Yoshio Pierce"/>
    <x v="0"/>
  </r>
  <r>
    <s v="P0099"/>
    <s v="Yoshio Pierce"/>
    <x v="2"/>
  </r>
  <r>
    <s v="P0100"/>
    <s v="Zeph Gill"/>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F4" firstHeaderRow="1" firstDataRow="2" firstDataCol="0"/>
  <pivotFields count="3">
    <pivotField showAll="0" defaultSubtotal="0"/>
    <pivotField showAll="0" defaultSubtotal="0"/>
    <pivotField axis="axisCol" showAll="0" defaultSubtotal="0">
      <items count="6">
        <item x="0"/>
        <item x="5"/>
        <item x="4"/>
        <item x="1"/>
        <item x="3"/>
        <item x="2"/>
      </items>
    </pivotField>
  </pivotFields>
  <rowItems count="1">
    <i/>
  </rowItems>
  <colFields count="1">
    <field x="2"/>
  </colFields>
  <colItems count="6">
    <i>
      <x/>
    </i>
    <i>
      <x v="1"/>
    </i>
    <i>
      <x v="2"/>
    </i>
    <i>
      <x v="3"/>
    </i>
    <i>
      <x v="4"/>
    </i>
    <i>
      <x v="5"/>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6" name="PivotTable1"/>
  </pivotTables>
  <data>
    <tabular pivotCacheId="1">
      <items count="6">
        <i x="0" s="1"/>
        <i x="5"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columnCount="3" showCaption="0" style="SlicerStyleLight4 2" rowHeight="182880"/>
</slicers>
</file>

<file path=xl/tables/table1.xml><?xml version="1.0" encoding="utf-8"?>
<table xmlns="http://schemas.openxmlformats.org/spreadsheetml/2006/main" id="1" name="people" displayName="people" ref="B7:E107" totalsRowShown="0">
  <sortState ref="B8:D107">
    <sortCondition ref="C7:C107"/>
  </sortState>
  <tableColumns count="4">
    <tableColumn id="1" name="ID"/>
    <tableColumn id="2" name="Name"/>
    <tableColumn id="3" name="Department"/>
    <tableColumn id="4" name="Filter?" dataDxfId="23">
      <calculatedColumnFormula>COUNTIF(selected.depts,people[[#This Row],[Department]])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ourses" displayName="courses" ref="H7:N28" totalsRowShown="0">
  <tableColumns count="7">
    <tableColumn id="1" name="ID"/>
    <tableColumn id="2" name="Program name"/>
    <tableColumn id="6" name="Trainer"/>
    <tableColumn id="5" name="Date" dataDxfId="22"/>
    <tableColumn id="3" name="Duration" dataDxfId="21"/>
    <tableColumn id="7" name="Capacity" dataDxfId="20"/>
    <tableColumn id="4" name="Cost" dataDxfId="19"/>
  </tableColumns>
  <tableStyleInfo name="TableStyleMedium2" showFirstColumn="0" showLastColumn="0" showRowStripes="1" showColumnStripes="0"/>
</table>
</file>

<file path=xl/tables/table3.xml><?xml version="1.0" encoding="utf-8"?>
<table xmlns="http://schemas.openxmlformats.org/spreadsheetml/2006/main" id="4" name="tracker" displayName="tracker" ref="R7:W157" totalsRowShown="0">
  <tableColumns count="6">
    <tableColumn id="1" name="i" dataDxfId="18">
      <calculatedColumnFormula>IF(COUNTIFS($S$8:S8,S8,$T$8:T8,T8)&gt;1,2,IF(COUNTIFS($T$8:T8,T8,$U$8:U8,"&lt;&gt;"&amp;Settings!$B$8)&gt;VLOOKUP(T8,courses[[Program name]:[Capacity]],5,FALSE),1,3))</calculatedColumnFormula>
    </tableColumn>
    <tableColumn id="2" name="Person Name"/>
    <tableColumn id="3" name="Program Name"/>
    <tableColumn id="4" name="Status"/>
    <tableColumn id="5" name="Feedback Rating" dataDxfId="17"/>
    <tableColumn id="6" name="Filtered?" dataDxfId="16">
      <calculatedColumnFormula>COUNTIFS(selected.depts,VLOOKUP(tracker[[#This Row],[Person Name]],people[[Name]:[Department]],2,FALSE))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W157"/>
  <sheetViews>
    <sheetView showGridLines="0" tabSelected="1" zoomScaleNormal="100" workbookViewId="0"/>
  </sheetViews>
  <sheetFormatPr defaultRowHeight="14.4" x14ac:dyDescent="0.3"/>
  <cols>
    <col min="1" max="1" width="4" customWidth="1"/>
    <col min="2" max="2" width="8.109375" customWidth="1"/>
    <col min="3" max="3" width="18" customWidth="1"/>
    <col min="4" max="4" width="18.109375" customWidth="1"/>
    <col min="5" max="5" width="6.6640625" hidden="1" customWidth="1"/>
    <col min="6" max="7" width="2.5546875" customWidth="1"/>
    <col min="8" max="8" width="8.33203125" customWidth="1"/>
    <col min="9" max="9" width="40.109375" bestFit="1" customWidth="1"/>
    <col min="10" max="10" width="26.88671875" customWidth="1"/>
    <col min="11" max="11" width="11.44140625" bestFit="1" customWidth="1"/>
    <col min="12" max="12" width="8.6640625" bestFit="1" customWidth="1"/>
    <col min="13" max="13" width="8.44140625" bestFit="1" customWidth="1"/>
    <col min="14" max="14" width="8.5546875" customWidth="1"/>
    <col min="15" max="17" width="2.5546875" customWidth="1"/>
    <col min="18" max="18" width="8.44140625" customWidth="1"/>
    <col min="19" max="19" width="20.44140625" customWidth="1"/>
    <col min="20" max="20" width="40.109375" bestFit="1" customWidth="1"/>
    <col min="21" max="21" width="11.5546875" customWidth="1"/>
    <col min="22" max="22" width="14.44140625" customWidth="1"/>
    <col min="23" max="23" width="9.109375" hidden="1" customWidth="1"/>
  </cols>
  <sheetData>
    <row r="1" spans="2:23" s="1" customFormat="1" ht="57.75" customHeight="1" x14ac:dyDescent="0.25">
      <c r="B1" s="9" t="s">
        <v>0</v>
      </c>
    </row>
    <row r="3" spans="2:23" ht="15" x14ac:dyDescent="0.25">
      <c r="B3" s="4" t="s">
        <v>1</v>
      </c>
      <c r="C3" s="5"/>
      <c r="D3" s="5"/>
      <c r="E3" s="5"/>
      <c r="F3" s="5"/>
      <c r="G3" s="5"/>
      <c r="H3" s="5"/>
      <c r="I3" s="5"/>
      <c r="J3" s="5"/>
      <c r="K3" s="5"/>
      <c r="L3" s="5"/>
      <c r="M3" s="5"/>
      <c r="N3" s="5"/>
      <c r="O3" s="7"/>
      <c r="P3" s="7"/>
      <c r="Q3" s="7"/>
      <c r="R3" s="7"/>
      <c r="S3" s="7"/>
      <c r="T3" s="7"/>
      <c r="U3" s="7"/>
      <c r="V3" s="8"/>
    </row>
    <row r="5" spans="2:23" ht="24.75" customHeight="1" x14ac:dyDescent="0.25">
      <c r="B5" s="13" t="s">
        <v>2</v>
      </c>
      <c r="C5" s="14"/>
      <c r="D5" s="15"/>
      <c r="E5" s="16"/>
      <c r="F5" s="16"/>
      <c r="G5" s="16"/>
      <c r="H5" s="13" t="s">
        <v>6</v>
      </c>
      <c r="I5" s="14"/>
      <c r="J5" s="14"/>
      <c r="K5" s="14"/>
      <c r="L5" s="14"/>
      <c r="M5" s="14"/>
      <c r="N5" s="15"/>
      <c r="O5" s="16"/>
      <c r="P5" s="16"/>
      <c r="Q5" s="16"/>
      <c r="R5" s="17" t="s">
        <v>252</v>
      </c>
      <c r="S5" s="18"/>
      <c r="T5" s="18"/>
      <c r="U5" s="18"/>
      <c r="V5" s="19"/>
    </row>
    <row r="7" spans="2:23" ht="15.75" x14ac:dyDescent="0.3">
      <c r="B7" t="s">
        <v>3</v>
      </c>
      <c r="C7" t="s">
        <v>4</v>
      </c>
      <c r="D7" t="s">
        <v>5</v>
      </c>
      <c r="E7" t="s">
        <v>312</v>
      </c>
      <c r="H7" t="s">
        <v>3</v>
      </c>
      <c r="I7" t="s">
        <v>7</v>
      </c>
      <c r="J7" t="s">
        <v>10</v>
      </c>
      <c r="K7" s="11" t="s">
        <v>247</v>
      </c>
      <c r="L7" t="s">
        <v>8</v>
      </c>
      <c r="M7" t="s">
        <v>264</v>
      </c>
      <c r="N7" s="2" t="s">
        <v>9</v>
      </c>
      <c r="R7" s="12" t="s">
        <v>265</v>
      </c>
      <c r="S7" t="s">
        <v>248</v>
      </c>
      <c r="T7" t="s">
        <v>249</v>
      </c>
      <c r="U7" t="s">
        <v>250</v>
      </c>
      <c r="V7" t="s">
        <v>251</v>
      </c>
      <c r="W7" t="s">
        <v>313</v>
      </c>
    </row>
    <row r="8" spans="2:23" ht="15" x14ac:dyDescent="0.25">
      <c r="B8" t="s">
        <v>11</v>
      </c>
      <c r="C8" t="s">
        <v>169</v>
      </c>
      <c r="D8" t="s">
        <v>244</v>
      </c>
      <c r="E8">
        <f>COUNTIF(selected.depts,people[[#This Row],[Department]])</f>
        <v>1</v>
      </c>
      <c r="H8" t="s">
        <v>199</v>
      </c>
      <c r="I8" t="s">
        <v>222</v>
      </c>
      <c r="J8" t="s">
        <v>171</v>
      </c>
      <c r="K8" s="10">
        <v>42009</v>
      </c>
      <c r="L8" s="2">
        <v>1</v>
      </c>
      <c r="M8" s="2">
        <v>10</v>
      </c>
      <c r="N8" s="3">
        <v>5000</v>
      </c>
      <c r="R8" s="2">
        <f>IF(COUNTIFS($S$8:S8,S8,$T$8:T8,T8)&gt;1,2,IF(COUNTIFS($T$8:T8,T8,$U$8:U8,"&lt;&gt;"&amp;Settings!$B$8)&gt;VLOOKUP(T8,courses[[Program name]:[Capacity]],5,FALSE),1,3))</f>
        <v>3</v>
      </c>
      <c r="S8" t="s">
        <v>149</v>
      </c>
      <c r="T8" t="s">
        <v>239</v>
      </c>
      <c r="U8" t="s">
        <v>255</v>
      </c>
      <c r="V8" t="s">
        <v>259</v>
      </c>
      <c r="W8">
        <f>COUNTIFS(selected.depts,VLOOKUP(tracker[[#This Row],[Person Name]],people[[Name]:[Department]],2,FALSE))</f>
        <v>1</v>
      </c>
    </row>
    <row r="9" spans="2:23" ht="15" x14ac:dyDescent="0.25">
      <c r="B9" t="s">
        <v>12</v>
      </c>
      <c r="C9" t="s">
        <v>142</v>
      </c>
      <c r="D9" t="s">
        <v>242</v>
      </c>
      <c r="E9">
        <f>COUNTIF(selected.depts,people[[#This Row],[Department]])</f>
        <v>1</v>
      </c>
      <c r="H9" t="s">
        <v>200</v>
      </c>
      <c r="I9" t="s">
        <v>239</v>
      </c>
      <c r="J9" t="s">
        <v>173</v>
      </c>
      <c r="K9" s="10">
        <v>42023</v>
      </c>
      <c r="L9" s="2">
        <v>1</v>
      </c>
      <c r="M9" s="2">
        <v>5</v>
      </c>
      <c r="N9" s="3">
        <v>4000</v>
      </c>
      <c r="R9" s="2">
        <f>IF(COUNTIFS($S$8:S9,S9,$T$8:T9,T9)&gt;1,2,IF(COUNTIFS($T$8:T9,T9,$U$8:U9,"&lt;&gt;"&amp;Settings!$B$8)&gt;VLOOKUP(T9,courses[[Program name]:[Capacity]],5,FALSE),1,3))</f>
        <v>3</v>
      </c>
      <c r="S9" t="s">
        <v>142</v>
      </c>
      <c r="T9" t="s">
        <v>238</v>
      </c>
      <c r="U9" t="s">
        <v>255</v>
      </c>
      <c r="W9">
        <f>COUNTIFS(selected.depts,VLOOKUP(tracker[[#This Row],[Person Name]],people[[Name]:[Department]],2,FALSE))</f>
        <v>1</v>
      </c>
    </row>
    <row r="10" spans="2:23" ht="15" x14ac:dyDescent="0.25">
      <c r="B10" t="s">
        <v>13</v>
      </c>
      <c r="C10" t="s">
        <v>123</v>
      </c>
      <c r="D10" t="s">
        <v>245</v>
      </c>
      <c r="E10">
        <f>COUNTIF(selected.depts,people[[#This Row],[Department]])</f>
        <v>1</v>
      </c>
      <c r="H10" t="s">
        <v>201</v>
      </c>
      <c r="I10" t="s">
        <v>231</v>
      </c>
      <c r="J10" t="s">
        <v>176</v>
      </c>
      <c r="K10" s="10">
        <v>42034</v>
      </c>
      <c r="L10" s="2">
        <v>1</v>
      </c>
      <c r="M10" s="2">
        <v>30</v>
      </c>
      <c r="N10" s="3">
        <v>2000</v>
      </c>
      <c r="R10" s="2">
        <f>IF(COUNTIFS($S$8:S10,S10,$T$8:T10,T10)&gt;1,2,IF(COUNTIFS($T$8:T10,T10,$U$8:U10,"&lt;&gt;"&amp;Settings!$B$8)&gt;VLOOKUP(T10,courses[[Program name]:[Capacity]],5,FALSE),1,3))</f>
        <v>3</v>
      </c>
      <c r="S10" t="s">
        <v>122</v>
      </c>
      <c r="T10" t="s">
        <v>222</v>
      </c>
      <c r="U10" t="s">
        <v>255</v>
      </c>
      <c r="V10" t="s">
        <v>263</v>
      </c>
      <c r="W10">
        <f>COUNTIFS(selected.depts,VLOOKUP(tracker[[#This Row],[Person Name]],people[[Name]:[Department]],2,FALSE))</f>
        <v>1</v>
      </c>
    </row>
    <row r="11" spans="2:23" ht="15" x14ac:dyDescent="0.25">
      <c r="B11" t="s">
        <v>14</v>
      </c>
      <c r="C11" t="s">
        <v>134</v>
      </c>
      <c r="D11" t="s">
        <v>242</v>
      </c>
      <c r="E11">
        <f>COUNTIF(selected.depts,people[[#This Row],[Department]])</f>
        <v>1</v>
      </c>
      <c r="H11" t="s">
        <v>202</v>
      </c>
      <c r="I11" t="s">
        <v>232</v>
      </c>
      <c r="J11" t="s">
        <v>179</v>
      </c>
      <c r="K11" s="10">
        <v>42047</v>
      </c>
      <c r="L11" s="2">
        <v>1</v>
      </c>
      <c r="M11" s="2">
        <v>25</v>
      </c>
      <c r="N11" s="3">
        <v>6000</v>
      </c>
      <c r="R11" s="2">
        <f>IF(COUNTIFS($S$8:S11,S11,$T$8:T11,T11)&gt;1,2,IF(COUNTIFS($T$8:T11,T11,$U$8:U11,"&lt;&gt;"&amp;Settings!$B$8)&gt;VLOOKUP(T11,courses[[Program name]:[Capacity]],5,FALSE),1,3))</f>
        <v>3</v>
      </c>
      <c r="S11" t="s">
        <v>174</v>
      </c>
      <c r="T11" t="s">
        <v>233</v>
      </c>
      <c r="U11" t="s">
        <v>255</v>
      </c>
      <c r="W11">
        <f>COUNTIFS(selected.depts,VLOOKUP(tracker[[#This Row],[Person Name]],people[[Name]:[Department]],2,FALSE))</f>
        <v>1</v>
      </c>
    </row>
    <row r="12" spans="2:23" ht="15" x14ac:dyDescent="0.25">
      <c r="B12" t="s">
        <v>15</v>
      </c>
      <c r="C12" t="s">
        <v>290</v>
      </c>
      <c r="D12" t="s">
        <v>241</v>
      </c>
      <c r="E12">
        <f>COUNTIF(selected.depts,people[[#This Row],[Department]])</f>
        <v>1</v>
      </c>
      <c r="H12" t="s">
        <v>203</v>
      </c>
      <c r="I12" t="s">
        <v>235</v>
      </c>
      <c r="J12" t="s">
        <v>180</v>
      </c>
      <c r="K12" s="10">
        <v>42074</v>
      </c>
      <c r="L12" s="2">
        <v>1</v>
      </c>
      <c r="M12" s="2">
        <v>20</v>
      </c>
      <c r="N12" s="3">
        <v>7000</v>
      </c>
      <c r="R12" s="2">
        <f>IF(COUNTIFS($S$8:S12,S12,$T$8:T12,T12)&gt;1,2,IF(COUNTIFS($T$8:T12,T12,$U$8:U12,"&lt;&gt;"&amp;Settings!$B$8)&gt;VLOOKUP(T12,courses[[Program name]:[Capacity]],5,FALSE),1,3))</f>
        <v>3</v>
      </c>
      <c r="S12" t="s">
        <v>147</v>
      </c>
      <c r="T12" t="s">
        <v>230</v>
      </c>
      <c r="U12" t="s">
        <v>255</v>
      </c>
      <c r="V12" t="s">
        <v>260</v>
      </c>
      <c r="W12">
        <f>COUNTIFS(selected.depts,VLOOKUP(tracker[[#This Row],[Person Name]],people[[Name]:[Department]],2,FALSE))</f>
        <v>1</v>
      </c>
    </row>
    <row r="13" spans="2:23" ht="15" x14ac:dyDescent="0.25">
      <c r="B13" t="s">
        <v>16</v>
      </c>
      <c r="C13" t="s">
        <v>118</v>
      </c>
      <c r="D13" t="s">
        <v>243</v>
      </c>
      <c r="E13">
        <f>COUNTIF(selected.depts,people[[#This Row],[Department]])</f>
        <v>1</v>
      </c>
      <c r="H13" t="s">
        <v>204</v>
      </c>
      <c r="I13" t="s">
        <v>226</v>
      </c>
      <c r="J13" t="s">
        <v>182</v>
      </c>
      <c r="K13" s="10">
        <v>42087</v>
      </c>
      <c r="L13" s="2">
        <v>1</v>
      </c>
      <c r="M13" s="2">
        <v>5</v>
      </c>
      <c r="N13" s="3">
        <v>2000</v>
      </c>
      <c r="R13" s="2">
        <f>IF(COUNTIFS($S$8:S13,S13,$T$8:T13,T13)&gt;1,2,IF(COUNTIFS($T$8:T13,T13,$U$8:U13,"&lt;&gt;"&amp;Settings!$B$8)&gt;VLOOKUP(T13,courses[[Program name]:[Capacity]],5,FALSE),1,3))</f>
        <v>3</v>
      </c>
      <c r="S13" t="s">
        <v>152</v>
      </c>
      <c r="T13" t="s">
        <v>223</v>
      </c>
      <c r="U13" t="s">
        <v>255</v>
      </c>
      <c r="V13" t="s">
        <v>260</v>
      </c>
      <c r="W13">
        <f>COUNTIFS(selected.depts,VLOOKUP(tracker[[#This Row],[Person Name]],people[[Name]:[Department]],2,FALSE))</f>
        <v>1</v>
      </c>
    </row>
    <row r="14" spans="2:23" ht="15" x14ac:dyDescent="0.25">
      <c r="B14" t="s">
        <v>17</v>
      </c>
      <c r="C14" t="s">
        <v>158</v>
      </c>
      <c r="D14" t="s">
        <v>243</v>
      </c>
      <c r="E14">
        <f>COUNTIF(selected.depts,people[[#This Row],[Department]])</f>
        <v>1</v>
      </c>
      <c r="H14" t="s">
        <v>205</v>
      </c>
      <c r="I14" t="s">
        <v>221</v>
      </c>
      <c r="J14" t="s">
        <v>184</v>
      </c>
      <c r="K14" s="10">
        <v>42111</v>
      </c>
      <c r="L14" s="2">
        <v>1</v>
      </c>
      <c r="M14" s="2">
        <v>25</v>
      </c>
      <c r="N14" s="3">
        <v>2000</v>
      </c>
      <c r="R14" s="2">
        <f>IF(COUNTIFS($S$8:S14,S14,$T$8:T14,T14)&gt;1,2,IF(COUNTIFS($T$8:T14,T14,$U$8:U14,"&lt;&gt;"&amp;Settings!$B$8)&gt;VLOOKUP(T14,courses[[Program name]:[Capacity]],5,FALSE),1,3))</f>
        <v>3</v>
      </c>
      <c r="S14" t="s">
        <v>132</v>
      </c>
      <c r="T14" t="s">
        <v>239</v>
      </c>
      <c r="U14" t="s">
        <v>255</v>
      </c>
      <c r="V14" t="s">
        <v>261</v>
      </c>
      <c r="W14">
        <f>COUNTIFS(selected.depts,VLOOKUP(tracker[[#This Row],[Person Name]],people[[Name]:[Department]],2,FALSE))</f>
        <v>1</v>
      </c>
    </row>
    <row r="15" spans="2:23" ht="15" x14ac:dyDescent="0.25">
      <c r="B15" t="s">
        <v>18</v>
      </c>
      <c r="C15" t="s">
        <v>111</v>
      </c>
      <c r="D15" t="s">
        <v>245</v>
      </c>
      <c r="E15">
        <f>COUNTIF(selected.depts,people[[#This Row],[Department]])</f>
        <v>1</v>
      </c>
      <c r="H15" t="s">
        <v>206</v>
      </c>
      <c r="I15" t="s">
        <v>227</v>
      </c>
      <c r="J15" t="s">
        <v>186</v>
      </c>
      <c r="K15" s="10">
        <v>42136</v>
      </c>
      <c r="L15" s="2">
        <v>1</v>
      </c>
      <c r="M15" s="2">
        <v>15</v>
      </c>
      <c r="N15" s="3">
        <v>2000</v>
      </c>
      <c r="R15" s="2">
        <f>IF(COUNTIFS($S$8:S15,S15,$T$8:T15,T15)&gt;1,2,IF(COUNTIFS($T$8:T15,T15,$U$8:U15,"&lt;&gt;"&amp;Settings!$B$8)&gt;VLOOKUP(T15,courses[[Program name]:[Capacity]],5,FALSE),1,3))</f>
        <v>3</v>
      </c>
      <c r="S15" t="s">
        <v>187</v>
      </c>
      <c r="T15" t="s">
        <v>237</v>
      </c>
      <c r="U15" t="s">
        <v>255</v>
      </c>
      <c r="W15">
        <f>COUNTIFS(selected.depts,VLOOKUP(tracker[[#This Row],[Person Name]],people[[Name]:[Department]],2,FALSE))</f>
        <v>1</v>
      </c>
    </row>
    <row r="16" spans="2:23" ht="15" x14ac:dyDescent="0.25">
      <c r="B16" t="s">
        <v>19</v>
      </c>
      <c r="C16" t="s">
        <v>117</v>
      </c>
      <c r="D16" t="s">
        <v>241</v>
      </c>
      <c r="E16">
        <f>COUNTIF(selected.depts,people[[#This Row],[Department]])</f>
        <v>1</v>
      </c>
      <c r="H16" t="s">
        <v>207</v>
      </c>
      <c r="I16" t="s">
        <v>236</v>
      </c>
      <c r="J16" t="s">
        <v>188</v>
      </c>
      <c r="K16" s="10">
        <v>42156</v>
      </c>
      <c r="L16" s="2">
        <v>1</v>
      </c>
      <c r="M16" s="2">
        <v>15</v>
      </c>
      <c r="N16" s="3">
        <v>3000</v>
      </c>
      <c r="R16" s="2">
        <f>IF(COUNTIFS($S$8:S16,S16,$T$8:T16,T16)&gt;1,2,IF(COUNTIFS($T$8:T16,T16,$U$8:U16,"&lt;&gt;"&amp;Settings!$B$8)&gt;VLOOKUP(T16,courses[[Program name]:[Capacity]],5,FALSE),1,3))</f>
        <v>3</v>
      </c>
      <c r="S16" t="s">
        <v>138</v>
      </c>
      <c r="T16" t="s">
        <v>238</v>
      </c>
      <c r="U16" t="s">
        <v>255</v>
      </c>
      <c r="W16">
        <f>COUNTIFS(selected.depts,VLOOKUP(tracker[[#This Row],[Person Name]],people[[Name]:[Department]],2,FALSE))</f>
        <v>1</v>
      </c>
    </row>
    <row r="17" spans="2:23" ht="15" x14ac:dyDescent="0.25">
      <c r="B17" t="s">
        <v>20</v>
      </c>
      <c r="C17" t="s">
        <v>291</v>
      </c>
      <c r="D17" t="s">
        <v>244</v>
      </c>
      <c r="E17">
        <f>COUNTIF(selected.depts,people[[#This Row],[Department]])</f>
        <v>1</v>
      </c>
      <c r="H17" t="s">
        <v>208</v>
      </c>
      <c r="I17" t="s">
        <v>230</v>
      </c>
      <c r="J17" t="s">
        <v>171</v>
      </c>
      <c r="K17" s="10">
        <v>42180</v>
      </c>
      <c r="L17" s="2">
        <v>1</v>
      </c>
      <c r="M17" s="2">
        <v>5</v>
      </c>
      <c r="N17" s="3">
        <v>7000</v>
      </c>
      <c r="R17" s="2">
        <f>IF(COUNTIFS($S$8:S17,S17,$T$8:T17,T17)&gt;1,2,IF(COUNTIFS($T$8:T17,T17,$U$8:U17,"&lt;&gt;"&amp;Settings!$B$8)&gt;VLOOKUP(T17,courses[[Program name]:[Capacity]],5,FALSE),1,3))</f>
        <v>3</v>
      </c>
      <c r="S17" t="s">
        <v>121</v>
      </c>
      <c r="T17" t="s">
        <v>228</v>
      </c>
      <c r="U17" t="s">
        <v>255</v>
      </c>
      <c r="W17">
        <f>COUNTIFS(selected.depts,VLOOKUP(tracker[[#This Row],[Person Name]],people[[Name]:[Department]],2,FALSE))</f>
        <v>1</v>
      </c>
    </row>
    <row r="18" spans="2:23" ht="15" x14ac:dyDescent="0.25">
      <c r="B18" t="s">
        <v>21</v>
      </c>
      <c r="C18" t="s">
        <v>162</v>
      </c>
      <c r="D18" t="s">
        <v>244</v>
      </c>
      <c r="E18">
        <f>COUNTIF(selected.depts,people[[#This Row],[Department]])</f>
        <v>1</v>
      </c>
      <c r="H18" t="s">
        <v>209</v>
      </c>
      <c r="I18" t="s">
        <v>240</v>
      </c>
      <c r="J18" t="s">
        <v>173</v>
      </c>
      <c r="K18" s="10">
        <v>42194</v>
      </c>
      <c r="L18" s="2">
        <v>0.5</v>
      </c>
      <c r="M18" s="2">
        <v>20</v>
      </c>
      <c r="N18" s="3">
        <v>2000</v>
      </c>
      <c r="R18" s="2">
        <f>IF(COUNTIFS($S$8:S18,S18,$T$8:T18,T18)&gt;1,2,IF(COUNTIFS($T$8:T18,T18,$U$8:U18,"&lt;&gt;"&amp;Settings!$B$8)&gt;VLOOKUP(T18,courses[[Program name]:[Capacity]],5,FALSE),1,3))</f>
        <v>2</v>
      </c>
      <c r="S18" t="s">
        <v>132</v>
      </c>
      <c r="T18" t="s">
        <v>239</v>
      </c>
      <c r="U18" t="s">
        <v>255</v>
      </c>
      <c r="V18" t="s">
        <v>261</v>
      </c>
      <c r="W18">
        <f>COUNTIFS(selected.depts,VLOOKUP(tracker[[#This Row],[Person Name]],people[[Name]:[Department]],2,FALSE))</f>
        <v>1</v>
      </c>
    </row>
    <row r="19" spans="2:23" ht="15" x14ac:dyDescent="0.25">
      <c r="B19" t="s">
        <v>22</v>
      </c>
      <c r="C19" t="s">
        <v>168</v>
      </c>
      <c r="D19" t="s">
        <v>245</v>
      </c>
      <c r="E19">
        <f>COUNTIF(selected.depts,people[[#This Row],[Department]])</f>
        <v>1</v>
      </c>
      <c r="H19" t="s">
        <v>210</v>
      </c>
      <c r="I19" t="s">
        <v>220</v>
      </c>
      <c r="J19" t="s">
        <v>176</v>
      </c>
      <c r="K19" s="10">
        <v>42213</v>
      </c>
      <c r="L19" s="2">
        <v>0.5</v>
      </c>
      <c r="M19" s="2">
        <v>30</v>
      </c>
      <c r="N19" s="3">
        <v>5000</v>
      </c>
      <c r="R19" s="2">
        <f>IF(COUNTIFS($S$8:S19,S19,$T$8:T19,T19)&gt;1,2,IF(COUNTIFS($T$8:T19,T19,$U$8:U19,"&lt;&gt;"&amp;Settings!$B$8)&gt;VLOOKUP(T19,courses[[Program name]:[Capacity]],5,FALSE),1,3))</f>
        <v>3</v>
      </c>
      <c r="S19" t="s">
        <v>143</v>
      </c>
      <c r="T19" t="s">
        <v>238</v>
      </c>
      <c r="U19" t="s">
        <v>255</v>
      </c>
      <c r="W19">
        <f>COUNTIFS(selected.depts,VLOOKUP(tracker[[#This Row],[Person Name]],people[[Name]:[Department]],2,FALSE))</f>
        <v>1</v>
      </c>
    </row>
    <row r="20" spans="2:23" ht="15" x14ac:dyDescent="0.25">
      <c r="B20" t="s">
        <v>23</v>
      </c>
      <c r="C20" t="s">
        <v>292</v>
      </c>
      <c r="D20" t="s">
        <v>241</v>
      </c>
      <c r="E20">
        <f>COUNTIF(selected.depts,people[[#This Row],[Department]])</f>
        <v>1</v>
      </c>
      <c r="H20" t="s">
        <v>211</v>
      </c>
      <c r="I20" t="s">
        <v>234</v>
      </c>
      <c r="J20" t="s">
        <v>179</v>
      </c>
      <c r="K20" s="10">
        <v>42226</v>
      </c>
      <c r="L20" s="2">
        <v>1</v>
      </c>
      <c r="M20" s="2">
        <v>30</v>
      </c>
      <c r="N20" s="3">
        <v>7000</v>
      </c>
      <c r="R20" s="2">
        <f>IF(COUNTIFS($S$8:S20,S20,$T$8:T20,T20)&gt;1,2,IF(COUNTIFS($T$8:T20,T20,$U$8:U20,"&lt;&gt;"&amp;Settings!$B$8)&gt;VLOOKUP(T20,courses[[Program name]:[Capacity]],5,FALSE),1,3))</f>
        <v>3</v>
      </c>
      <c r="S20" t="s">
        <v>162</v>
      </c>
      <c r="T20" t="s">
        <v>235</v>
      </c>
      <c r="U20" t="s">
        <v>255</v>
      </c>
      <c r="V20" t="s">
        <v>263</v>
      </c>
      <c r="W20">
        <f>COUNTIFS(selected.depts,VLOOKUP(tracker[[#This Row],[Person Name]],people[[Name]:[Department]],2,FALSE))</f>
        <v>1</v>
      </c>
    </row>
    <row r="21" spans="2:23" ht="15" x14ac:dyDescent="0.25">
      <c r="B21" t="s">
        <v>24</v>
      </c>
      <c r="C21" t="s">
        <v>159</v>
      </c>
      <c r="D21" t="s">
        <v>242</v>
      </c>
      <c r="E21">
        <f>COUNTIF(selected.depts,people[[#This Row],[Department]])</f>
        <v>1</v>
      </c>
      <c r="H21" t="s">
        <v>212</v>
      </c>
      <c r="I21" t="s">
        <v>225</v>
      </c>
      <c r="J21" t="s">
        <v>180</v>
      </c>
      <c r="K21" s="10">
        <v>42254</v>
      </c>
      <c r="L21" s="2">
        <v>1</v>
      </c>
      <c r="M21" s="2">
        <v>20</v>
      </c>
      <c r="N21" s="3">
        <v>6000</v>
      </c>
      <c r="R21" s="2">
        <f>IF(COUNTIFS($S$8:S21,S21,$T$8:T21,T21)&gt;1,2,IF(COUNTIFS($T$8:T21,T21,$U$8:U21,"&lt;&gt;"&amp;Settings!$B$8)&gt;VLOOKUP(T21,courses[[Program name]:[Capacity]],5,FALSE),1,3))</f>
        <v>3</v>
      </c>
      <c r="S21" t="s">
        <v>169</v>
      </c>
      <c r="T21" t="s">
        <v>225</v>
      </c>
      <c r="U21" t="s">
        <v>255</v>
      </c>
      <c r="V21" t="s">
        <v>262</v>
      </c>
      <c r="W21">
        <f>COUNTIFS(selected.depts,VLOOKUP(tracker[[#This Row],[Person Name]],people[[Name]:[Department]],2,FALSE))</f>
        <v>1</v>
      </c>
    </row>
    <row r="22" spans="2:23" ht="15" x14ac:dyDescent="0.25">
      <c r="B22" t="s">
        <v>25</v>
      </c>
      <c r="C22" t="s">
        <v>193</v>
      </c>
      <c r="D22" t="s">
        <v>241</v>
      </c>
      <c r="E22">
        <f>COUNTIF(selected.depts,people[[#This Row],[Department]])</f>
        <v>1</v>
      </c>
      <c r="H22" t="s">
        <v>213</v>
      </c>
      <c r="I22" t="s">
        <v>223</v>
      </c>
      <c r="J22" t="s">
        <v>182</v>
      </c>
      <c r="K22" s="10">
        <v>42268</v>
      </c>
      <c r="L22" s="2">
        <v>1</v>
      </c>
      <c r="M22" s="2">
        <v>10</v>
      </c>
      <c r="N22" s="3">
        <v>7000</v>
      </c>
      <c r="R22" s="2">
        <f>IF(COUNTIFS($S$8:S22,S22,$T$8:T22,T22)&gt;1,2,IF(COUNTIFS($T$8:T22,T22,$U$8:U22,"&lt;&gt;"&amp;Settings!$B$8)&gt;VLOOKUP(T22,courses[[Program name]:[Capacity]],5,FALSE),1,3))</f>
        <v>3</v>
      </c>
      <c r="S22" t="s">
        <v>139</v>
      </c>
      <c r="T22" t="s">
        <v>233</v>
      </c>
      <c r="U22" t="s">
        <v>255</v>
      </c>
      <c r="W22">
        <f>COUNTIFS(selected.depts,VLOOKUP(tracker[[#This Row],[Person Name]],people[[Name]:[Department]],2,FALSE))</f>
        <v>1</v>
      </c>
    </row>
    <row r="23" spans="2:23" ht="15" x14ac:dyDescent="0.25">
      <c r="B23" t="s">
        <v>26</v>
      </c>
      <c r="C23" t="s">
        <v>195</v>
      </c>
      <c r="D23" t="s">
        <v>244</v>
      </c>
      <c r="E23">
        <f>COUNTIF(selected.depts,people[[#This Row],[Department]])</f>
        <v>1</v>
      </c>
      <c r="H23" t="s">
        <v>214</v>
      </c>
      <c r="I23" t="s">
        <v>229</v>
      </c>
      <c r="J23" t="s">
        <v>184</v>
      </c>
      <c r="K23" s="10">
        <v>42292</v>
      </c>
      <c r="L23" s="2">
        <v>1</v>
      </c>
      <c r="M23" s="2">
        <v>5</v>
      </c>
      <c r="N23" s="3">
        <v>5000</v>
      </c>
      <c r="R23" s="2">
        <f>IF(COUNTIFS($S$8:S23,S23,$T$8:T23,T23)&gt;1,2,IF(COUNTIFS($T$8:T23,T23,$U$8:U23,"&lt;&gt;"&amp;Settings!$B$8)&gt;VLOOKUP(T23,courses[[Program name]:[Capacity]],5,FALSE),1,3))</f>
        <v>3</v>
      </c>
      <c r="S23" t="s">
        <v>148</v>
      </c>
      <c r="T23" t="s">
        <v>237</v>
      </c>
      <c r="U23" t="s">
        <v>255</v>
      </c>
      <c r="W23">
        <f>COUNTIFS(selected.depts,VLOOKUP(tracker[[#This Row],[Person Name]],people[[Name]:[Department]],2,FALSE))</f>
        <v>1</v>
      </c>
    </row>
    <row r="24" spans="2:23" ht="15" x14ac:dyDescent="0.25">
      <c r="B24" t="s">
        <v>27</v>
      </c>
      <c r="C24" t="s">
        <v>137</v>
      </c>
      <c r="D24" t="s">
        <v>246</v>
      </c>
      <c r="E24">
        <f>COUNTIF(selected.depts,people[[#This Row],[Department]])</f>
        <v>1</v>
      </c>
      <c r="H24" t="s">
        <v>215</v>
      </c>
      <c r="I24" t="s">
        <v>228</v>
      </c>
      <c r="J24" t="s">
        <v>186</v>
      </c>
      <c r="K24" s="10">
        <v>42317</v>
      </c>
      <c r="L24" s="2">
        <v>1</v>
      </c>
      <c r="M24" s="2">
        <v>30</v>
      </c>
      <c r="N24" s="3">
        <v>5000</v>
      </c>
      <c r="R24" s="2">
        <f>IF(COUNTIFS($S$8:S24,S24,$T$8:T24,T24)&gt;1,2,IF(COUNTIFS($T$8:T24,T24,$U$8:U24,"&lt;&gt;"&amp;Settings!$B$8)&gt;VLOOKUP(T24,courses[[Program name]:[Capacity]],5,FALSE),1,3))</f>
        <v>3</v>
      </c>
      <c r="S24" t="s">
        <v>183</v>
      </c>
      <c r="T24" t="s">
        <v>225</v>
      </c>
      <c r="U24" t="s">
        <v>255</v>
      </c>
      <c r="V24" t="s">
        <v>263</v>
      </c>
      <c r="W24">
        <f>COUNTIFS(selected.depts,VLOOKUP(tracker[[#This Row],[Person Name]],people[[Name]:[Department]],2,FALSE))</f>
        <v>1</v>
      </c>
    </row>
    <row r="25" spans="2:23" ht="15" x14ac:dyDescent="0.25">
      <c r="B25" t="s">
        <v>28</v>
      </c>
      <c r="C25" t="s">
        <v>128</v>
      </c>
      <c r="D25" t="s">
        <v>245</v>
      </c>
      <c r="E25">
        <f>COUNTIF(selected.depts,people[[#This Row],[Department]])</f>
        <v>1</v>
      </c>
      <c r="H25" t="s">
        <v>216</v>
      </c>
      <c r="I25" t="s">
        <v>233</v>
      </c>
      <c r="J25" t="s">
        <v>188</v>
      </c>
      <c r="K25" s="10">
        <v>42339</v>
      </c>
      <c r="L25" s="2">
        <v>1.5</v>
      </c>
      <c r="M25" s="2">
        <v>15</v>
      </c>
      <c r="N25" s="3">
        <v>3000</v>
      </c>
      <c r="R25" s="2">
        <f>IF(COUNTIFS($S$8:S25,S25,$T$8:T25,T25)&gt;1,2,IF(COUNTIFS($T$8:T25,T25,$U$8:U25,"&lt;&gt;"&amp;Settings!$B$8)&gt;VLOOKUP(T25,courses[[Program name]:[Capacity]],5,FALSE),1,3))</f>
        <v>3</v>
      </c>
      <c r="S25" t="s">
        <v>112</v>
      </c>
      <c r="T25" t="s">
        <v>230</v>
      </c>
      <c r="U25" t="s">
        <v>255</v>
      </c>
      <c r="V25" t="s">
        <v>261</v>
      </c>
      <c r="W25">
        <f>COUNTIFS(selected.depts,VLOOKUP(tracker[[#This Row],[Person Name]],people[[Name]:[Department]],2,FALSE))</f>
        <v>1</v>
      </c>
    </row>
    <row r="26" spans="2:23" ht="15" x14ac:dyDescent="0.25">
      <c r="B26" t="s">
        <v>29</v>
      </c>
      <c r="C26" t="s">
        <v>143</v>
      </c>
      <c r="D26" t="s">
        <v>241</v>
      </c>
      <c r="E26">
        <f>COUNTIF(selected.depts,people[[#This Row],[Department]])</f>
        <v>1</v>
      </c>
      <c r="H26" t="s">
        <v>217</v>
      </c>
      <c r="I26" t="s">
        <v>224</v>
      </c>
      <c r="J26" t="s">
        <v>171</v>
      </c>
      <c r="K26" s="10">
        <v>42352</v>
      </c>
      <c r="L26" s="2">
        <v>1</v>
      </c>
      <c r="M26" s="2">
        <v>20</v>
      </c>
      <c r="N26" s="3">
        <v>3000</v>
      </c>
      <c r="R26" s="2">
        <f>IF(COUNTIFS($S$8:S26,S26,$T$8:T26,T26)&gt;1,2,IF(COUNTIFS($T$8:T26,T26,$U$8:U26,"&lt;&gt;"&amp;Settings!$B$8)&gt;VLOOKUP(T26,courses[[Program name]:[Capacity]],5,FALSE),1,3))</f>
        <v>3</v>
      </c>
      <c r="S26" t="s">
        <v>196</v>
      </c>
      <c r="T26" t="s">
        <v>235</v>
      </c>
      <c r="U26" t="s">
        <v>255</v>
      </c>
      <c r="V26" t="s">
        <v>262</v>
      </c>
      <c r="W26">
        <f>COUNTIFS(selected.depts,VLOOKUP(tracker[[#This Row],[Person Name]],people[[Name]:[Department]],2,FALSE))</f>
        <v>1</v>
      </c>
    </row>
    <row r="27" spans="2:23" ht="15" x14ac:dyDescent="0.25">
      <c r="B27" t="s">
        <v>30</v>
      </c>
      <c r="C27" t="s">
        <v>294</v>
      </c>
      <c r="D27" t="s">
        <v>244</v>
      </c>
      <c r="E27">
        <f>COUNTIF(selected.depts,people[[#This Row],[Department]])</f>
        <v>1</v>
      </c>
      <c r="H27" t="s">
        <v>218</v>
      </c>
      <c r="I27" t="s">
        <v>237</v>
      </c>
      <c r="J27" t="s">
        <v>173</v>
      </c>
      <c r="K27" s="10">
        <v>42373</v>
      </c>
      <c r="L27" s="2">
        <v>1</v>
      </c>
      <c r="M27" s="2">
        <v>30</v>
      </c>
      <c r="N27" s="3">
        <v>3000</v>
      </c>
      <c r="R27" s="2">
        <f>IF(COUNTIFS($S$8:S27,S27,$T$8:T27,T27)&gt;1,2,IF(COUNTIFS($T$8:T27,T27,$U$8:U27,"&lt;&gt;"&amp;Settings!$B$8)&gt;VLOOKUP(T27,courses[[Program name]:[Capacity]],5,FALSE),1,3))</f>
        <v>3</v>
      </c>
      <c r="S27" t="s">
        <v>136</v>
      </c>
      <c r="T27" t="s">
        <v>240</v>
      </c>
      <c r="U27" t="s">
        <v>255</v>
      </c>
      <c r="V27" t="s">
        <v>259</v>
      </c>
      <c r="W27">
        <f>COUNTIFS(selected.depts,VLOOKUP(tracker[[#This Row],[Person Name]],people[[Name]:[Department]],2,FALSE))</f>
        <v>1</v>
      </c>
    </row>
    <row r="28" spans="2:23" ht="15" x14ac:dyDescent="0.25">
      <c r="B28" t="s">
        <v>31</v>
      </c>
      <c r="C28" t="s">
        <v>174</v>
      </c>
      <c r="D28" t="s">
        <v>244</v>
      </c>
      <c r="E28">
        <f>COUNTIF(selected.depts,people[[#This Row],[Department]])</f>
        <v>1</v>
      </c>
      <c r="H28" t="s">
        <v>219</v>
      </c>
      <c r="I28" t="s">
        <v>238</v>
      </c>
      <c r="J28" t="s">
        <v>176</v>
      </c>
      <c r="K28" s="10">
        <v>42384</v>
      </c>
      <c r="L28" s="2">
        <v>1</v>
      </c>
      <c r="M28" s="2">
        <v>15</v>
      </c>
      <c r="N28" s="3">
        <v>6000</v>
      </c>
      <c r="R28" s="2">
        <f>IF(COUNTIFS($S$8:S28,S28,$T$8:T28,T28)&gt;1,2,IF(COUNTIFS($T$8:T28,T28,$U$8:U28,"&lt;&gt;"&amp;Settings!$B$8)&gt;VLOOKUP(T28,courses[[Program name]:[Capacity]],5,FALSE),1,3))</f>
        <v>3</v>
      </c>
      <c r="S28" t="s">
        <v>190</v>
      </c>
      <c r="T28" t="s">
        <v>230</v>
      </c>
      <c r="U28" t="s">
        <v>255</v>
      </c>
      <c r="V28" t="s">
        <v>260</v>
      </c>
      <c r="W28">
        <f>COUNTIFS(selected.depts,VLOOKUP(tracker[[#This Row],[Person Name]],people[[Name]:[Department]],2,FALSE))</f>
        <v>1</v>
      </c>
    </row>
    <row r="29" spans="2:23" ht="15" x14ac:dyDescent="0.25">
      <c r="B29" t="s">
        <v>32</v>
      </c>
      <c r="C29" t="s">
        <v>178</v>
      </c>
      <c r="D29" t="s">
        <v>241</v>
      </c>
      <c r="E29">
        <f>COUNTIF(selected.depts,people[[#This Row],[Department]])</f>
        <v>1</v>
      </c>
      <c r="L29" s="2"/>
      <c r="M29" s="2"/>
      <c r="N29" s="3"/>
      <c r="R29" s="2">
        <f>IF(COUNTIFS($S$8:S29,S29,$T$8:T29,T29)&gt;1,2,IF(COUNTIFS($T$8:T29,T29,$U$8:U29,"&lt;&gt;"&amp;Settings!$B$8)&gt;VLOOKUP(T29,courses[[Program name]:[Capacity]],5,FALSE),1,3))</f>
        <v>3</v>
      </c>
      <c r="S29" t="s">
        <v>185</v>
      </c>
      <c r="T29" t="s">
        <v>222</v>
      </c>
      <c r="U29" t="s">
        <v>255</v>
      </c>
      <c r="V29" t="s">
        <v>262</v>
      </c>
      <c r="W29">
        <f>COUNTIFS(selected.depts,VLOOKUP(tracker[[#This Row],[Person Name]],people[[Name]:[Department]],2,FALSE))</f>
        <v>1</v>
      </c>
    </row>
    <row r="30" spans="2:23" ht="15" x14ac:dyDescent="0.25">
      <c r="B30" t="s">
        <v>33</v>
      </c>
      <c r="C30" t="s">
        <v>115</v>
      </c>
      <c r="D30" t="s">
        <v>242</v>
      </c>
      <c r="E30">
        <f>COUNTIF(selected.depts,people[[#This Row],[Department]])</f>
        <v>1</v>
      </c>
      <c r="L30" s="2"/>
      <c r="M30" s="2"/>
      <c r="N30" s="3"/>
      <c r="R30" s="2">
        <f>IF(COUNTIFS($S$8:S30,S30,$T$8:T30,T30)&gt;1,2,IF(COUNTIFS($T$8:T30,T30,$U$8:U30,"&lt;&gt;"&amp;Settings!$B$8)&gt;VLOOKUP(T30,courses[[Program name]:[Capacity]],5,FALSE),1,3))</f>
        <v>3</v>
      </c>
      <c r="S30" t="s">
        <v>119</v>
      </c>
      <c r="T30" t="s">
        <v>238</v>
      </c>
      <c r="U30" t="s">
        <v>255</v>
      </c>
      <c r="W30">
        <f>COUNTIFS(selected.depts,VLOOKUP(tracker[[#This Row],[Person Name]],people[[Name]:[Department]],2,FALSE))</f>
        <v>1</v>
      </c>
    </row>
    <row r="31" spans="2:23" ht="15" x14ac:dyDescent="0.25">
      <c r="B31" t="s">
        <v>34</v>
      </c>
      <c r="C31" t="s">
        <v>136</v>
      </c>
      <c r="D31" t="s">
        <v>244</v>
      </c>
      <c r="E31">
        <f>COUNTIF(selected.depts,people[[#This Row],[Department]])</f>
        <v>1</v>
      </c>
      <c r="L31" s="2"/>
      <c r="M31" s="2"/>
      <c r="N31" s="3"/>
      <c r="R31" s="2">
        <f>IF(COUNTIFS($S$8:S31,S31,$T$8:T31,T31)&gt;1,2,IF(COUNTIFS($T$8:T31,T31,$U$8:U31,"&lt;&gt;"&amp;Settings!$B$8)&gt;VLOOKUP(T31,courses[[Program name]:[Capacity]],5,FALSE),1,3))</f>
        <v>3</v>
      </c>
      <c r="S31" t="s">
        <v>137</v>
      </c>
      <c r="T31" t="s">
        <v>237</v>
      </c>
      <c r="U31" t="s">
        <v>255</v>
      </c>
      <c r="W31">
        <f>COUNTIFS(selected.depts,VLOOKUP(tracker[[#This Row],[Person Name]],people[[Name]:[Department]],2,FALSE))</f>
        <v>1</v>
      </c>
    </row>
    <row r="32" spans="2:23" ht="15" x14ac:dyDescent="0.25">
      <c r="B32" t="s">
        <v>35</v>
      </c>
      <c r="C32" t="s">
        <v>151</v>
      </c>
      <c r="D32" t="s">
        <v>242</v>
      </c>
      <c r="E32">
        <f>COUNTIF(selected.depts,people[[#This Row],[Department]])</f>
        <v>1</v>
      </c>
      <c r="R32" s="2">
        <f>IF(COUNTIFS($S$8:S32,S32,$T$8:T32,T32)&gt;1,2,IF(COUNTIFS($T$8:T32,T32,$U$8:U32,"&lt;&gt;"&amp;Settings!$B$8)&gt;VLOOKUP(T32,courses[[Program name]:[Capacity]],5,FALSE),1,3))</f>
        <v>3</v>
      </c>
      <c r="S32" t="s">
        <v>131</v>
      </c>
      <c r="T32" t="s">
        <v>238</v>
      </c>
      <c r="U32" t="s">
        <v>255</v>
      </c>
      <c r="W32">
        <f>COUNTIFS(selected.depts,VLOOKUP(tracker[[#This Row],[Person Name]],people[[Name]:[Department]],2,FALSE))</f>
        <v>1</v>
      </c>
    </row>
    <row r="33" spans="2:23" ht="15" x14ac:dyDescent="0.25">
      <c r="B33" t="s">
        <v>36</v>
      </c>
      <c r="C33" t="s">
        <v>121</v>
      </c>
      <c r="D33" t="s">
        <v>243</v>
      </c>
      <c r="E33">
        <f>COUNTIF(selected.depts,people[[#This Row],[Department]])</f>
        <v>1</v>
      </c>
      <c r="R33" s="2">
        <f>IF(COUNTIFS($S$8:S33,S33,$T$8:T33,T33)&gt;1,2,IF(COUNTIFS($T$8:T33,T33,$U$8:U33,"&lt;&gt;"&amp;Settings!$B$8)&gt;VLOOKUP(T33,courses[[Program name]:[Capacity]],5,FALSE),1,3))</f>
        <v>3</v>
      </c>
      <c r="S33" t="s">
        <v>120</v>
      </c>
      <c r="T33" t="s">
        <v>220</v>
      </c>
      <c r="U33" t="s">
        <v>255</v>
      </c>
      <c r="V33" t="s">
        <v>259</v>
      </c>
      <c r="W33">
        <f>COUNTIFS(selected.depts,VLOOKUP(tracker[[#This Row],[Person Name]],people[[Name]:[Department]],2,FALSE))</f>
        <v>1</v>
      </c>
    </row>
    <row r="34" spans="2:23" ht="15" x14ac:dyDescent="0.25">
      <c r="B34" t="s">
        <v>37</v>
      </c>
      <c r="C34" t="s">
        <v>189</v>
      </c>
      <c r="D34" t="s">
        <v>242</v>
      </c>
      <c r="E34">
        <f>COUNTIF(selected.depts,people[[#This Row],[Department]])</f>
        <v>1</v>
      </c>
      <c r="R34" s="2">
        <f>IF(COUNTIFS($S$8:S34,S34,$T$8:T34,T34)&gt;1,2,IF(COUNTIFS($T$8:T34,T34,$U$8:U34,"&lt;&gt;"&amp;Settings!$B$8)&gt;VLOOKUP(T34,courses[[Program name]:[Capacity]],5,FALSE),1,3))</f>
        <v>3</v>
      </c>
      <c r="S34" t="s">
        <v>126</v>
      </c>
      <c r="T34" t="s">
        <v>220</v>
      </c>
      <c r="U34" t="s">
        <v>255</v>
      </c>
      <c r="V34" t="s">
        <v>262</v>
      </c>
      <c r="W34">
        <f>COUNTIFS(selected.depts,VLOOKUP(tracker[[#This Row],[Person Name]],people[[Name]:[Department]],2,FALSE))</f>
        <v>1</v>
      </c>
    </row>
    <row r="35" spans="2:23" ht="15" x14ac:dyDescent="0.25">
      <c r="B35" t="s">
        <v>38</v>
      </c>
      <c r="C35" t="s">
        <v>132</v>
      </c>
      <c r="D35" t="s">
        <v>245</v>
      </c>
      <c r="E35">
        <f>COUNTIF(selected.depts,people[[#This Row],[Department]])</f>
        <v>1</v>
      </c>
      <c r="R35" s="2">
        <f>IF(COUNTIFS($S$8:S35,S35,$T$8:T35,T35)&gt;1,2,IF(COUNTIFS($T$8:T35,T35,$U$8:U35,"&lt;&gt;"&amp;Settings!$B$8)&gt;VLOOKUP(T35,courses[[Program name]:[Capacity]],5,FALSE),1,3))</f>
        <v>3</v>
      </c>
      <c r="S35" t="s">
        <v>198</v>
      </c>
      <c r="T35" t="s">
        <v>222</v>
      </c>
      <c r="U35" t="s">
        <v>255</v>
      </c>
      <c r="V35" t="s">
        <v>263</v>
      </c>
      <c r="W35">
        <f>COUNTIFS(selected.depts,VLOOKUP(tracker[[#This Row],[Person Name]],people[[Name]:[Department]],2,FALSE))</f>
        <v>1</v>
      </c>
    </row>
    <row r="36" spans="2:23" x14ac:dyDescent="0.3">
      <c r="B36" t="s">
        <v>39</v>
      </c>
      <c r="C36" t="s">
        <v>295</v>
      </c>
      <c r="D36" t="s">
        <v>246</v>
      </c>
      <c r="E36">
        <f>COUNTIF(selected.depts,people[[#This Row],[Department]])</f>
        <v>1</v>
      </c>
      <c r="R36" s="2">
        <f>IF(COUNTIFS($S$8:S36,S36,$T$8:T36,T36)&gt;1,2,IF(COUNTIFS($T$8:T36,T36,$U$8:U36,"&lt;&gt;"&amp;Settings!$B$8)&gt;VLOOKUP(T36,courses[[Program name]:[Capacity]],5,FALSE),1,3))</f>
        <v>3</v>
      </c>
      <c r="S36" t="s">
        <v>127</v>
      </c>
      <c r="T36" t="s">
        <v>221</v>
      </c>
      <c r="U36" t="s">
        <v>255</v>
      </c>
      <c r="V36" t="s">
        <v>261</v>
      </c>
      <c r="W36">
        <f>COUNTIFS(selected.depts,VLOOKUP(tracker[[#This Row],[Person Name]],people[[Name]:[Department]],2,FALSE))</f>
        <v>1</v>
      </c>
    </row>
    <row r="37" spans="2:23" x14ac:dyDescent="0.3">
      <c r="B37" t="s">
        <v>40</v>
      </c>
      <c r="C37" t="s">
        <v>183</v>
      </c>
      <c r="D37" t="s">
        <v>244</v>
      </c>
      <c r="E37">
        <f>COUNTIF(selected.depts,people[[#This Row],[Department]])</f>
        <v>1</v>
      </c>
      <c r="R37" s="2">
        <f>IF(COUNTIFS($S$8:S37,S37,$T$8:T37,T37)&gt;1,2,IF(COUNTIFS($T$8:T37,T37,$U$8:U37,"&lt;&gt;"&amp;Settings!$B$8)&gt;VLOOKUP(T37,courses[[Program name]:[Capacity]],5,FALSE),1,3))</f>
        <v>3</v>
      </c>
      <c r="S37" t="s">
        <v>117</v>
      </c>
      <c r="T37" t="s">
        <v>236</v>
      </c>
      <c r="U37" t="s">
        <v>255</v>
      </c>
      <c r="V37" t="s">
        <v>263</v>
      </c>
      <c r="W37">
        <f>COUNTIFS(selected.depts,VLOOKUP(tracker[[#This Row],[Person Name]],people[[Name]:[Department]],2,FALSE))</f>
        <v>1</v>
      </c>
    </row>
    <row r="38" spans="2:23" x14ac:dyDescent="0.3">
      <c r="B38" t="s">
        <v>41</v>
      </c>
      <c r="C38" t="s">
        <v>141</v>
      </c>
      <c r="D38" t="s">
        <v>241</v>
      </c>
      <c r="E38">
        <f>COUNTIF(selected.depts,people[[#This Row],[Department]])</f>
        <v>1</v>
      </c>
      <c r="R38" s="2">
        <f>IF(COUNTIFS($S$8:S38,S38,$T$8:T38,T38)&gt;1,2,IF(COUNTIFS($T$8:T38,T38,$U$8:U38,"&lt;&gt;"&amp;Settings!$B$8)&gt;VLOOKUP(T38,courses[[Program name]:[Capacity]],5,FALSE),1,3))</f>
        <v>3</v>
      </c>
      <c r="S38" t="s">
        <v>197</v>
      </c>
      <c r="T38" t="s">
        <v>229</v>
      </c>
      <c r="U38" t="s">
        <v>255</v>
      </c>
      <c r="V38" t="s">
        <v>260</v>
      </c>
      <c r="W38">
        <f>COUNTIFS(selected.depts,VLOOKUP(tracker[[#This Row],[Person Name]],people[[Name]:[Department]],2,FALSE))</f>
        <v>1</v>
      </c>
    </row>
    <row r="39" spans="2:23" x14ac:dyDescent="0.3">
      <c r="B39" t="s">
        <v>42</v>
      </c>
      <c r="C39" t="s">
        <v>293</v>
      </c>
      <c r="D39" t="s">
        <v>243</v>
      </c>
      <c r="E39">
        <f>COUNTIF(selected.depts,people[[#This Row],[Department]])</f>
        <v>1</v>
      </c>
      <c r="R39" s="2">
        <f>IF(COUNTIFS($S$8:S39,S39,$T$8:T39,T39)&gt;1,2,IF(COUNTIFS($T$8:T39,T39,$U$8:U39,"&lt;&gt;"&amp;Settings!$B$8)&gt;VLOOKUP(T39,courses[[Program name]:[Capacity]],5,FALSE),1,3))</f>
        <v>3</v>
      </c>
      <c r="S39" t="s">
        <v>165</v>
      </c>
      <c r="T39" t="s">
        <v>226</v>
      </c>
      <c r="U39" t="s">
        <v>255</v>
      </c>
      <c r="V39" t="s">
        <v>262</v>
      </c>
      <c r="W39">
        <f>COUNTIFS(selected.depts,VLOOKUP(tracker[[#This Row],[Person Name]],people[[Name]:[Department]],2,FALSE))</f>
        <v>1</v>
      </c>
    </row>
    <row r="40" spans="2:23" x14ac:dyDescent="0.3">
      <c r="B40" t="s">
        <v>43</v>
      </c>
      <c r="C40" t="s">
        <v>296</v>
      </c>
      <c r="D40" t="s">
        <v>242</v>
      </c>
      <c r="E40">
        <f>COUNTIF(selected.depts,people[[#This Row],[Department]])</f>
        <v>1</v>
      </c>
      <c r="R40" s="2">
        <f>IF(COUNTIFS($S$8:S40,S40,$T$8:T40,T40)&gt;1,2,IF(COUNTIFS($T$8:T40,T40,$U$8:U40,"&lt;&gt;"&amp;Settings!$B$8)&gt;VLOOKUP(T40,courses[[Program name]:[Capacity]],5,FALSE),1,3))</f>
        <v>3</v>
      </c>
      <c r="S40" t="s">
        <v>130</v>
      </c>
      <c r="T40" t="s">
        <v>233</v>
      </c>
      <c r="U40" t="s">
        <v>255</v>
      </c>
      <c r="W40">
        <f>COUNTIFS(selected.depts,VLOOKUP(tracker[[#This Row],[Person Name]],people[[Name]:[Department]],2,FALSE))</f>
        <v>1</v>
      </c>
    </row>
    <row r="41" spans="2:23" x14ac:dyDescent="0.3">
      <c r="B41" t="s">
        <v>44</v>
      </c>
      <c r="C41" t="s">
        <v>126</v>
      </c>
      <c r="D41" t="s">
        <v>244</v>
      </c>
      <c r="E41">
        <f>COUNTIF(selected.depts,people[[#This Row],[Department]])</f>
        <v>1</v>
      </c>
      <c r="R41" s="2">
        <f>IF(COUNTIFS($S$8:S41,S41,$T$8:T41,T41)&gt;1,2,IF(COUNTIFS($T$8:T41,T41,$U$8:U41,"&lt;&gt;"&amp;Settings!$B$8)&gt;VLOOKUP(T41,courses[[Program name]:[Capacity]],5,FALSE),1,3))</f>
        <v>3</v>
      </c>
      <c r="S41" t="s">
        <v>177</v>
      </c>
      <c r="T41" t="s">
        <v>227</v>
      </c>
      <c r="U41" t="s">
        <v>255</v>
      </c>
      <c r="V41" t="s">
        <v>263</v>
      </c>
      <c r="W41">
        <f>COUNTIFS(selected.depts,VLOOKUP(tracker[[#This Row],[Person Name]],people[[Name]:[Department]],2,FALSE))</f>
        <v>1</v>
      </c>
    </row>
    <row r="42" spans="2:23" x14ac:dyDescent="0.3">
      <c r="B42" t="s">
        <v>45</v>
      </c>
      <c r="C42" t="s">
        <v>153</v>
      </c>
      <c r="D42" t="s">
        <v>246</v>
      </c>
      <c r="E42">
        <f>COUNTIF(selected.depts,people[[#This Row],[Department]])</f>
        <v>1</v>
      </c>
      <c r="R42" s="2">
        <f>IF(COUNTIFS($S$8:S42,S42,$T$8:T42,T42)&gt;1,2,IF(COUNTIFS($T$8:T42,T42,$U$8:U42,"&lt;&gt;"&amp;Settings!$B$8)&gt;VLOOKUP(T42,courses[[Program name]:[Capacity]],5,FALSE),1,3))</f>
        <v>3</v>
      </c>
      <c r="S42" t="s">
        <v>134</v>
      </c>
      <c r="T42" t="s">
        <v>231</v>
      </c>
      <c r="U42" t="s">
        <v>255</v>
      </c>
      <c r="V42" t="s">
        <v>260</v>
      </c>
      <c r="W42">
        <f>COUNTIFS(selected.depts,VLOOKUP(tracker[[#This Row],[Person Name]],people[[Name]:[Department]],2,FALSE))</f>
        <v>1</v>
      </c>
    </row>
    <row r="43" spans="2:23" x14ac:dyDescent="0.3">
      <c r="B43" t="s">
        <v>46</v>
      </c>
      <c r="C43" t="s">
        <v>164</v>
      </c>
      <c r="D43" t="s">
        <v>246</v>
      </c>
      <c r="E43">
        <f>COUNTIF(selected.depts,people[[#This Row],[Department]])</f>
        <v>1</v>
      </c>
      <c r="R43" s="2">
        <f>IF(COUNTIFS($S$8:S43,S43,$T$8:T43,T43)&gt;1,2,IF(COUNTIFS($T$8:T43,T43,$U$8:U43,"&lt;&gt;"&amp;Settings!$B$8)&gt;VLOOKUP(T43,courses[[Program name]:[Capacity]],5,FALSE),1,3))</f>
        <v>3</v>
      </c>
      <c r="S43" t="s">
        <v>151</v>
      </c>
      <c r="T43" t="s">
        <v>240</v>
      </c>
      <c r="U43" t="s">
        <v>255</v>
      </c>
      <c r="V43" t="s">
        <v>263</v>
      </c>
      <c r="W43">
        <f>COUNTIFS(selected.depts,VLOOKUP(tracker[[#This Row],[Person Name]],people[[Name]:[Department]],2,FALSE))</f>
        <v>1</v>
      </c>
    </row>
    <row r="44" spans="2:23" x14ac:dyDescent="0.3">
      <c r="B44" t="s">
        <v>47</v>
      </c>
      <c r="C44" t="s">
        <v>166</v>
      </c>
      <c r="D44" t="s">
        <v>242</v>
      </c>
      <c r="E44">
        <f>COUNTIF(selected.depts,people[[#This Row],[Department]])</f>
        <v>1</v>
      </c>
      <c r="R44" s="2">
        <f>IF(COUNTIFS($S$8:S44,S44,$T$8:T44,T44)&gt;1,2,IF(COUNTIFS($T$8:T44,T44,$U$8:U44,"&lt;&gt;"&amp;Settings!$B$8)&gt;VLOOKUP(T44,courses[[Program name]:[Capacity]],5,FALSE),1,3))</f>
        <v>3</v>
      </c>
      <c r="S44" t="s">
        <v>159</v>
      </c>
      <c r="T44" t="s">
        <v>227</v>
      </c>
      <c r="U44" t="s">
        <v>255</v>
      </c>
      <c r="V44" t="s">
        <v>261</v>
      </c>
      <c r="W44">
        <f>COUNTIFS(selected.depts,VLOOKUP(tracker[[#This Row],[Person Name]],people[[Name]:[Department]],2,FALSE))</f>
        <v>1</v>
      </c>
    </row>
    <row r="45" spans="2:23" x14ac:dyDescent="0.3">
      <c r="B45" t="s">
        <v>48</v>
      </c>
      <c r="C45" t="s">
        <v>124</v>
      </c>
      <c r="D45" t="s">
        <v>244</v>
      </c>
      <c r="E45">
        <f>COUNTIF(selected.depts,people[[#This Row],[Department]])</f>
        <v>1</v>
      </c>
      <c r="R45" s="2">
        <f>IF(COUNTIFS($S$8:S45,S45,$T$8:T45,T45)&gt;1,2,IF(COUNTIFS($T$8:T45,T45,$U$8:U45,"&lt;&gt;"&amp;Settings!$B$8)&gt;VLOOKUP(T45,courses[[Program name]:[Capacity]],5,FALSE),1,3))</f>
        <v>3</v>
      </c>
      <c r="S45" t="s">
        <v>160</v>
      </c>
      <c r="T45" t="s">
        <v>240</v>
      </c>
      <c r="U45" t="s">
        <v>255</v>
      </c>
      <c r="V45" t="s">
        <v>259</v>
      </c>
      <c r="W45">
        <f>COUNTIFS(selected.depts,VLOOKUP(tracker[[#This Row],[Person Name]],people[[Name]:[Department]],2,FALSE))</f>
        <v>1</v>
      </c>
    </row>
    <row r="46" spans="2:23" x14ac:dyDescent="0.3">
      <c r="B46" t="s">
        <v>49</v>
      </c>
      <c r="C46" t="s">
        <v>139</v>
      </c>
      <c r="D46" t="s">
        <v>245</v>
      </c>
      <c r="E46">
        <f>COUNTIF(selected.depts,people[[#This Row],[Department]])</f>
        <v>1</v>
      </c>
      <c r="R46" s="2">
        <f>IF(COUNTIFS($S$8:S46,S46,$T$8:T46,T46)&gt;1,2,IF(COUNTIFS($T$8:T46,T46,$U$8:U46,"&lt;&gt;"&amp;Settings!$B$8)&gt;VLOOKUP(T46,courses[[Program name]:[Capacity]],5,FALSE),1,3))</f>
        <v>3</v>
      </c>
      <c r="S46" t="s">
        <v>143</v>
      </c>
      <c r="T46" t="s">
        <v>237</v>
      </c>
      <c r="U46" t="s">
        <v>255</v>
      </c>
      <c r="W46">
        <f>COUNTIFS(selected.depts,VLOOKUP(tracker[[#This Row],[Person Name]],people[[Name]:[Department]],2,FALSE))</f>
        <v>1</v>
      </c>
    </row>
    <row r="47" spans="2:23" x14ac:dyDescent="0.3">
      <c r="B47" t="s">
        <v>50</v>
      </c>
      <c r="C47" t="s">
        <v>190</v>
      </c>
      <c r="D47" t="s">
        <v>244</v>
      </c>
      <c r="E47">
        <f>COUNTIF(selected.depts,people[[#This Row],[Department]])</f>
        <v>1</v>
      </c>
      <c r="R47" s="2">
        <f>IF(COUNTIFS($S$8:S47,S47,$T$8:T47,T47)&gt;1,2,IF(COUNTIFS($T$8:T47,T47,$U$8:U47,"&lt;&gt;"&amp;Settings!$B$8)&gt;VLOOKUP(T47,courses[[Program name]:[Capacity]],5,FALSE),1,3))</f>
        <v>3</v>
      </c>
      <c r="S47" t="s">
        <v>137</v>
      </c>
      <c r="T47" t="s">
        <v>232</v>
      </c>
      <c r="U47" t="s">
        <v>255</v>
      </c>
      <c r="V47" t="s">
        <v>263</v>
      </c>
      <c r="W47">
        <f>COUNTIFS(selected.depts,VLOOKUP(tracker[[#This Row],[Person Name]],people[[Name]:[Department]],2,FALSE))</f>
        <v>1</v>
      </c>
    </row>
    <row r="48" spans="2:23" x14ac:dyDescent="0.3">
      <c r="B48" t="s">
        <v>51</v>
      </c>
      <c r="C48" t="s">
        <v>194</v>
      </c>
      <c r="D48" t="s">
        <v>242</v>
      </c>
      <c r="E48">
        <f>COUNTIF(selected.depts,people[[#This Row],[Department]])</f>
        <v>1</v>
      </c>
      <c r="R48" s="2">
        <f>IF(COUNTIFS($S$8:S48,S48,$T$8:T48,T48)&gt;1,2,IF(COUNTIFS($T$8:T48,T48,$U$8:U48,"&lt;&gt;"&amp;Settings!$B$8)&gt;VLOOKUP(T48,courses[[Program name]:[Capacity]],5,FALSE),1,3))</f>
        <v>3</v>
      </c>
      <c r="S48" t="s">
        <v>135</v>
      </c>
      <c r="T48" t="s">
        <v>233</v>
      </c>
      <c r="U48" t="s">
        <v>255</v>
      </c>
      <c r="W48">
        <f>COUNTIFS(selected.depts,VLOOKUP(tracker[[#This Row],[Person Name]],people[[Name]:[Department]],2,FALSE))</f>
        <v>1</v>
      </c>
    </row>
    <row r="49" spans="2:23" x14ac:dyDescent="0.3">
      <c r="B49" t="s">
        <v>52</v>
      </c>
      <c r="C49" t="s">
        <v>196</v>
      </c>
      <c r="D49" t="s">
        <v>246</v>
      </c>
      <c r="E49">
        <f>COUNTIF(selected.depts,people[[#This Row],[Department]])</f>
        <v>1</v>
      </c>
      <c r="R49" s="2">
        <f>IF(COUNTIFS($S$8:S49,S49,$T$8:T49,T49)&gt;1,2,IF(COUNTIFS($T$8:T49,T49,$U$8:U49,"&lt;&gt;"&amp;Settings!$B$8)&gt;VLOOKUP(T49,courses[[Program name]:[Capacity]],5,FALSE),1,3))</f>
        <v>2</v>
      </c>
      <c r="S49" t="s">
        <v>117</v>
      </c>
      <c r="T49" t="s">
        <v>236</v>
      </c>
      <c r="U49" t="s">
        <v>255</v>
      </c>
      <c r="V49" t="s">
        <v>262</v>
      </c>
      <c r="W49">
        <f>COUNTIFS(selected.depts,VLOOKUP(tracker[[#This Row],[Person Name]],people[[Name]:[Department]],2,FALSE))</f>
        <v>1</v>
      </c>
    </row>
    <row r="50" spans="2:23" x14ac:dyDescent="0.3">
      <c r="B50" t="s">
        <v>53</v>
      </c>
      <c r="C50" t="s">
        <v>122</v>
      </c>
      <c r="D50" t="s">
        <v>243</v>
      </c>
      <c r="E50">
        <f>COUNTIF(selected.depts,people[[#This Row],[Department]])</f>
        <v>1</v>
      </c>
      <c r="R50" s="2">
        <f>IF(COUNTIFS($S$8:S50,S50,$T$8:T50,T50)&gt;1,2,IF(COUNTIFS($T$8:T50,T50,$U$8:U50,"&lt;&gt;"&amp;Settings!$B$8)&gt;VLOOKUP(T50,courses[[Program name]:[Capacity]],5,FALSE),1,3))</f>
        <v>3</v>
      </c>
      <c r="S50" t="s">
        <v>125</v>
      </c>
      <c r="T50" t="s">
        <v>233</v>
      </c>
      <c r="U50" t="s">
        <v>255</v>
      </c>
      <c r="W50">
        <f>COUNTIFS(selected.depts,VLOOKUP(tracker[[#This Row],[Person Name]],people[[Name]:[Department]],2,FALSE))</f>
        <v>1</v>
      </c>
    </row>
    <row r="51" spans="2:23" x14ac:dyDescent="0.3">
      <c r="B51" t="s">
        <v>54</v>
      </c>
      <c r="C51" t="s">
        <v>197</v>
      </c>
      <c r="D51" t="s">
        <v>244</v>
      </c>
      <c r="E51">
        <f>COUNTIF(selected.depts,people[[#This Row],[Department]])</f>
        <v>1</v>
      </c>
      <c r="R51" s="2">
        <f>IF(COUNTIFS($S$8:S51,S51,$T$8:T51,T51)&gt;1,2,IF(COUNTIFS($T$8:T51,T51,$U$8:U51,"&lt;&gt;"&amp;Settings!$B$8)&gt;VLOOKUP(T51,courses[[Program name]:[Capacity]],5,FALSE),1,3))</f>
        <v>3</v>
      </c>
      <c r="S51" t="s">
        <v>114</v>
      </c>
      <c r="T51" t="s">
        <v>239</v>
      </c>
      <c r="U51" t="s">
        <v>255</v>
      </c>
      <c r="V51" t="s">
        <v>261</v>
      </c>
      <c r="W51">
        <f>COUNTIFS(selected.depts,VLOOKUP(tracker[[#This Row],[Person Name]],people[[Name]:[Department]],2,FALSE))</f>
        <v>1</v>
      </c>
    </row>
    <row r="52" spans="2:23" x14ac:dyDescent="0.3">
      <c r="B52" t="s">
        <v>55</v>
      </c>
      <c r="C52" t="s">
        <v>133</v>
      </c>
      <c r="D52" t="s">
        <v>242</v>
      </c>
      <c r="E52">
        <f>COUNTIF(selected.depts,people[[#This Row],[Department]])</f>
        <v>1</v>
      </c>
      <c r="R52" s="2">
        <f>IF(COUNTIFS($S$8:S52,S52,$T$8:T52,T52)&gt;1,2,IF(COUNTIFS($T$8:T52,T52,$U$8:U52,"&lt;&gt;"&amp;Settings!$B$8)&gt;VLOOKUP(T52,courses[[Program name]:[Capacity]],5,FALSE),1,3))</f>
        <v>3</v>
      </c>
      <c r="S52" t="s">
        <v>169</v>
      </c>
      <c r="T52" t="s">
        <v>226</v>
      </c>
      <c r="U52" t="s">
        <v>255</v>
      </c>
      <c r="V52" t="s">
        <v>261</v>
      </c>
      <c r="W52">
        <f>COUNTIFS(selected.depts,VLOOKUP(tracker[[#This Row],[Person Name]],people[[Name]:[Department]],2,FALSE))</f>
        <v>1</v>
      </c>
    </row>
    <row r="53" spans="2:23" x14ac:dyDescent="0.3">
      <c r="B53" t="s">
        <v>56</v>
      </c>
      <c r="C53" t="s">
        <v>298</v>
      </c>
      <c r="D53" t="s">
        <v>243</v>
      </c>
      <c r="E53">
        <f>COUNTIF(selected.depts,people[[#This Row],[Department]])</f>
        <v>1</v>
      </c>
      <c r="R53" s="2">
        <f>IF(COUNTIFS($S$8:S53,S53,$T$8:T53,T53)&gt;1,2,IF(COUNTIFS($T$8:T53,T53,$U$8:U53,"&lt;&gt;"&amp;Settings!$B$8)&gt;VLOOKUP(T53,courses[[Program name]:[Capacity]],5,FALSE),1,3))</f>
        <v>3</v>
      </c>
      <c r="S53" t="s">
        <v>111</v>
      </c>
      <c r="T53" t="s">
        <v>222</v>
      </c>
      <c r="U53" t="s">
        <v>255</v>
      </c>
      <c r="V53" t="s">
        <v>261</v>
      </c>
      <c r="W53">
        <f>COUNTIFS(selected.depts,VLOOKUP(tracker[[#This Row],[Person Name]],people[[Name]:[Department]],2,FALSE))</f>
        <v>1</v>
      </c>
    </row>
    <row r="54" spans="2:23" x14ac:dyDescent="0.3">
      <c r="B54" t="s">
        <v>57</v>
      </c>
      <c r="C54" t="s">
        <v>299</v>
      </c>
      <c r="D54" t="s">
        <v>244</v>
      </c>
      <c r="E54">
        <f>COUNTIF(selected.depts,people[[#This Row],[Department]])</f>
        <v>1</v>
      </c>
      <c r="R54" s="2">
        <f>IF(COUNTIFS($S$8:S54,S54,$T$8:T54,T54)&gt;1,2,IF(COUNTIFS($T$8:T54,T54,$U$8:U54,"&lt;&gt;"&amp;Settings!$B$8)&gt;VLOOKUP(T54,courses[[Program name]:[Capacity]],5,FALSE),1,3))</f>
        <v>3</v>
      </c>
      <c r="S54" t="s">
        <v>124</v>
      </c>
      <c r="T54" t="s">
        <v>240</v>
      </c>
      <c r="U54" t="s">
        <v>255</v>
      </c>
      <c r="V54" t="s">
        <v>260</v>
      </c>
      <c r="W54">
        <f>COUNTIFS(selected.depts,VLOOKUP(tracker[[#This Row],[Person Name]],people[[Name]:[Department]],2,FALSE))</f>
        <v>1</v>
      </c>
    </row>
    <row r="55" spans="2:23" x14ac:dyDescent="0.3">
      <c r="B55" t="s">
        <v>58</v>
      </c>
      <c r="C55" t="s">
        <v>191</v>
      </c>
      <c r="D55" t="s">
        <v>242</v>
      </c>
      <c r="E55">
        <f>COUNTIF(selected.depts,people[[#This Row],[Department]])</f>
        <v>1</v>
      </c>
      <c r="R55" s="2">
        <f>IF(COUNTIFS($S$8:S55,S55,$T$8:T55,T55)&gt;1,2,IF(COUNTIFS($T$8:T55,T55,$U$8:U55,"&lt;&gt;"&amp;Settings!$B$8)&gt;VLOOKUP(T55,courses[[Program name]:[Capacity]],5,FALSE),1,3))</f>
        <v>3</v>
      </c>
      <c r="S55" t="s">
        <v>123</v>
      </c>
      <c r="T55" t="s">
        <v>227</v>
      </c>
      <c r="U55" t="s">
        <v>255</v>
      </c>
      <c r="V55" t="s">
        <v>262</v>
      </c>
      <c r="W55">
        <f>COUNTIFS(selected.depts,VLOOKUP(tracker[[#This Row],[Person Name]],people[[Name]:[Department]],2,FALSE))</f>
        <v>1</v>
      </c>
    </row>
    <row r="56" spans="2:23" x14ac:dyDescent="0.3">
      <c r="B56" t="s">
        <v>59</v>
      </c>
      <c r="C56" t="s">
        <v>119</v>
      </c>
      <c r="D56" t="s">
        <v>244</v>
      </c>
      <c r="E56">
        <f>COUNTIF(selected.depts,people[[#This Row],[Department]])</f>
        <v>1</v>
      </c>
      <c r="R56" s="2">
        <f>IF(COUNTIFS($S$8:S56,S56,$T$8:T56,T56)&gt;1,2,IF(COUNTIFS($T$8:T56,T56,$U$8:U56,"&lt;&gt;"&amp;Settings!$B$8)&gt;VLOOKUP(T56,courses[[Program name]:[Capacity]],5,FALSE),1,3))</f>
        <v>3</v>
      </c>
      <c r="S56" t="s">
        <v>196</v>
      </c>
      <c r="T56" t="s">
        <v>239</v>
      </c>
      <c r="U56" t="s">
        <v>255</v>
      </c>
      <c r="V56" t="s">
        <v>261</v>
      </c>
      <c r="W56">
        <f>COUNTIFS(selected.depts,VLOOKUP(tracker[[#This Row],[Person Name]],people[[Name]:[Department]],2,FALSE))</f>
        <v>1</v>
      </c>
    </row>
    <row r="57" spans="2:23" x14ac:dyDescent="0.3">
      <c r="B57" t="s">
        <v>60</v>
      </c>
      <c r="C57" t="s">
        <v>300</v>
      </c>
      <c r="D57" t="s">
        <v>243</v>
      </c>
      <c r="E57">
        <f>COUNTIF(selected.depts,people[[#This Row],[Department]])</f>
        <v>1</v>
      </c>
      <c r="R57" s="2">
        <f>IF(COUNTIFS($S$8:S57,S57,$T$8:T57,T57)&gt;1,2,IF(COUNTIFS($T$8:T57,T57,$U$8:U57,"&lt;&gt;"&amp;Settings!$B$8)&gt;VLOOKUP(T57,courses[[Program name]:[Capacity]],5,FALSE),1,3))</f>
        <v>3</v>
      </c>
      <c r="S57" t="s">
        <v>168</v>
      </c>
      <c r="T57" t="s">
        <v>234</v>
      </c>
      <c r="U57" t="s">
        <v>255</v>
      </c>
      <c r="V57" t="s">
        <v>261</v>
      </c>
      <c r="W57">
        <f>COUNTIFS(selected.depts,VLOOKUP(tracker[[#This Row],[Person Name]],people[[Name]:[Department]],2,FALSE))</f>
        <v>1</v>
      </c>
    </row>
    <row r="58" spans="2:23" x14ac:dyDescent="0.3">
      <c r="B58" t="s">
        <v>61</v>
      </c>
      <c r="C58" t="s">
        <v>302</v>
      </c>
      <c r="D58" t="s">
        <v>241</v>
      </c>
      <c r="E58">
        <f>COUNTIF(selected.depts,people[[#This Row],[Department]])</f>
        <v>1</v>
      </c>
      <c r="R58" s="2">
        <f>IF(COUNTIFS($S$8:S58,S58,$T$8:T58,T58)&gt;1,2,IF(COUNTIFS($T$8:T58,T58,$U$8:U58,"&lt;&gt;"&amp;Settings!$B$8)&gt;VLOOKUP(T58,courses[[Program name]:[Capacity]],5,FALSE),1,3))</f>
        <v>1</v>
      </c>
      <c r="S58" t="s">
        <v>133</v>
      </c>
      <c r="T58" t="s">
        <v>239</v>
      </c>
      <c r="U58" t="s">
        <v>255</v>
      </c>
      <c r="V58" t="s">
        <v>260</v>
      </c>
      <c r="W58">
        <f>COUNTIFS(selected.depts,VLOOKUP(tracker[[#This Row],[Person Name]],people[[Name]:[Department]],2,FALSE))</f>
        <v>1</v>
      </c>
    </row>
    <row r="59" spans="2:23" x14ac:dyDescent="0.3">
      <c r="B59" t="s">
        <v>62</v>
      </c>
      <c r="C59" t="s">
        <v>112</v>
      </c>
      <c r="D59" t="s">
        <v>241</v>
      </c>
      <c r="E59">
        <f>COUNTIF(selected.depts,people[[#This Row],[Department]])</f>
        <v>1</v>
      </c>
      <c r="R59" s="2">
        <f>IF(COUNTIFS($S$8:S59,S59,$T$8:T59,T59)&gt;1,2,IF(COUNTIFS($T$8:T59,T59,$U$8:U59,"&lt;&gt;"&amp;Settings!$B$8)&gt;VLOOKUP(T59,courses[[Program name]:[Capacity]],5,FALSE),1,3))</f>
        <v>3</v>
      </c>
      <c r="S59" t="s">
        <v>153</v>
      </c>
      <c r="T59" t="s">
        <v>224</v>
      </c>
      <c r="U59" t="s">
        <v>255</v>
      </c>
      <c r="W59">
        <f>COUNTIFS(selected.depts,VLOOKUP(tracker[[#This Row],[Person Name]],people[[Name]:[Department]],2,FALSE))</f>
        <v>1</v>
      </c>
    </row>
    <row r="60" spans="2:23" x14ac:dyDescent="0.3">
      <c r="B60" t="s">
        <v>63</v>
      </c>
      <c r="C60" t="s">
        <v>177</v>
      </c>
      <c r="D60" t="s">
        <v>241</v>
      </c>
      <c r="E60">
        <f>COUNTIF(selected.depts,people[[#This Row],[Department]])</f>
        <v>1</v>
      </c>
      <c r="R60" s="2">
        <f>IF(COUNTIFS($S$8:S60,S60,$T$8:T60,T60)&gt;1,2,IF(COUNTIFS($T$8:T60,T60,$U$8:U60,"&lt;&gt;"&amp;Settings!$B$8)&gt;VLOOKUP(T60,courses[[Program name]:[Capacity]],5,FALSE),1,3))</f>
        <v>3</v>
      </c>
      <c r="S60" t="s">
        <v>135</v>
      </c>
      <c r="T60" t="s">
        <v>240</v>
      </c>
      <c r="U60" t="s">
        <v>255</v>
      </c>
      <c r="V60" t="s">
        <v>260</v>
      </c>
      <c r="W60">
        <f>COUNTIFS(selected.depts,VLOOKUP(tracker[[#This Row],[Person Name]],people[[Name]:[Department]],2,FALSE))</f>
        <v>1</v>
      </c>
    </row>
    <row r="61" spans="2:23" x14ac:dyDescent="0.3">
      <c r="B61" t="s">
        <v>64</v>
      </c>
      <c r="C61" t="s">
        <v>120</v>
      </c>
      <c r="D61" t="s">
        <v>244</v>
      </c>
      <c r="E61">
        <f>COUNTIF(selected.depts,people[[#This Row],[Department]])</f>
        <v>1</v>
      </c>
      <c r="R61" s="2">
        <f>IF(COUNTIFS($S$8:S61,S61,$T$8:T61,T61)&gt;1,2,IF(COUNTIFS($T$8:T61,T61,$U$8:U61,"&lt;&gt;"&amp;Settings!$B$8)&gt;VLOOKUP(T61,courses[[Program name]:[Capacity]],5,FALSE),1,3))</f>
        <v>3</v>
      </c>
      <c r="S61" t="s">
        <v>170</v>
      </c>
      <c r="T61" t="s">
        <v>227</v>
      </c>
      <c r="U61" t="s">
        <v>255</v>
      </c>
      <c r="V61" t="s">
        <v>259</v>
      </c>
      <c r="W61">
        <f>COUNTIFS(selected.depts,VLOOKUP(tracker[[#This Row],[Person Name]],people[[Name]:[Department]],2,FALSE))</f>
        <v>1</v>
      </c>
    </row>
    <row r="62" spans="2:23" x14ac:dyDescent="0.3">
      <c r="B62" t="s">
        <v>65</v>
      </c>
      <c r="C62" t="s">
        <v>155</v>
      </c>
      <c r="D62" t="s">
        <v>246</v>
      </c>
      <c r="E62">
        <f>COUNTIF(selected.depts,people[[#This Row],[Department]])</f>
        <v>1</v>
      </c>
      <c r="R62" s="2">
        <f>IF(COUNTIFS($S$8:S62,S62,$T$8:T62,T62)&gt;1,2,IF(COUNTIFS($T$8:T62,T62,$U$8:U62,"&lt;&gt;"&amp;Settings!$B$8)&gt;VLOOKUP(T62,courses[[Program name]:[Capacity]],5,FALSE),1,3))</f>
        <v>3</v>
      </c>
      <c r="S62" t="s">
        <v>132</v>
      </c>
      <c r="T62" t="s">
        <v>235</v>
      </c>
      <c r="U62" t="s">
        <v>255</v>
      </c>
      <c r="V62" t="s">
        <v>263</v>
      </c>
      <c r="W62">
        <f>COUNTIFS(selected.depts,VLOOKUP(tracker[[#This Row],[Person Name]],people[[Name]:[Department]],2,FALSE))</f>
        <v>1</v>
      </c>
    </row>
    <row r="63" spans="2:23" x14ac:dyDescent="0.3">
      <c r="B63" t="s">
        <v>66</v>
      </c>
      <c r="C63" t="s">
        <v>125</v>
      </c>
      <c r="D63" t="s">
        <v>244</v>
      </c>
      <c r="E63">
        <f>COUNTIF(selected.depts,people[[#This Row],[Department]])</f>
        <v>1</v>
      </c>
      <c r="R63" s="2">
        <f>IF(COUNTIFS($S$8:S63,S63,$T$8:T63,T63)&gt;1,2,IF(COUNTIFS($T$8:T63,T63,$U$8:U63,"&lt;&gt;"&amp;Settings!$B$8)&gt;VLOOKUP(T63,courses[[Program name]:[Capacity]],5,FALSE),1,3))</f>
        <v>3</v>
      </c>
      <c r="S63" t="s">
        <v>114</v>
      </c>
      <c r="T63" t="s">
        <v>235</v>
      </c>
      <c r="U63" t="s">
        <v>255</v>
      </c>
      <c r="V63" t="s">
        <v>259</v>
      </c>
      <c r="W63">
        <f>COUNTIFS(selected.depts,VLOOKUP(tracker[[#This Row],[Person Name]],people[[Name]:[Department]],2,FALSE))</f>
        <v>1</v>
      </c>
    </row>
    <row r="64" spans="2:23" x14ac:dyDescent="0.3">
      <c r="B64" t="s">
        <v>67</v>
      </c>
      <c r="C64" t="s">
        <v>301</v>
      </c>
      <c r="D64" t="s">
        <v>243</v>
      </c>
      <c r="E64">
        <f>COUNTIF(selected.depts,people[[#This Row],[Department]])</f>
        <v>1</v>
      </c>
      <c r="R64" s="2">
        <f>IF(COUNTIFS($S$8:S64,S64,$T$8:T64,T64)&gt;1,2,IF(COUNTIFS($T$8:T64,T64,$U$8:U64,"&lt;&gt;"&amp;Settings!$B$8)&gt;VLOOKUP(T64,courses[[Program name]:[Capacity]],5,FALSE),1,3))</f>
        <v>1</v>
      </c>
      <c r="S64" t="s">
        <v>174</v>
      </c>
      <c r="T64" t="s">
        <v>239</v>
      </c>
      <c r="U64" t="s">
        <v>255</v>
      </c>
      <c r="V64" t="s">
        <v>263</v>
      </c>
      <c r="W64">
        <f>COUNTIFS(selected.depts,VLOOKUP(tracker[[#This Row],[Person Name]],people[[Name]:[Department]],2,FALSE))</f>
        <v>1</v>
      </c>
    </row>
    <row r="65" spans="2:23" x14ac:dyDescent="0.3">
      <c r="B65" t="s">
        <v>68</v>
      </c>
      <c r="C65" t="s">
        <v>147</v>
      </c>
      <c r="D65" t="s">
        <v>245</v>
      </c>
      <c r="E65">
        <f>COUNTIF(selected.depts,people[[#This Row],[Department]])</f>
        <v>1</v>
      </c>
      <c r="R65" s="2">
        <f>IF(COUNTIFS($S$8:S65,S65,$T$8:T65,T65)&gt;1,2,IF(COUNTIFS($T$8:T65,T65,$U$8:U65,"&lt;&gt;"&amp;Settings!$B$8)&gt;VLOOKUP(T65,courses[[Program name]:[Capacity]],5,FALSE),1,3))</f>
        <v>3</v>
      </c>
      <c r="S65" t="s">
        <v>132</v>
      </c>
      <c r="T65" t="s">
        <v>240</v>
      </c>
      <c r="U65" t="s">
        <v>255</v>
      </c>
      <c r="V65" t="s">
        <v>259</v>
      </c>
      <c r="W65">
        <f>COUNTIFS(selected.depts,VLOOKUP(tracker[[#This Row],[Person Name]],people[[Name]:[Department]],2,FALSE))</f>
        <v>1</v>
      </c>
    </row>
    <row r="66" spans="2:23" x14ac:dyDescent="0.3">
      <c r="B66" t="s">
        <v>69</v>
      </c>
      <c r="C66" t="s">
        <v>303</v>
      </c>
      <c r="D66" t="s">
        <v>242</v>
      </c>
      <c r="E66">
        <f>COUNTIF(selected.depts,people[[#This Row],[Department]])</f>
        <v>1</v>
      </c>
      <c r="R66" s="2">
        <f>IF(COUNTIFS($S$8:S66,S66,$T$8:T66,T66)&gt;1,2,IF(COUNTIFS($T$8:T66,T66,$U$8:U66,"&lt;&gt;"&amp;Settings!$B$8)&gt;VLOOKUP(T66,courses[[Program name]:[Capacity]],5,FALSE),1,3))</f>
        <v>3</v>
      </c>
      <c r="S66" t="s">
        <v>192</v>
      </c>
      <c r="T66" t="s">
        <v>231</v>
      </c>
      <c r="U66" t="s">
        <v>255</v>
      </c>
      <c r="V66" t="s">
        <v>260</v>
      </c>
      <c r="W66">
        <f>COUNTIFS(selected.depts,VLOOKUP(tracker[[#This Row],[Person Name]],people[[Name]:[Department]],2,FALSE))</f>
        <v>1</v>
      </c>
    </row>
    <row r="67" spans="2:23" x14ac:dyDescent="0.3">
      <c r="B67" t="s">
        <v>70</v>
      </c>
      <c r="C67" t="s">
        <v>167</v>
      </c>
      <c r="D67" t="s">
        <v>243</v>
      </c>
      <c r="E67">
        <f>COUNTIF(selected.depts,people[[#This Row],[Department]])</f>
        <v>1</v>
      </c>
      <c r="R67" s="2">
        <f>IF(COUNTIFS($S$8:S67,S67,$T$8:T67,T67)&gt;1,2,IF(COUNTIFS($T$8:T67,T67,$U$8:U67,"&lt;&gt;"&amp;Settings!$B$8)&gt;VLOOKUP(T67,courses[[Program name]:[Capacity]],5,FALSE),1,3))</f>
        <v>3</v>
      </c>
      <c r="S67" t="s">
        <v>160</v>
      </c>
      <c r="T67" t="s">
        <v>234</v>
      </c>
      <c r="U67" t="s">
        <v>255</v>
      </c>
      <c r="V67" t="s">
        <v>262</v>
      </c>
      <c r="W67">
        <f>COUNTIFS(selected.depts,VLOOKUP(tracker[[#This Row],[Person Name]],people[[Name]:[Department]],2,FALSE))</f>
        <v>1</v>
      </c>
    </row>
    <row r="68" spans="2:23" x14ac:dyDescent="0.3">
      <c r="B68" t="s">
        <v>71</v>
      </c>
      <c r="C68" t="s">
        <v>304</v>
      </c>
      <c r="D68" t="s">
        <v>244</v>
      </c>
      <c r="E68">
        <f>COUNTIF(selected.depts,people[[#This Row],[Department]])</f>
        <v>1</v>
      </c>
      <c r="R68" s="2">
        <f>IF(COUNTIFS($S$8:S68,S68,$T$8:T68,T68)&gt;1,2,IF(COUNTIFS($T$8:T68,T68,$U$8:U68,"&lt;&gt;"&amp;Settings!$B$8)&gt;VLOOKUP(T68,courses[[Program name]:[Capacity]],5,FALSE),1,3))</f>
        <v>3</v>
      </c>
      <c r="S68" t="s">
        <v>148</v>
      </c>
      <c r="T68" t="s">
        <v>232</v>
      </c>
      <c r="U68" t="s">
        <v>255</v>
      </c>
      <c r="V68" t="s">
        <v>259</v>
      </c>
      <c r="W68">
        <f>COUNTIFS(selected.depts,VLOOKUP(tracker[[#This Row],[Person Name]],people[[Name]:[Department]],2,FALSE))</f>
        <v>1</v>
      </c>
    </row>
    <row r="69" spans="2:23" x14ac:dyDescent="0.3">
      <c r="B69" t="s">
        <v>72</v>
      </c>
      <c r="C69" t="s">
        <v>154</v>
      </c>
      <c r="D69" t="s">
        <v>246</v>
      </c>
      <c r="E69">
        <f>COUNTIF(selected.depts,people[[#This Row],[Department]])</f>
        <v>1</v>
      </c>
      <c r="R69" s="2">
        <f>IF(COUNTIFS($S$8:S69,S69,$T$8:T69,T69)&gt;1,2,IF(COUNTIFS($T$8:T69,T69,$U$8:U69,"&lt;&gt;"&amp;Settings!$B$8)&gt;VLOOKUP(T69,courses[[Program name]:[Capacity]],5,FALSE),1,3))</f>
        <v>3</v>
      </c>
      <c r="S69" t="s">
        <v>137</v>
      </c>
      <c r="T69" t="s">
        <v>236</v>
      </c>
      <c r="U69" t="s">
        <v>255</v>
      </c>
      <c r="V69" t="s">
        <v>261</v>
      </c>
      <c r="W69">
        <f>COUNTIFS(selected.depts,VLOOKUP(tracker[[#This Row],[Person Name]],people[[Name]:[Department]],2,FALSE))</f>
        <v>1</v>
      </c>
    </row>
    <row r="70" spans="2:23" x14ac:dyDescent="0.3">
      <c r="B70" t="s">
        <v>73</v>
      </c>
      <c r="C70" t="s">
        <v>113</v>
      </c>
      <c r="D70" t="s">
        <v>244</v>
      </c>
      <c r="E70">
        <f>COUNTIF(selected.depts,people[[#This Row],[Department]])</f>
        <v>1</v>
      </c>
      <c r="R70" s="2">
        <f>IF(COUNTIFS($S$8:S70,S70,$T$8:T70,T70)&gt;1,2,IF(COUNTIFS($T$8:T70,T70,$U$8:U70,"&lt;&gt;"&amp;Settings!$B$8)&gt;VLOOKUP(T70,courses[[Program name]:[Capacity]],5,FALSE),1,3))</f>
        <v>3</v>
      </c>
      <c r="S70" t="s">
        <v>152</v>
      </c>
      <c r="T70" t="s">
        <v>229</v>
      </c>
      <c r="U70" t="s">
        <v>255</v>
      </c>
      <c r="V70" t="s">
        <v>262</v>
      </c>
      <c r="W70">
        <f>COUNTIFS(selected.depts,VLOOKUP(tracker[[#This Row],[Person Name]],people[[Name]:[Department]],2,FALSE))</f>
        <v>1</v>
      </c>
    </row>
    <row r="71" spans="2:23" x14ac:dyDescent="0.3">
      <c r="B71" t="s">
        <v>74</v>
      </c>
      <c r="C71" t="s">
        <v>116</v>
      </c>
      <c r="D71" t="s">
        <v>246</v>
      </c>
      <c r="E71">
        <f>COUNTIF(selected.depts,people[[#This Row],[Department]])</f>
        <v>1</v>
      </c>
      <c r="R71" s="2">
        <f>IF(COUNTIFS($S$8:S71,S71,$T$8:T71,T71)&gt;1,2,IF(COUNTIFS($T$8:T71,T71,$U$8:U71,"&lt;&gt;"&amp;Settings!$B$8)&gt;VLOOKUP(T71,courses[[Program name]:[Capacity]],5,FALSE),1,3))</f>
        <v>3</v>
      </c>
      <c r="S71" t="s">
        <v>196</v>
      </c>
      <c r="T71" t="s">
        <v>231</v>
      </c>
      <c r="U71" t="s">
        <v>255</v>
      </c>
      <c r="V71" t="s">
        <v>263</v>
      </c>
      <c r="W71">
        <f>COUNTIFS(selected.depts,VLOOKUP(tracker[[#This Row],[Person Name]],people[[Name]:[Department]],2,FALSE))</f>
        <v>1</v>
      </c>
    </row>
    <row r="72" spans="2:23" x14ac:dyDescent="0.3">
      <c r="B72" t="s">
        <v>75</v>
      </c>
      <c r="C72" t="s">
        <v>297</v>
      </c>
      <c r="D72" t="s">
        <v>243</v>
      </c>
      <c r="E72">
        <f>COUNTIF(selected.depts,people[[#This Row],[Department]])</f>
        <v>1</v>
      </c>
      <c r="R72" s="2">
        <f>IF(COUNTIFS($S$8:S72,S72,$T$8:T72,T72)&gt;1,2,IF(COUNTIFS($T$8:T72,T72,$U$8:U72,"&lt;&gt;"&amp;Settings!$B$8)&gt;VLOOKUP(T72,courses[[Program name]:[Capacity]],5,FALSE),1,3))</f>
        <v>1</v>
      </c>
      <c r="S72" t="s">
        <v>198</v>
      </c>
      <c r="T72" t="s">
        <v>239</v>
      </c>
      <c r="U72" t="s">
        <v>255</v>
      </c>
      <c r="V72" t="s">
        <v>260</v>
      </c>
      <c r="W72">
        <f>COUNTIFS(selected.depts,VLOOKUP(tracker[[#This Row],[Person Name]],people[[Name]:[Department]],2,FALSE))</f>
        <v>1</v>
      </c>
    </row>
    <row r="73" spans="2:23" x14ac:dyDescent="0.3">
      <c r="B73" t="s">
        <v>76</v>
      </c>
      <c r="C73" t="s">
        <v>127</v>
      </c>
      <c r="D73" t="s">
        <v>245</v>
      </c>
      <c r="E73">
        <f>COUNTIF(selected.depts,people[[#This Row],[Department]])</f>
        <v>1</v>
      </c>
      <c r="R73" s="2">
        <f>IF(COUNTIFS($S$8:S73,S73,$T$8:T73,T73)&gt;1,2,IF(COUNTIFS($T$8:T73,T73,$U$8:U73,"&lt;&gt;"&amp;Settings!$B$8)&gt;VLOOKUP(T73,courses[[Program name]:[Capacity]],5,FALSE),1,3))</f>
        <v>3</v>
      </c>
      <c r="S73" t="s">
        <v>120</v>
      </c>
      <c r="T73" t="s">
        <v>227</v>
      </c>
      <c r="U73" t="s">
        <v>255</v>
      </c>
      <c r="V73" t="s">
        <v>261</v>
      </c>
      <c r="W73">
        <f>COUNTIFS(selected.depts,VLOOKUP(tracker[[#This Row],[Person Name]],people[[Name]:[Department]],2,FALSE))</f>
        <v>1</v>
      </c>
    </row>
    <row r="74" spans="2:23" x14ac:dyDescent="0.3">
      <c r="B74" t="s">
        <v>77</v>
      </c>
      <c r="C74" t="s">
        <v>148</v>
      </c>
      <c r="D74" t="s">
        <v>246</v>
      </c>
      <c r="E74">
        <f>COUNTIF(selected.depts,people[[#This Row],[Department]])</f>
        <v>1</v>
      </c>
      <c r="R74" s="2">
        <f>IF(COUNTIFS($S$8:S74,S74,$T$8:T74,T74)&gt;1,2,IF(COUNTIFS($T$8:T74,T74,$U$8:U74,"&lt;&gt;"&amp;Settings!$B$8)&gt;VLOOKUP(T74,courses[[Program name]:[Capacity]],5,FALSE),1,3))</f>
        <v>1</v>
      </c>
      <c r="S74" t="s">
        <v>148</v>
      </c>
      <c r="T74" t="s">
        <v>239</v>
      </c>
      <c r="U74" t="s">
        <v>255</v>
      </c>
      <c r="V74" t="s">
        <v>259</v>
      </c>
      <c r="W74">
        <f>COUNTIFS(selected.depts,VLOOKUP(tracker[[#This Row],[Person Name]],people[[Name]:[Department]],2,FALSE))</f>
        <v>1</v>
      </c>
    </row>
    <row r="75" spans="2:23" x14ac:dyDescent="0.3">
      <c r="B75" t="s">
        <v>78</v>
      </c>
      <c r="C75" t="s">
        <v>156</v>
      </c>
      <c r="D75" t="s">
        <v>243</v>
      </c>
      <c r="E75">
        <f>COUNTIF(selected.depts,people[[#This Row],[Department]])</f>
        <v>1</v>
      </c>
      <c r="R75" s="2">
        <f>IF(COUNTIFS($S$8:S75,S75,$T$8:T75,T75)&gt;1,2,IF(COUNTIFS($T$8:T75,T75,$U$8:U75,"&lt;&gt;"&amp;Settings!$B$8)&gt;VLOOKUP(T75,courses[[Program name]:[Capacity]],5,FALSE),1,3))</f>
        <v>2</v>
      </c>
      <c r="S75" t="s">
        <v>132</v>
      </c>
      <c r="T75" t="s">
        <v>239</v>
      </c>
      <c r="U75" t="s">
        <v>255</v>
      </c>
      <c r="V75" t="s">
        <v>263</v>
      </c>
      <c r="W75">
        <f>COUNTIFS(selected.depts,VLOOKUP(tracker[[#This Row],[Person Name]],people[[Name]:[Department]],2,FALSE))</f>
        <v>1</v>
      </c>
    </row>
    <row r="76" spans="2:23" x14ac:dyDescent="0.3">
      <c r="B76" t="s">
        <v>79</v>
      </c>
      <c r="C76" t="s">
        <v>114</v>
      </c>
      <c r="D76" t="s">
        <v>242</v>
      </c>
      <c r="E76">
        <f>COUNTIF(selected.depts,people[[#This Row],[Department]])</f>
        <v>1</v>
      </c>
      <c r="R76" s="2">
        <f>IF(COUNTIFS($S$8:S76,S76,$T$8:T76,T76)&gt;1,2,IF(COUNTIFS($T$8:T76,T76,$U$8:U76,"&lt;&gt;"&amp;Settings!$B$8)&gt;VLOOKUP(T76,courses[[Program name]:[Capacity]],5,FALSE),1,3))</f>
        <v>1</v>
      </c>
      <c r="S76" t="s">
        <v>155</v>
      </c>
      <c r="T76" t="s">
        <v>239</v>
      </c>
      <c r="U76" t="s">
        <v>255</v>
      </c>
      <c r="V76" t="s">
        <v>263</v>
      </c>
      <c r="W76">
        <f>COUNTIFS(selected.depts,VLOOKUP(tracker[[#This Row],[Person Name]],people[[Name]:[Department]],2,FALSE))</f>
        <v>1</v>
      </c>
    </row>
    <row r="77" spans="2:23" x14ac:dyDescent="0.3">
      <c r="B77" t="s">
        <v>80</v>
      </c>
      <c r="C77" t="s">
        <v>129</v>
      </c>
      <c r="D77" t="s">
        <v>243</v>
      </c>
      <c r="E77">
        <f>COUNTIF(selected.depts,people[[#This Row],[Department]])</f>
        <v>1</v>
      </c>
      <c r="R77" s="2">
        <f>IF(COUNTIFS($S$8:S77,S77,$T$8:T77,T77)&gt;1,2,IF(COUNTIFS($T$8:T77,T77,$U$8:U77,"&lt;&gt;"&amp;Settings!$B$8)&gt;VLOOKUP(T77,courses[[Program name]:[Capacity]],5,FALSE),1,3))</f>
        <v>3</v>
      </c>
      <c r="S77" t="s">
        <v>185</v>
      </c>
      <c r="T77" t="s">
        <v>237</v>
      </c>
      <c r="U77" t="s">
        <v>255</v>
      </c>
      <c r="W77">
        <f>COUNTIFS(selected.depts,VLOOKUP(tracker[[#This Row],[Person Name]],people[[Name]:[Department]],2,FALSE))</f>
        <v>1</v>
      </c>
    </row>
    <row r="78" spans="2:23" x14ac:dyDescent="0.3">
      <c r="B78" t="s">
        <v>81</v>
      </c>
      <c r="C78" t="s">
        <v>145</v>
      </c>
      <c r="D78" t="s">
        <v>244</v>
      </c>
      <c r="E78">
        <f>COUNTIF(selected.depts,people[[#This Row],[Department]])</f>
        <v>1</v>
      </c>
      <c r="R78" s="2">
        <f>IF(COUNTIFS($S$8:S78,S78,$T$8:T78,T78)&gt;1,2,IF(COUNTIFS($T$8:T78,T78,$U$8:U78,"&lt;&gt;"&amp;Settings!$B$8)&gt;VLOOKUP(T78,courses[[Program name]:[Capacity]],5,FALSE),1,3))</f>
        <v>3</v>
      </c>
      <c r="S78" t="s">
        <v>147</v>
      </c>
      <c r="T78" t="s">
        <v>225</v>
      </c>
      <c r="U78" t="s">
        <v>255</v>
      </c>
      <c r="V78" t="s">
        <v>263</v>
      </c>
      <c r="W78">
        <f>COUNTIFS(selected.depts,VLOOKUP(tracker[[#This Row],[Person Name]],people[[Name]:[Department]],2,FALSE))</f>
        <v>1</v>
      </c>
    </row>
    <row r="79" spans="2:23" x14ac:dyDescent="0.3">
      <c r="B79" t="s">
        <v>82</v>
      </c>
      <c r="C79" t="s">
        <v>160</v>
      </c>
      <c r="D79" t="s">
        <v>242</v>
      </c>
      <c r="E79">
        <f>COUNTIF(selected.depts,people[[#This Row],[Department]])</f>
        <v>1</v>
      </c>
      <c r="R79" s="2">
        <f>IF(COUNTIFS($S$8:S79,S79,$T$8:T79,T79)&gt;1,2,IF(COUNTIFS($T$8:T79,T79,$U$8:U79,"&lt;&gt;"&amp;Settings!$B$8)&gt;VLOOKUP(T79,courses[[Program name]:[Capacity]],5,FALSE),1,3))</f>
        <v>3</v>
      </c>
      <c r="S79" t="s">
        <v>126</v>
      </c>
      <c r="T79" t="s">
        <v>237</v>
      </c>
      <c r="U79" t="s">
        <v>255</v>
      </c>
      <c r="W79">
        <f>COUNTIFS(selected.depts,VLOOKUP(tracker[[#This Row],[Person Name]],people[[Name]:[Department]],2,FALSE))</f>
        <v>1</v>
      </c>
    </row>
    <row r="80" spans="2:23" x14ac:dyDescent="0.3">
      <c r="B80" t="s">
        <v>83</v>
      </c>
      <c r="C80" t="s">
        <v>144</v>
      </c>
      <c r="D80" t="s">
        <v>244</v>
      </c>
      <c r="E80">
        <f>COUNTIF(selected.depts,people[[#This Row],[Department]])</f>
        <v>1</v>
      </c>
      <c r="R80" s="2">
        <f>IF(COUNTIFS($S$8:S80,S80,$T$8:T80,T80)&gt;1,2,IF(COUNTIFS($T$8:T80,T80,$U$8:U80,"&lt;&gt;"&amp;Settings!$B$8)&gt;VLOOKUP(T80,courses[[Program name]:[Capacity]],5,FALSE),1,3))</f>
        <v>3</v>
      </c>
      <c r="S80" t="s">
        <v>195</v>
      </c>
      <c r="T80" t="s">
        <v>229</v>
      </c>
      <c r="U80" t="s">
        <v>255</v>
      </c>
      <c r="V80" t="s">
        <v>259</v>
      </c>
      <c r="W80">
        <f>COUNTIFS(selected.depts,VLOOKUP(tracker[[#This Row],[Person Name]],people[[Name]:[Department]],2,FALSE))</f>
        <v>1</v>
      </c>
    </row>
    <row r="81" spans="2:23" x14ac:dyDescent="0.3">
      <c r="B81" t="s">
        <v>84</v>
      </c>
      <c r="C81" t="s">
        <v>135</v>
      </c>
      <c r="D81" t="s">
        <v>243</v>
      </c>
      <c r="E81">
        <f>COUNTIF(selected.depts,people[[#This Row],[Department]])</f>
        <v>1</v>
      </c>
      <c r="R81" s="2">
        <f>IF(COUNTIFS($S$8:S81,S81,$T$8:T81,T81)&gt;1,2,IF(COUNTIFS($T$8:T81,T81,$U$8:U81,"&lt;&gt;"&amp;Settings!$B$8)&gt;VLOOKUP(T81,courses[[Program name]:[Capacity]],5,FALSE),1,3))</f>
        <v>3</v>
      </c>
      <c r="S81" t="s">
        <v>144</v>
      </c>
      <c r="T81" t="s">
        <v>221</v>
      </c>
      <c r="U81" t="s">
        <v>255</v>
      </c>
      <c r="V81" t="s">
        <v>260</v>
      </c>
      <c r="W81">
        <f>COUNTIFS(selected.depts,VLOOKUP(tracker[[#This Row],[Person Name]],people[[Name]:[Department]],2,FALSE))</f>
        <v>1</v>
      </c>
    </row>
    <row r="82" spans="2:23" x14ac:dyDescent="0.3">
      <c r="B82" t="s">
        <v>85</v>
      </c>
      <c r="C82" t="s">
        <v>308</v>
      </c>
      <c r="D82" t="s">
        <v>241</v>
      </c>
      <c r="E82">
        <f>COUNTIF(selected.depts,people[[#This Row],[Department]])</f>
        <v>1</v>
      </c>
      <c r="R82" s="2">
        <f>IF(COUNTIFS($S$8:S82,S82,$T$8:T82,T82)&gt;1,2,IF(COUNTIFS($T$8:T82,T82,$U$8:U82,"&lt;&gt;"&amp;Settings!$B$8)&gt;VLOOKUP(T82,courses[[Program name]:[Capacity]],5,FALSE),1,3))</f>
        <v>3</v>
      </c>
      <c r="S82" t="s">
        <v>166</v>
      </c>
      <c r="T82" t="s">
        <v>223</v>
      </c>
      <c r="U82" t="s">
        <v>255</v>
      </c>
      <c r="V82" t="s">
        <v>260</v>
      </c>
      <c r="W82">
        <f>COUNTIFS(selected.depts,VLOOKUP(tracker[[#This Row],[Person Name]],people[[Name]:[Department]],2,FALSE))</f>
        <v>1</v>
      </c>
    </row>
    <row r="83" spans="2:23" x14ac:dyDescent="0.3">
      <c r="B83" t="s">
        <v>86</v>
      </c>
      <c r="C83" t="s">
        <v>161</v>
      </c>
      <c r="D83" t="s">
        <v>246</v>
      </c>
      <c r="E83">
        <f>COUNTIF(selected.depts,people[[#This Row],[Department]])</f>
        <v>1</v>
      </c>
      <c r="R83" s="2">
        <f>IF(COUNTIFS($S$8:S83,S83,$T$8:T83,T83)&gt;1,2,IF(COUNTIFS($T$8:T83,T83,$U$8:U83,"&lt;&gt;"&amp;Settings!$B$8)&gt;VLOOKUP(T83,courses[[Program name]:[Capacity]],5,FALSE),1,3))</f>
        <v>3</v>
      </c>
      <c r="S83" t="s">
        <v>143</v>
      </c>
      <c r="T83" t="s">
        <v>231</v>
      </c>
      <c r="U83" t="s">
        <v>255</v>
      </c>
      <c r="V83" t="s">
        <v>261</v>
      </c>
      <c r="W83">
        <f>COUNTIFS(selected.depts,VLOOKUP(tracker[[#This Row],[Person Name]],people[[Name]:[Department]],2,FALSE))</f>
        <v>1</v>
      </c>
    </row>
    <row r="84" spans="2:23" x14ac:dyDescent="0.3">
      <c r="B84" t="s">
        <v>87</v>
      </c>
      <c r="C84" t="s">
        <v>152</v>
      </c>
      <c r="D84" t="s">
        <v>245</v>
      </c>
      <c r="E84">
        <f>COUNTIF(selected.depts,people[[#This Row],[Department]])</f>
        <v>1</v>
      </c>
      <c r="R84" s="2">
        <f>IF(COUNTIFS($S$8:S84,S84,$T$8:T84,T84)&gt;1,2,IF(COUNTIFS($T$8:T84,T84,$U$8:U84,"&lt;&gt;"&amp;Settings!$B$8)&gt;VLOOKUP(T84,courses[[Program name]:[Capacity]],5,FALSE),1,3))</f>
        <v>3</v>
      </c>
      <c r="S84" t="s">
        <v>117</v>
      </c>
      <c r="T84" t="s">
        <v>232</v>
      </c>
      <c r="U84" t="s">
        <v>255</v>
      </c>
      <c r="V84" t="s">
        <v>262</v>
      </c>
      <c r="W84">
        <f>COUNTIFS(selected.depts,VLOOKUP(tracker[[#This Row],[Person Name]],people[[Name]:[Department]],2,FALSE))</f>
        <v>1</v>
      </c>
    </row>
    <row r="85" spans="2:23" x14ac:dyDescent="0.3">
      <c r="B85" t="s">
        <v>88</v>
      </c>
      <c r="C85" t="s">
        <v>165</v>
      </c>
      <c r="D85" t="s">
        <v>243</v>
      </c>
      <c r="E85">
        <f>COUNTIF(selected.depts,people[[#This Row],[Department]])</f>
        <v>1</v>
      </c>
      <c r="R85" s="2">
        <f>IF(COUNTIFS($S$8:S85,S85,$T$8:T85,T85)&gt;1,2,IF(COUNTIFS($T$8:T85,T85,$U$8:U85,"&lt;&gt;"&amp;Settings!$B$8)&gt;VLOOKUP(T85,courses[[Program name]:[Capacity]],5,FALSE),1,3))</f>
        <v>3</v>
      </c>
      <c r="S85" t="s">
        <v>128</v>
      </c>
      <c r="T85" t="s">
        <v>236</v>
      </c>
      <c r="U85" t="s">
        <v>255</v>
      </c>
      <c r="V85" t="s">
        <v>259</v>
      </c>
      <c r="W85">
        <f>COUNTIFS(selected.depts,VLOOKUP(tracker[[#This Row],[Person Name]],people[[Name]:[Department]],2,FALSE))</f>
        <v>1</v>
      </c>
    </row>
    <row r="86" spans="2:23" x14ac:dyDescent="0.3">
      <c r="B86" t="s">
        <v>89</v>
      </c>
      <c r="C86" t="s">
        <v>150</v>
      </c>
      <c r="D86" t="s">
        <v>241</v>
      </c>
      <c r="E86">
        <f>COUNTIF(selected.depts,people[[#This Row],[Department]])</f>
        <v>1</v>
      </c>
      <c r="R86" s="2">
        <f>IF(COUNTIFS($S$8:S86,S86,$T$8:T86,T86)&gt;1,2,IF(COUNTIFS($T$8:T86,T86,$U$8:U86,"&lt;&gt;"&amp;Settings!$B$8)&gt;VLOOKUP(T86,courses[[Program name]:[Capacity]],5,FALSE),1,3))</f>
        <v>3</v>
      </c>
      <c r="S86" t="s">
        <v>126</v>
      </c>
      <c r="T86" t="s">
        <v>236</v>
      </c>
      <c r="U86" t="s">
        <v>255</v>
      </c>
      <c r="V86" t="s">
        <v>260</v>
      </c>
      <c r="W86">
        <f>COUNTIFS(selected.depts,VLOOKUP(tracker[[#This Row],[Person Name]],people[[Name]:[Department]],2,FALSE))</f>
        <v>1</v>
      </c>
    </row>
    <row r="87" spans="2:23" x14ac:dyDescent="0.3">
      <c r="B87" t="s">
        <v>90</v>
      </c>
      <c r="C87" t="s">
        <v>198</v>
      </c>
      <c r="D87" t="s">
        <v>244</v>
      </c>
      <c r="E87">
        <f>COUNTIF(selected.depts,people[[#This Row],[Department]])</f>
        <v>1</v>
      </c>
      <c r="R87" s="2">
        <f>IF(COUNTIFS($S$8:S87,S87,$T$8:T87,T87)&gt;1,2,IF(COUNTIFS($T$8:T87,T87,$U$8:U87,"&lt;&gt;"&amp;Settings!$B$8)&gt;VLOOKUP(T87,courses[[Program name]:[Capacity]],5,FALSE),1,3))</f>
        <v>3</v>
      </c>
      <c r="S87" t="s">
        <v>134</v>
      </c>
      <c r="T87" t="s">
        <v>230</v>
      </c>
      <c r="U87" t="s">
        <v>255</v>
      </c>
      <c r="V87" t="s">
        <v>262</v>
      </c>
      <c r="W87">
        <f>COUNTIFS(selected.depts,VLOOKUP(tracker[[#This Row],[Person Name]],people[[Name]:[Department]],2,FALSE))</f>
        <v>1</v>
      </c>
    </row>
    <row r="88" spans="2:23" x14ac:dyDescent="0.3">
      <c r="B88" t="s">
        <v>91</v>
      </c>
      <c r="C88" t="s">
        <v>131</v>
      </c>
      <c r="D88" t="s">
        <v>244</v>
      </c>
      <c r="E88">
        <f>COUNTIF(selected.depts,people[[#This Row],[Department]])</f>
        <v>1</v>
      </c>
      <c r="R88" s="2">
        <f>IF(COUNTIFS($S$8:S88,S88,$T$8:T88,T88)&gt;1,2,IF(COUNTIFS($T$8:T88,T88,$U$8:U88,"&lt;&gt;"&amp;Settings!$B$8)&gt;VLOOKUP(T88,courses[[Program name]:[Capacity]],5,FALSE),1,3))</f>
        <v>3</v>
      </c>
      <c r="S88" t="s">
        <v>134</v>
      </c>
      <c r="T88" t="s">
        <v>223</v>
      </c>
      <c r="U88" t="s">
        <v>255</v>
      </c>
      <c r="V88" t="s">
        <v>263</v>
      </c>
      <c r="W88">
        <f>COUNTIFS(selected.depts,VLOOKUP(tracker[[#This Row],[Person Name]],people[[Name]:[Department]],2,FALSE))</f>
        <v>1</v>
      </c>
    </row>
    <row r="89" spans="2:23" x14ac:dyDescent="0.3">
      <c r="B89" t="s">
        <v>92</v>
      </c>
      <c r="C89" t="s">
        <v>181</v>
      </c>
      <c r="D89" t="s">
        <v>245</v>
      </c>
      <c r="E89">
        <f>COUNTIF(selected.depts,people[[#This Row],[Department]])</f>
        <v>1</v>
      </c>
      <c r="R89" s="2">
        <f>IF(COUNTIFS($S$8:S89,S89,$T$8:T89,T89)&gt;1,2,IF(COUNTIFS($T$8:T89,T89,$U$8:U89,"&lt;&gt;"&amp;Settings!$B$8)&gt;VLOOKUP(T89,courses[[Program name]:[Capacity]],5,FALSE),1,3))</f>
        <v>3</v>
      </c>
      <c r="S89" t="s">
        <v>152</v>
      </c>
      <c r="T89" t="s">
        <v>238</v>
      </c>
      <c r="U89" t="s">
        <v>255</v>
      </c>
      <c r="W89">
        <f>COUNTIFS(selected.depts,VLOOKUP(tracker[[#This Row],[Person Name]],people[[Name]:[Department]],2,FALSE))</f>
        <v>1</v>
      </c>
    </row>
    <row r="90" spans="2:23" x14ac:dyDescent="0.3">
      <c r="B90" t="s">
        <v>93</v>
      </c>
      <c r="C90" t="s">
        <v>192</v>
      </c>
      <c r="D90" t="s">
        <v>244</v>
      </c>
      <c r="E90">
        <f>COUNTIF(selected.depts,people[[#This Row],[Department]])</f>
        <v>1</v>
      </c>
      <c r="R90" s="2">
        <f>IF(COUNTIFS($S$8:S90,S90,$T$8:T90,T90)&gt;1,2,IF(COUNTIFS($T$8:T90,T90,$U$8:U90,"&lt;&gt;"&amp;Settings!$B$8)&gt;VLOOKUP(T90,courses[[Program name]:[Capacity]],5,FALSE),1,3))</f>
        <v>3</v>
      </c>
      <c r="S90" t="s">
        <v>124</v>
      </c>
      <c r="T90" t="s">
        <v>220</v>
      </c>
      <c r="U90" t="s">
        <v>255</v>
      </c>
      <c r="V90" t="s">
        <v>260</v>
      </c>
      <c r="W90">
        <f>COUNTIFS(selected.depts,VLOOKUP(tracker[[#This Row],[Person Name]],people[[Name]:[Department]],2,FALSE))</f>
        <v>1</v>
      </c>
    </row>
    <row r="91" spans="2:23" x14ac:dyDescent="0.3">
      <c r="B91" t="s">
        <v>94</v>
      </c>
      <c r="C91" t="s">
        <v>172</v>
      </c>
      <c r="D91" t="s">
        <v>245</v>
      </c>
      <c r="E91">
        <f>COUNTIF(selected.depts,people[[#This Row],[Department]])</f>
        <v>1</v>
      </c>
      <c r="R91" s="2">
        <f>IF(COUNTIFS($S$8:S91,S91,$T$8:T91,T91)&gt;1,2,IF(COUNTIFS($T$8:T91,T91,$U$8:U91,"&lt;&gt;"&amp;Settings!$B$8)&gt;VLOOKUP(T91,courses[[Program name]:[Capacity]],5,FALSE),1,3))</f>
        <v>2</v>
      </c>
      <c r="S91" t="s">
        <v>134</v>
      </c>
      <c r="T91" t="s">
        <v>223</v>
      </c>
      <c r="U91" t="s">
        <v>255</v>
      </c>
      <c r="V91" t="s">
        <v>259</v>
      </c>
      <c r="W91">
        <f>COUNTIFS(selected.depts,VLOOKUP(tracker[[#This Row],[Person Name]],people[[Name]:[Department]],2,FALSE))</f>
        <v>1</v>
      </c>
    </row>
    <row r="92" spans="2:23" x14ac:dyDescent="0.3">
      <c r="B92" t="s">
        <v>95</v>
      </c>
      <c r="C92" t="s">
        <v>146</v>
      </c>
      <c r="D92" t="s">
        <v>244</v>
      </c>
      <c r="E92">
        <f>COUNTIF(selected.depts,people[[#This Row],[Department]])</f>
        <v>1</v>
      </c>
      <c r="R92" s="2">
        <f>IF(COUNTIFS($S$8:S92,S92,$T$8:T92,T92)&gt;1,2,IF(COUNTIFS($T$8:T92,T92,$U$8:U92,"&lt;&gt;"&amp;Settings!$B$8)&gt;VLOOKUP(T92,courses[[Program name]:[Capacity]],5,FALSE),1,3))</f>
        <v>3</v>
      </c>
      <c r="S92" t="s">
        <v>111</v>
      </c>
      <c r="T92" t="s">
        <v>226</v>
      </c>
      <c r="U92" t="s">
        <v>255</v>
      </c>
      <c r="V92" t="s">
        <v>259</v>
      </c>
      <c r="W92">
        <f>COUNTIFS(selected.depts,VLOOKUP(tracker[[#This Row],[Person Name]],people[[Name]:[Department]],2,FALSE))</f>
        <v>1</v>
      </c>
    </row>
    <row r="93" spans="2:23" x14ac:dyDescent="0.3">
      <c r="B93" t="s">
        <v>96</v>
      </c>
      <c r="C93" t="s">
        <v>307</v>
      </c>
      <c r="D93" t="s">
        <v>242</v>
      </c>
      <c r="E93">
        <f>COUNTIF(selected.depts,people[[#This Row],[Department]])</f>
        <v>1</v>
      </c>
      <c r="R93" s="2">
        <f>IF(COUNTIFS($S$8:S93,S93,$T$8:T93,T93)&gt;1,2,IF(COUNTIFS($T$8:T93,T93,$U$8:U93,"&lt;&gt;"&amp;Settings!$B$8)&gt;VLOOKUP(T93,courses[[Program name]:[Capacity]],5,FALSE),1,3))</f>
        <v>3</v>
      </c>
      <c r="S93" t="s">
        <v>133</v>
      </c>
      <c r="T93" t="s">
        <v>238</v>
      </c>
      <c r="U93" t="s">
        <v>255</v>
      </c>
      <c r="W93">
        <f>COUNTIFS(selected.depts,VLOOKUP(tracker[[#This Row],[Person Name]],people[[Name]:[Department]],2,FALSE))</f>
        <v>1</v>
      </c>
    </row>
    <row r="94" spans="2:23" x14ac:dyDescent="0.3">
      <c r="B94" t="s">
        <v>97</v>
      </c>
      <c r="C94" t="s">
        <v>163</v>
      </c>
      <c r="D94" t="s">
        <v>241</v>
      </c>
      <c r="E94">
        <f>COUNTIF(selected.depts,people[[#This Row],[Department]])</f>
        <v>1</v>
      </c>
      <c r="R94" s="2">
        <f>IF(COUNTIFS($S$8:S94,S94,$T$8:T94,T94)&gt;1,2,IF(COUNTIFS($T$8:T94,T94,$U$8:U94,"&lt;&gt;"&amp;Settings!$B$8)&gt;VLOOKUP(T94,courses[[Program name]:[Capacity]],5,FALSE),1,3))</f>
        <v>3</v>
      </c>
      <c r="S94" t="s">
        <v>197</v>
      </c>
      <c r="T94" t="s">
        <v>232</v>
      </c>
      <c r="U94" t="s">
        <v>255</v>
      </c>
      <c r="V94" t="s">
        <v>260</v>
      </c>
      <c r="W94">
        <f>COUNTIFS(selected.depts,VLOOKUP(tracker[[#This Row],[Person Name]],people[[Name]:[Department]],2,FALSE))</f>
        <v>1</v>
      </c>
    </row>
    <row r="95" spans="2:23" x14ac:dyDescent="0.3">
      <c r="B95" t="s">
        <v>98</v>
      </c>
      <c r="C95" t="s">
        <v>130</v>
      </c>
      <c r="D95" t="s">
        <v>241</v>
      </c>
      <c r="E95">
        <f>COUNTIF(selected.depts,people[[#This Row],[Department]])</f>
        <v>1</v>
      </c>
      <c r="R95" s="2">
        <f>IF(COUNTIFS($S$8:S95,S95,$T$8:T95,T95)&gt;1,2,IF(COUNTIFS($T$8:T95,T95,$U$8:U95,"&lt;&gt;"&amp;Settings!$B$8)&gt;VLOOKUP(T95,courses[[Program name]:[Capacity]],5,FALSE),1,3))</f>
        <v>3</v>
      </c>
      <c r="S95" t="s">
        <v>198</v>
      </c>
      <c r="T95" t="s">
        <v>229</v>
      </c>
      <c r="U95" t="s">
        <v>255</v>
      </c>
      <c r="V95" t="s">
        <v>262</v>
      </c>
      <c r="W95">
        <f>COUNTIFS(selected.depts,VLOOKUP(tracker[[#This Row],[Person Name]],people[[Name]:[Department]],2,FALSE))</f>
        <v>1</v>
      </c>
    </row>
    <row r="96" spans="2:23" x14ac:dyDescent="0.3">
      <c r="B96" t="s">
        <v>99</v>
      </c>
      <c r="C96" t="s">
        <v>175</v>
      </c>
      <c r="D96" t="s">
        <v>244</v>
      </c>
      <c r="E96">
        <f>COUNTIF(selected.depts,people[[#This Row],[Department]])</f>
        <v>1</v>
      </c>
      <c r="R96" s="2">
        <f>IF(COUNTIFS($S$8:S96,S96,$T$8:T96,T96)&gt;1,2,IF(COUNTIFS($T$8:T96,T96,$U$8:U96,"&lt;&gt;"&amp;Settings!$B$8)&gt;VLOOKUP(T96,courses[[Program name]:[Capacity]],5,FALSE),1,3))</f>
        <v>2</v>
      </c>
      <c r="S96" t="s">
        <v>111</v>
      </c>
      <c r="T96" t="s">
        <v>222</v>
      </c>
      <c r="U96" t="s">
        <v>255</v>
      </c>
      <c r="V96" t="s">
        <v>260</v>
      </c>
      <c r="W96">
        <f>COUNTIFS(selected.depts,VLOOKUP(tracker[[#This Row],[Person Name]],people[[Name]:[Department]],2,FALSE))</f>
        <v>1</v>
      </c>
    </row>
    <row r="97" spans="2:23" x14ac:dyDescent="0.3">
      <c r="B97" t="s">
        <v>100</v>
      </c>
      <c r="C97" t="s">
        <v>309</v>
      </c>
      <c r="D97" t="s">
        <v>241</v>
      </c>
      <c r="E97">
        <f>COUNTIF(selected.depts,people[[#This Row],[Department]])</f>
        <v>1</v>
      </c>
      <c r="R97" s="2">
        <f>IF(COUNTIFS($S$8:S97,S97,$T$8:T97,T97)&gt;1,2,IF(COUNTIFS($T$8:T97,T97,$U$8:U97,"&lt;&gt;"&amp;Settings!$B$8)&gt;VLOOKUP(T97,courses[[Program name]:[Capacity]],5,FALSE),1,3))</f>
        <v>3</v>
      </c>
      <c r="S97" t="s">
        <v>149</v>
      </c>
      <c r="T97" t="s">
        <v>236</v>
      </c>
      <c r="U97" t="s">
        <v>255</v>
      </c>
      <c r="V97" t="s">
        <v>263</v>
      </c>
      <c r="W97">
        <f>COUNTIFS(selected.depts,VLOOKUP(tracker[[#This Row],[Person Name]],people[[Name]:[Department]],2,FALSE))</f>
        <v>1</v>
      </c>
    </row>
    <row r="98" spans="2:23" x14ac:dyDescent="0.3">
      <c r="B98" t="s">
        <v>101</v>
      </c>
      <c r="C98" t="s">
        <v>187</v>
      </c>
      <c r="D98" t="s">
        <v>241</v>
      </c>
      <c r="E98">
        <f>COUNTIF(selected.depts,people[[#This Row],[Department]])</f>
        <v>1</v>
      </c>
      <c r="R98" s="2">
        <f>IF(COUNTIFS($S$8:S98,S98,$T$8:T98,T98)&gt;1,2,IF(COUNTIFS($T$8:T98,T98,$U$8:U98,"&lt;&gt;"&amp;Settings!$B$8)&gt;VLOOKUP(T98,courses[[Program name]:[Capacity]],5,FALSE),1,3))</f>
        <v>3</v>
      </c>
      <c r="S98" t="s">
        <v>187</v>
      </c>
      <c r="T98" t="s">
        <v>225</v>
      </c>
      <c r="U98" t="s">
        <v>255</v>
      </c>
      <c r="V98" t="s">
        <v>261</v>
      </c>
      <c r="W98">
        <f>COUNTIFS(selected.depts,VLOOKUP(tracker[[#This Row],[Person Name]],people[[Name]:[Department]],2,FALSE))</f>
        <v>1</v>
      </c>
    </row>
    <row r="99" spans="2:23" x14ac:dyDescent="0.3">
      <c r="B99" t="s">
        <v>102</v>
      </c>
      <c r="C99" t="s">
        <v>306</v>
      </c>
      <c r="D99" t="s">
        <v>244</v>
      </c>
      <c r="E99">
        <f>COUNTIF(selected.depts,people[[#This Row],[Department]])</f>
        <v>1</v>
      </c>
      <c r="R99" s="2">
        <f>IF(COUNTIFS($S$8:S99,S99,$T$8:T99,T99)&gt;1,2,IF(COUNTIFS($T$8:T99,T99,$U$8:U99,"&lt;&gt;"&amp;Settings!$B$8)&gt;VLOOKUP(T99,courses[[Program name]:[Capacity]],5,FALSE),1,3))</f>
        <v>3</v>
      </c>
      <c r="S99" t="s">
        <v>128</v>
      </c>
      <c r="T99" t="s">
        <v>222</v>
      </c>
      <c r="U99" t="s">
        <v>255</v>
      </c>
      <c r="V99" t="s">
        <v>261</v>
      </c>
      <c r="W99">
        <f>COUNTIFS(selected.depts,VLOOKUP(tracker[[#This Row],[Person Name]],people[[Name]:[Department]],2,FALSE))</f>
        <v>1</v>
      </c>
    </row>
    <row r="100" spans="2:23" x14ac:dyDescent="0.3">
      <c r="B100" t="s">
        <v>103</v>
      </c>
      <c r="C100" t="s">
        <v>149</v>
      </c>
      <c r="D100" t="s">
        <v>243</v>
      </c>
      <c r="E100">
        <f>COUNTIF(selected.depts,people[[#This Row],[Department]])</f>
        <v>1</v>
      </c>
      <c r="R100" s="2">
        <f>IF(COUNTIFS($S$8:S100,S100,$T$8:T100,T100)&gt;1,2,IF(COUNTIFS($T$8:T100,T100,$U$8:U100,"&lt;&gt;"&amp;Settings!$B$8)&gt;VLOOKUP(T100,courses[[Program name]:[Capacity]],5,FALSE),1,3))</f>
        <v>3</v>
      </c>
      <c r="S100" t="s">
        <v>149</v>
      </c>
      <c r="T100" t="s">
        <v>234</v>
      </c>
      <c r="U100" t="s">
        <v>255</v>
      </c>
      <c r="V100" t="s">
        <v>260</v>
      </c>
      <c r="W100">
        <f>COUNTIFS(selected.depts,VLOOKUP(tracker[[#This Row],[Person Name]],people[[Name]:[Department]],2,FALSE))</f>
        <v>1</v>
      </c>
    </row>
    <row r="101" spans="2:23" x14ac:dyDescent="0.3">
      <c r="B101" t="s">
        <v>104</v>
      </c>
      <c r="C101" t="s">
        <v>185</v>
      </c>
      <c r="D101" t="s">
        <v>244</v>
      </c>
      <c r="E101">
        <f>COUNTIF(selected.depts,people[[#This Row],[Department]])</f>
        <v>1</v>
      </c>
      <c r="R101" s="2">
        <f>IF(COUNTIFS($S$8:S101,S101,$T$8:T101,T101)&gt;1,2,IF(COUNTIFS($T$8:T101,T101,$U$8:U101,"&lt;&gt;"&amp;Settings!$B$8)&gt;VLOOKUP(T101,courses[[Program name]:[Capacity]],5,FALSE),1,3))</f>
        <v>3</v>
      </c>
      <c r="S101" t="s">
        <v>172</v>
      </c>
      <c r="T101" t="s">
        <v>229</v>
      </c>
      <c r="U101" t="s">
        <v>255</v>
      </c>
      <c r="V101" t="s">
        <v>263</v>
      </c>
      <c r="W101">
        <f>COUNTIFS(selected.depts,VLOOKUP(tracker[[#This Row],[Person Name]],people[[Name]:[Department]],2,FALSE))</f>
        <v>1</v>
      </c>
    </row>
    <row r="102" spans="2:23" x14ac:dyDescent="0.3">
      <c r="B102" t="s">
        <v>105</v>
      </c>
      <c r="C102" t="s">
        <v>305</v>
      </c>
      <c r="D102" t="s">
        <v>245</v>
      </c>
      <c r="E102">
        <f>COUNTIF(selected.depts,people[[#This Row],[Department]])</f>
        <v>1</v>
      </c>
      <c r="R102" s="2">
        <f>IF(COUNTIFS($S$8:S102,S102,$T$8:T102,T102)&gt;1,2,IF(COUNTIFS($T$8:T102,T102,$U$8:U102,"&lt;&gt;"&amp;Settings!$B$8)&gt;VLOOKUP(T102,courses[[Program name]:[Capacity]],5,FALSE),1,3))</f>
        <v>3</v>
      </c>
      <c r="S102" t="s">
        <v>294</v>
      </c>
      <c r="T102" t="s">
        <v>230</v>
      </c>
      <c r="U102" t="s">
        <v>255</v>
      </c>
      <c r="V102" t="s">
        <v>259</v>
      </c>
      <c r="W102">
        <f>COUNTIFS(selected.depts,VLOOKUP(tracker[[#This Row],[Person Name]],people[[Name]:[Department]],2,FALSE))</f>
        <v>1</v>
      </c>
    </row>
    <row r="103" spans="2:23" x14ac:dyDescent="0.3">
      <c r="B103" t="s">
        <v>106</v>
      </c>
      <c r="C103" t="s">
        <v>170</v>
      </c>
      <c r="D103" t="s">
        <v>245</v>
      </c>
      <c r="E103">
        <f>COUNTIF(selected.depts,people[[#This Row],[Department]])</f>
        <v>1</v>
      </c>
      <c r="R103" s="2">
        <f>IF(COUNTIFS($S$8:S103,S103,$T$8:T103,T103)&gt;1,2,IF(COUNTIFS($T$8:T103,T103,$U$8:U103,"&lt;&gt;"&amp;Settings!$B$8)&gt;VLOOKUP(T103,courses[[Program name]:[Capacity]],5,FALSE),1,3))</f>
        <v>3</v>
      </c>
      <c r="S103" t="s">
        <v>121</v>
      </c>
      <c r="T103" t="s">
        <v>220</v>
      </c>
      <c r="U103" t="s">
        <v>255</v>
      </c>
      <c r="V103" t="s">
        <v>259</v>
      </c>
      <c r="W103">
        <f>COUNTIFS(selected.depts,VLOOKUP(tracker[[#This Row],[Person Name]],people[[Name]:[Department]],2,FALSE))</f>
        <v>1</v>
      </c>
    </row>
    <row r="104" spans="2:23" x14ac:dyDescent="0.3">
      <c r="B104" t="s">
        <v>107</v>
      </c>
      <c r="C104" t="s">
        <v>140</v>
      </c>
      <c r="D104" t="s">
        <v>246</v>
      </c>
      <c r="E104">
        <f>COUNTIF(selected.depts,people[[#This Row],[Department]])</f>
        <v>1</v>
      </c>
      <c r="R104" s="2">
        <f>IF(COUNTIFS($S$8:S104,S104,$T$8:T104,T104)&gt;1,2,IF(COUNTIFS($T$8:T104,T104,$U$8:U104,"&lt;&gt;"&amp;Settings!$B$8)&gt;VLOOKUP(T104,courses[[Program name]:[Capacity]],5,FALSE),1,3))</f>
        <v>3</v>
      </c>
      <c r="S104" t="s">
        <v>143</v>
      </c>
      <c r="T104" t="s">
        <v>222</v>
      </c>
      <c r="U104" t="s">
        <v>255</v>
      </c>
      <c r="V104" t="s">
        <v>262</v>
      </c>
      <c r="W104">
        <f>COUNTIFS(selected.depts,VLOOKUP(tracker[[#This Row],[Person Name]],people[[Name]:[Department]],2,FALSE))</f>
        <v>1</v>
      </c>
    </row>
    <row r="105" spans="2:23" x14ac:dyDescent="0.3">
      <c r="B105" t="s">
        <v>108</v>
      </c>
      <c r="C105" t="s">
        <v>310</v>
      </c>
      <c r="D105" t="s">
        <v>245</v>
      </c>
      <c r="E105">
        <f>COUNTIF(selected.depts,people[[#This Row],[Department]])</f>
        <v>1</v>
      </c>
      <c r="R105" s="2">
        <f>IF(COUNTIFS($S$8:S105,S105,$T$8:T105,T105)&gt;1,2,IF(COUNTIFS($T$8:T105,T105,$U$8:U105,"&lt;&gt;"&amp;Settings!$B$8)&gt;VLOOKUP(T105,courses[[Program name]:[Capacity]],5,FALSE),1,3))</f>
        <v>2</v>
      </c>
      <c r="S105" t="s">
        <v>137</v>
      </c>
      <c r="T105" t="s">
        <v>236</v>
      </c>
      <c r="U105" t="s">
        <v>255</v>
      </c>
      <c r="V105" t="s">
        <v>263</v>
      </c>
      <c r="W105">
        <f>COUNTIFS(selected.depts,VLOOKUP(tracker[[#This Row],[Person Name]],people[[Name]:[Department]],2,FALSE))</f>
        <v>1</v>
      </c>
    </row>
    <row r="106" spans="2:23" x14ac:dyDescent="0.3">
      <c r="B106" t="s">
        <v>109</v>
      </c>
      <c r="C106" t="s">
        <v>138</v>
      </c>
      <c r="D106" t="s">
        <v>244</v>
      </c>
      <c r="E106">
        <f>COUNTIF(selected.depts,people[[#This Row],[Department]])</f>
        <v>1</v>
      </c>
      <c r="R106" s="2">
        <f>IF(COUNTIFS($S$8:S106,S106,$T$8:T106,T106)&gt;1,2,IF(COUNTIFS($T$8:T106,T106,$U$8:U106,"&lt;&gt;"&amp;Settings!$B$8)&gt;VLOOKUP(T106,courses[[Program name]:[Capacity]],5,FALSE),1,3))</f>
        <v>3</v>
      </c>
      <c r="S106" t="s">
        <v>116</v>
      </c>
      <c r="T106" t="s">
        <v>227</v>
      </c>
      <c r="U106" t="s">
        <v>255</v>
      </c>
      <c r="V106" t="s">
        <v>259</v>
      </c>
      <c r="W106">
        <f>COUNTIFS(selected.depts,VLOOKUP(tracker[[#This Row],[Person Name]],people[[Name]:[Department]],2,FALSE))</f>
        <v>1</v>
      </c>
    </row>
    <row r="107" spans="2:23" x14ac:dyDescent="0.3">
      <c r="B107" t="s">
        <v>110</v>
      </c>
      <c r="C107" t="s">
        <v>157</v>
      </c>
      <c r="D107" t="s">
        <v>242</v>
      </c>
      <c r="E107">
        <f>COUNTIF(selected.depts,people[[#This Row],[Department]])</f>
        <v>1</v>
      </c>
      <c r="R107" s="2">
        <f>IF(COUNTIFS($S$8:S107,S107,$T$8:T107,T107)&gt;1,2,IF(COUNTIFS($T$8:T107,T107,$U$8:U107,"&lt;&gt;"&amp;Settings!$B$8)&gt;VLOOKUP(T107,courses[[Program name]:[Capacity]],5,FALSE),1,3))</f>
        <v>3</v>
      </c>
      <c r="S107" t="s">
        <v>167</v>
      </c>
      <c r="T107" t="s">
        <v>220</v>
      </c>
      <c r="U107" t="s">
        <v>255</v>
      </c>
      <c r="V107" t="s">
        <v>261</v>
      </c>
      <c r="W107">
        <f>COUNTIFS(selected.depts,VLOOKUP(tracker[[#This Row],[Person Name]],people[[Name]:[Department]],2,FALSE))</f>
        <v>1</v>
      </c>
    </row>
    <row r="108" spans="2:23" x14ac:dyDescent="0.3">
      <c r="R108" s="2">
        <f>IF(COUNTIFS($S$8:S108,S108,$T$8:T108,T108)&gt;1,2,IF(COUNTIFS($T$8:T108,T108,$U$8:U108,"&lt;&gt;"&amp;Settings!$B$8)&gt;VLOOKUP(T108,courses[[Program name]:[Capacity]],5,FALSE),1,3))</f>
        <v>3</v>
      </c>
      <c r="S108" t="s">
        <v>156</v>
      </c>
      <c r="T108" t="s">
        <v>234</v>
      </c>
      <c r="U108" t="s">
        <v>255</v>
      </c>
      <c r="V108" t="s">
        <v>260</v>
      </c>
      <c r="W108">
        <f>COUNTIFS(selected.depts,VLOOKUP(tracker[[#This Row],[Person Name]],people[[Name]:[Department]],2,FALSE))</f>
        <v>1</v>
      </c>
    </row>
    <row r="109" spans="2:23" x14ac:dyDescent="0.3">
      <c r="R109" s="2">
        <f>IF(COUNTIFS($S$8:S109,S109,$T$8:T109,T109)&gt;1,2,IF(COUNTIFS($T$8:T109,T109,$U$8:U109,"&lt;&gt;"&amp;Settings!$B$8)&gt;VLOOKUP(T109,courses[[Program name]:[Capacity]],5,FALSE),1,3))</f>
        <v>3</v>
      </c>
      <c r="S109" t="s">
        <v>132</v>
      </c>
      <c r="T109" t="s">
        <v>229</v>
      </c>
      <c r="U109" t="s">
        <v>257</v>
      </c>
      <c r="V109" t="s">
        <v>263</v>
      </c>
      <c r="W109">
        <f>COUNTIFS(selected.depts,VLOOKUP(tracker[[#This Row],[Person Name]],people[[Name]:[Department]],2,FALSE))</f>
        <v>1</v>
      </c>
    </row>
    <row r="110" spans="2:23" x14ac:dyDescent="0.3">
      <c r="R110" s="2">
        <f>IF(COUNTIFS($S$8:S110,S110,$T$8:T110,T110)&gt;1,2,IF(COUNTIFS($T$8:T110,T110,$U$8:U110,"&lt;&gt;"&amp;Settings!$B$8)&gt;VLOOKUP(T110,courses[[Program name]:[Capacity]],5,FALSE),1,3))</f>
        <v>3</v>
      </c>
      <c r="S110" t="s">
        <v>178</v>
      </c>
      <c r="T110" t="s">
        <v>238</v>
      </c>
      <c r="U110" t="s">
        <v>255</v>
      </c>
      <c r="W110">
        <f>COUNTIFS(selected.depts,VLOOKUP(tracker[[#This Row],[Person Name]],people[[Name]:[Department]],2,FALSE))</f>
        <v>1</v>
      </c>
    </row>
    <row r="111" spans="2:23" x14ac:dyDescent="0.3">
      <c r="R111" s="2">
        <f>IF(COUNTIFS($S$8:S111,S111,$T$8:T111,T111)&gt;1,2,IF(COUNTIFS($T$8:T111,T111,$U$8:U111,"&lt;&gt;"&amp;Settings!$B$8)&gt;VLOOKUP(T111,courses[[Program name]:[Capacity]],5,FALSE),1,3))</f>
        <v>3</v>
      </c>
      <c r="S111" t="s">
        <v>177</v>
      </c>
      <c r="T111" t="s">
        <v>220</v>
      </c>
      <c r="U111" t="s">
        <v>255</v>
      </c>
      <c r="V111" t="s">
        <v>259</v>
      </c>
      <c r="W111">
        <f>COUNTIFS(selected.depts,VLOOKUP(tracker[[#This Row],[Person Name]],people[[Name]:[Department]],2,FALSE))</f>
        <v>1</v>
      </c>
    </row>
    <row r="112" spans="2:23" x14ac:dyDescent="0.3">
      <c r="R112" s="2">
        <f>IF(COUNTIFS($S$8:S112,S112,$T$8:T112,T112)&gt;1,2,IF(COUNTIFS($T$8:T112,T112,$U$8:U112,"&lt;&gt;"&amp;Settings!$B$8)&gt;VLOOKUP(T112,courses[[Program name]:[Capacity]],5,FALSE),1,3))</f>
        <v>3</v>
      </c>
      <c r="S112" t="s">
        <v>190</v>
      </c>
      <c r="T112" t="s">
        <v>222</v>
      </c>
      <c r="U112" t="s">
        <v>255</v>
      </c>
      <c r="V112" t="s">
        <v>261</v>
      </c>
      <c r="W112">
        <f>COUNTIFS(selected.depts,VLOOKUP(tracker[[#This Row],[Person Name]],people[[Name]:[Department]],2,FALSE))</f>
        <v>1</v>
      </c>
    </row>
    <row r="113" spans="18:23" x14ac:dyDescent="0.3">
      <c r="R113" s="2">
        <f>IF(COUNTIFS($S$8:S113,S113,$T$8:T113,T113)&gt;1,2,IF(COUNTIFS($T$8:T113,T113,$U$8:U113,"&lt;&gt;"&amp;Settings!$B$8)&gt;VLOOKUP(T113,courses[[Program name]:[Capacity]],5,FALSE),1,3))</f>
        <v>3</v>
      </c>
      <c r="S113" t="s">
        <v>123</v>
      </c>
      <c r="T113" t="s">
        <v>237</v>
      </c>
      <c r="U113" t="s">
        <v>255</v>
      </c>
      <c r="W113">
        <f>COUNTIFS(selected.depts,VLOOKUP(tracker[[#This Row],[Person Name]],people[[Name]:[Department]],2,FALSE))</f>
        <v>1</v>
      </c>
    </row>
    <row r="114" spans="18:23" x14ac:dyDescent="0.3">
      <c r="R114" s="2">
        <f>IF(COUNTIFS($S$8:S114,S114,$T$8:T114,T114)&gt;1,2,IF(COUNTIFS($T$8:T114,T114,$U$8:U114,"&lt;&gt;"&amp;Settings!$B$8)&gt;VLOOKUP(T114,courses[[Program name]:[Capacity]],5,FALSE),1,3))</f>
        <v>3</v>
      </c>
      <c r="S114" t="s">
        <v>135</v>
      </c>
      <c r="T114" t="s">
        <v>220</v>
      </c>
      <c r="U114" t="s">
        <v>255</v>
      </c>
      <c r="V114" t="s">
        <v>260</v>
      </c>
      <c r="W114">
        <f>COUNTIFS(selected.depts,VLOOKUP(tracker[[#This Row],[Person Name]],people[[Name]:[Department]],2,FALSE))</f>
        <v>1</v>
      </c>
    </row>
    <row r="115" spans="18:23" x14ac:dyDescent="0.3">
      <c r="R115" s="2">
        <f>IF(COUNTIFS($S$8:S115,S115,$T$8:T115,T115)&gt;1,2,IF(COUNTIFS($T$8:T115,T115,$U$8:U115,"&lt;&gt;"&amp;Settings!$B$8)&gt;VLOOKUP(T115,courses[[Program name]:[Capacity]],5,FALSE),1,3))</f>
        <v>3</v>
      </c>
      <c r="S115" t="s">
        <v>128</v>
      </c>
      <c r="T115" t="s">
        <v>227</v>
      </c>
      <c r="U115" t="s">
        <v>255</v>
      </c>
      <c r="V115" t="s">
        <v>263</v>
      </c>
      <c r="W115">
        <f>COUNTIFS(selected.depts,VLOOKUP(tracker[[#This Row],[Person Name]],people[[Name]:[Department]],2,FALSE))</f>
        <v>1</v>
      </c>
    </row>
    <row r="116" spans="18:23" x14ac:dyDescent="0.3">
      <c r="R116" s="2">
        <f>IF(COUNTIFS($S$8:S116,S116,$T$8:T116,T116)&gt;1,2,IF(COUNTIFS($T$8:T116,T116,$U$8:U116,"&lt;&gt;"&amp;Settings!$B$8)&gt;VLOOKUP(T116,courses[[Program name]:[Capacity]],5,FALSE),1,3))</f>
        <v>3</v>
      </c>
      <c r="S116" t="s">
        <v>142</v>
      </c>
      <c r="T116" t="s">
        <v>237</v>
      </c>
      <c r="U116" t="s">
        <v>255</v>
      </c>
      <c r="W116">
        <f>COUNTIFS(selected.depts,VLOOKUP(tracker[[#This Row],[Person Name]],people[[Name]:[Department]],2,FALSE))</f>
        <v>1</v>
      </c>
    </row>
    <row r="117" spans="18:23" x14ac:dyDescent="0.3">
      <c r="R117" s="2">
        <f>IF(COUNTIFS($S$8:S117,S117,$T$8:T117,T117)&gt;1,2,IF(COUNTIFS($T$8:T117,T117,$U$8:U117,"&lt;&gt;"&amp;Settings!$B$8)&gt;VLOOKUP(T117,courses[[Program name]:[Capacity]],5,FALSE),1,3))</f>
        <v>3</v>
      </c>
      <c r="S117" t="s">
        <v>181</v>
      </c>
      <c r="T117" t="s">
        <v>240</v>
      </c>
      <c r="U117" t="s">
        <v>255</v>
      </c>
      <c r="V117" t="s">
        <v>259</v>
      </c>
      <c r="W117">
        <f>COUNTIFS(selected.depts,VLOOKUP(tracker[[#This Row],[Person Name]],people[[Name]:[Department]],2,FALSE))</f>
        <v>1</v>
      </c>
    </row>
    <row r="118" spans="18:23" x14ac:dyDescent="0.3">
      <c r="R118" s="2">
        <f>IF(COUNTIFS($S$8:S118,S118,$T$8:T118,T118)&gt;1,2,IF(COUNTIFS($T$8:T118,T118,$U$8:U118,"&lt;&gt;"&amp;Settings!$B$8)&gt;VLOOKUP(T118,courses[[Program name]:[Capacity]],5,FALSE),1,3))</f>
        <v>2</v>
      </c>
      <c r="S118" t="s">
        <v>132</v>
      </c>
      <c r="T118" t="s">
        <v>239</v>
      </c>
      <c r="U118" t="s">
        <v>255</v>
      </c>
      <c r="V118" t="s">
        <v>260</v>
      </c>
      <c r="W118">
        <f>COUNTIFS(selected.depts,VLOOKUP(tracker[[#This Row],[Person Name]],people[[Name]:[Department]],2,FALSE))</f>
        <v>1</v>
      </c>
    </row>
    <row r="119" spans="18:23" x14ac:dyDescent="0.3">
      <c r="R119" s="2">
        <f>IF(COUNTIFS($S$8:S119,S119,$T$8:T119,T119)&gt;1,2,IF(COUNTIFS($T$8:T119,T119,$U$8:U119,"&lt;&gt;"&amp;Settings!$B$8)&gt;VLOOKUP(T119,courses[[Program name]:[Capacity]],5,FALSE),1,3))</f>
        <v>3</v>
      </c>
      <c r="S119" t="s">
        <v>111</v>
      </c>
      <c r="T119" t="s">
        <v>238</v>
      </c>
      <c r="U119" t="s">
        <v>255</v>
      </c>
      <c r="W119">
        <f>COUNTIFS(selected.depts,VLOOKUP(tracker[[#This Row],[Person Name]],people[[Name]:[Department]],2,FALSE))</f>
        <v>1</v>
      </c>
    </row>
    <row r="120" spans="18:23" x14ac:dyDescent="0.3">
      <c r="R120" s="2">
        <f>IF(COUNTIFS($S$8:S120,S120,$T$8:T120,T120)&gt;1,2,IF(COUNTIFS($T$8:T120,T120,$U$8:U120,"&lt;&gt;"&amp;Settings!$B$8)&gt;VLOOKUP(T120,courses[[Program name]:[Capacity]],5,FALSE),1,3))</f>
        <v>1</v>
      </c>
      <c r="S120" t="s">
        <v>136</v>
      </c>
      <c r="T120" t="s">
        <v>239</v>
      </c>
      <c r="U120" t="s">
        <v>257</v>
      </c>
      <c r="V120" t="s">
        <v>262</v>
      </c>
      <c r="W120">
        <f>COUNTIFS(selected.depts,VLOOKUP(tracker[[#This Row],[Person Name]],people[[Name]:[Department]],2,FALSE))</f>
        <v>1</v>
      </c>
    </row>
    <row r="121" spans="18:23" x14ac:dyDescent="0.3">
      <c r="R121" s="2">
        <f>IF(COUNTIFS($S$8:S121,S121,$T$8:T121,T121)&gt;1,2,IF(COUNTIFS($T$8:T121,T121,$U$8:U121,"&lt;&gt;"&amp;Settings!$B$8)&gt;VLOOKUP(T121,courses[[Program name]:[Capacity]],5,FALSE),1,3))</f>
        <v>3</v>
      </c>
      <c r="S121" t="s">
        <v>161</v>
      </c>
      <c r="T121" t="s">
        <v>227</v>
      </c>
      <c r="U121" t="s">
        <v>255</v>
      </c>
      <c r="V121" t="s">
        <v>261</v>
      </c>
      <c r="W121">
        <f>COUNTIFS(selected.depts,VLOOKUP(tracker[[#This Row],[Person Name]],people[[Name]:[Department]],2,FALSE))</f>
        <v>1</v>
      </c>
    </row>
    <row r="122" spans="18:23" x14ac:dyDescent="0.3">
      <c r="R122" s="2">
        <f>IF(COUNTIFS($S$8:S122,S122,$T$8:T122,T122)&gt;1,2,IF(COUNTIFS($T$8:T122,T122,$U$8:U122,"&lt;&gt;"&amp;Settings!$B$8)&gt;VLOOKUP(T122,courses[[Program name]:[Capacity]],5,FALSE),1,3))</f>
        <v>3</v>
      </c>
      <c r="S122" t="s">
        <v>119</v>
      </c>
      <c r="T122" t="s">
        <v>236</v>
      </c>
      <c r="U122" t="s">
        <v>255</v>
      </c>
      <c r="V122" t="s">
        <v>260</v>
      </c>
      <c r="W122">
        <f>COUNTIFS(selected.depts,VLOOKUP(tracker[[#This Row],[Person Name]],people[[Name]:[Department]],2,FALSE))</f>
        <v>1</v>
      </c>
    </row>
    <row r="123" spans="18:23" x14ac:dyDescent="0.3">
      <c r="R123" s="2">
        <f>IF(COUNTIFS($S$8:S123,S123,$T$8:T123,T123)&gt;1,2,IF(COUNTIFS($T$8:T123,T123,$U$8:U123,"&lt;&gt;"&amp;Settings!$B$8)&gt;VLOOKUP(T123,courses[[Program name]:[Capacity]],5,FALSE),1,3))</f>
        <v>2</v>
      </c>
      <c r="S123" t="s">
        <v>148</v>
      </c>
      <c r="T123" t="s">
        <v>239</v>
      </c>
      <c r="U123" t="s">
        <v>255</v>
      </c>
      <c r="V123" t="s">
        <v>259</v>
      </c>
      <c r="W123">
        <f>COUNTIFS(selected.depts,VLOOKUP(tracker[[#This Row],[Person Name]],people[[Name]:[Department]],2,FALSE))</f>
        <v>1</v>
      </c>
    </row>
    <row r="124" spans="18:23" x14ac:dyDescent="0.3">
      <c r="R124" s="2">
        <f>IF(COUNTIFS($S$8:S124,S124,$T$8:T124,T124)&gt;1,2,IF(COUNTIFS($T$8:T124,T124,$U$8:U124,"&lt;&gt;"&amp;Settings!$B$8)&gt;VLOOKUP(T124,courses[[Program name]:[Capacity]],5,FALSE),1,3))</f>
        <v>2</v>
      </c>
      <c r="S124" t="s">
        <v>195</v>
      </c>
      <c r="T124" t="s">
        <v>229</v>
      </c>
      <c r="U124" t="s">
        <v>255</v>
      </c>
      <c r="V124" t="s">
        <v>261</v>
      </c>
      <c r="W124">
        <f>COUNTIFS(selected.depts,VLOOKUP(tracker[[#This Row],[Person Name]],people[[Name]:[Department]],2,FALSE))</f>
        <v>1</v>
      </c>
    </row>
    <row r="125" spans="18:23" x14ac:dyDescent="0.3">
      <c r="R125" s="2">
        <f>IF(COUNTIFS($S$8:S125,S125,$T$8:T125,T125)&gt;1,2,IF(COUNTIFS($T$8:T125,T125,$U$8:U125,"&lt;&gt;"&amp;Settings!$B$8)&gt;VLOOKUP(T125,courses[[Program name]:[Capacity]],5,FALSE),1,3))</f>
        <v>1</v>
      </c>
      <c r="S125" t="s">
        <v>147</v>
      </c>
      <c r="T125" t="s">
        <v>239</v>
      </c>
      <c r="U125" t="s">
        <v>255</v>
      </c>
      <c r="V125" t="s">
        <v>259</v>
      </c>
      <c r="W125">
        <f>COUNTIFS(selected.depts,VLOOKUP(tracker[[#This Row],[Person Name]],people[[Name]:[Department]],2,FALSE))</f>
        <v>1</v>
      </c>
    </row>
    <row r="126" spans="18:23" x14ac:dyDescent="0.3">
      <c r="R126" s="2">
        <f>IF(COUNTIFS($S$8:S126,S126,$T$8:T126,T126)&gt;1,2,IF(COUNTIFS($T$8:T126,T126,$U$8:U126,"&lt;&gt;"&amp;Settings!$B$8)&gt;VLOOKUP(T126,courses[[Program name]:[Capacity]],5,FALSE),1,3))</f>
        <v>3</v>
      </c>
      <c r="S126" t="s">
        <v>137</v>
      </c>
      <c r="T126" t="s">
        <v>220</v>
      </c>
      <c r="U126" t="s">
        <v>255</v>
      </c>
      <c r="V126" t="s">
        <v>259</v>
      </c>
      <c r="W126">
        <f>COUNTIFS(selected.depts,VLOOKUP(tracker[[#This Row],[Person Name]],people[[Name]:[Department]],2,FALSE))</f>
        <v>1</v>
      </c>
    </row>
    <row r="127" spans="18:23" x14ac:dyDescent="0.3">
      <c r="R127" s="2">
        <f>IF(COUNTIFS($S$8:S127,S127,$T$8:T127,T127)&gt;1,2,IF(COUNTIFS($T$8:T127,T127,$U$8:U127,"&lt;&gt;"&amp;Settings!$B$8)&gt;VLOOKUP(T127,courses[[Program name]:[Capacity]],5,FALSE),1,3))</f>
        <v>1</v>
      </c>
      <c r="S127" t="s">
        <v>142</v>
      </c>
      <c r="T127" t="s">
        <v>229</v>
      </c>
      <c r="U127" t="s">
        <v>255</v>
      </c>
      <c r="V127" t="s">
        <v>259</v>
      </c>
      <c r="W127">
        <f>COUNTIFS(selected.depts,VLOOKUP(tracker[[#This Row],[Person Name]],people[[Name]:[Department]],2,FALSE))</f>
        <v>1</v>
      </c>
    </row>
    <row r="128" spans="18:23" x14ac:dyDescent="0.3">
      <c r="R128" s="2">
        <f>IF(COUNTIFS($S$8:S128,S128,$T$8:T128,T128)&gt;1,2,IF(COUNTIFS($T$8:T128,T128,$U$8:U128,"&lt;&gt;"&amp;Settings!$B$8)&gt;VLOOKUP(T128,courses[[Program name]:[Capacity]],5,FALSE),1,3))</f>
        <v>3</v>
      </c>
      <c r="S128" t="s">
        <v>159</v>
      </c>
      <c r="T128" t="s">
        <v>223</v>
      </c>
      <c r="U128" t="s">
        <v>255</v>
      </c>
      <c r="V128" t="s">
        <v>260</v>
      </c>
      <c r="W128">
        <f>COUNTIFS(selected.depts,VLOOKUP(tracker[[#This Row],[Person Name]],people[[Name]:[Department]],2,FALSE))</f>
        <v>1</v>
      </c>
    </row>
    <row r="129" spans="18:23" x14ac:dyDescent="0.3">
      <c r="R129" s="2">
        <f>IF(COUNTIFS($S$8:S129,S129,$T$8:T129,T129)&gt;1,2,IF(COUNTIFS($T$8:T129,T129,$U$8:U129,"&lt;&gt;"&amp;Settings!$B$8)&gt;VLOOKUP(T129,courses[[Program name]:[Capacity]],5,FALSE),1,3))</f>
        <v>3</v>
      </c>
      <c r="S129" t="s">
        <v>136</v>
      </c>
      <c r="T129" t="s">
        <v>220</v>
      </c>
      <c r="U129" t="s">
        <v>255</v>
      </c>
      <c r="V129" t="s">
        <v>263</v>
      </c>
      <c r="W129">
        <f>COUNTIFS(selected.depts,VLOOKUP(tracker[[#This Row],[Person Name]],people[[Name]:[Department]],2,FALSE))</f>
        <v>1</v>
      </c>
    </row>
    <row r="130" spans="18:23" x14ac:dyDescent="0.3">
      <c r="R130" s="2">
        <f>IF(COUNTIFS($S$8:S130,S130,$T$8:T130,T130)&gt;1,2,IF(COUNTIFS($T$8:T130,T130,$U$8:U130,"&lt;&gt;"&amp;Settings!$B$8)&gt;VLOOKUP(T130,courses[[Program name]:[Capacity]],5,FALSE),1,3))</f>
        <v>3</v>
      </c>
      <c r="S130" t="s">
        <v>137</v>
      </c>
      <c r="T130" t="s">
        <v>228</v>
      </c>
      <c r="U130" t="s">
        <v>255</v>
      </c>
      <c r="W130">
        <f>COUNTIFS(selected.depts,VLOOKUP(tracker[[#This Row],[Person Name]],people[[Name]:[Department]],2,FALSE))</f>
        <v>1</v>
      </c>
    </row>
    <row r="131" spans="18:23" x14ac:dyDescent="0.3">
      <c r="R131" s="2">
        <f>IF(COUNTIFS($S$8:S131,S131,$T$8:T131,T131)&gt;1,2,IF(COUNTIFS($T$8:T131,T131,$U$8:U131,"&lt;&gt;"&amp;Settings!$B$8)&gt;VLOOKUP(T131,courses[[Program name]:[Capacity]],5,FALSE),1,3))</f>
        <v>3</v>
      </c>
      <c r="S131" t="s">
        <v>112</v>
      </c>
      <c r="T131" t="s">
        <v>238</v>
      </c>
      <c r="U131" t="s">
        <v>255</v>
      </c>
      <c r="W131">
        <f>COUNTIFS(selected.depts,VLOOKUP(tracker[[#This Row],[Person Name]],people[[Name]:[Department]],2,FALSE))</f>
        <v>1</v>
      </c>
    </row>
    <row r="132" spans="18:23" x14ac:dyDescent="0.3">
      <c r="R132" s="2">
        <f>IF(COUNTIFS($S$8:S132,S132,$T$8:T132,T132)&gt;1,2,IF(COUNTIFS($T$8:T132,T132,$U$8:U132,"&lt;&gt;"&amp;Settings!$B$8)&gt;VLOOKUP(T132,courses[[Program name]:[Capacity]],5,FALSE),1,3))</f>
        <v>3</v>
      </c>
      <c r="S132" t="s">
        <v>144</v>
      </c>
      <c r="T132" t="s">
        <v>223</v>
      </c>
      <c r="U132" t="s">
        <v>255</v>
      </c>
      <c r="V132" t="s">
        <v>261</v>
      </c>
      <c r="W132">
        <f>COUNTIFS(selected.depts,VLOOKUP(tracker[[#This Row],[Person Name]],people[[Name]:[Department]],2,FALSE))</f>
        <v>1</v>
      </c>
    </row>
    <row r="133" spans="18:23" x14ac:dyDescent="0.3">
      <c r="R133" s="2">
        <f>IF(COUNTIFS($S$8:S133,S133,$T$8:T133,T133)&gt;1,2,IF(COUNTIFS($T$8:T133,T133,$U$8:U133,"&lt;&gt;"&amp;Settings!$B$8)&gt;VLOOKUP(T133,courses[[Program name]:[Capacity]],5,FALSE),1,3))</f>
        <v>3</v>
      </c>
      <c r="S133" t="s">
        <v>198</v>
      </c>
      <c r="T133" t="s">
        <v>227</v>
      </c>
      <c r="U133" t="s">
        <v>255</v>
      </c>
      <c r="V133" t="s">
        <v>263</v>
      </c>
      <c r="W133">
        <f>COUNTIFS(selected.depts,VLOOKUP(tracker[[#This Row],[Person Name]],people[[Name]:[Department]],2,FALSE))</f>
        <v>1</v>
      </c>
    </row>
    <row r="134" spans="18:23" x14ac:dyDescent="0.3">
      <c r="R134" s="2">
        <f>IF(COUNTIFS($S$8:S134,S134,$T$8:T134,T134)&gt;1,2,IF(COUNTIFS($T$8:T134,T134,$U$8:U134,"&lt;&gt;"&amp;Settings!$B$8)&gt;VLOOKUP(T134,courses[[Program name]:[Capacity]],5,FALSE),1,3))</f>
        <v>3</v>
      </c>
      <c r="S134" t="s">
        <v>126</v>
      </c>
      <c r="T134" t="s">
        <v>223</v>
      </c>
      <c r="U134" t="s">
        <v>255</v>
      </c>
      <c r="V134" t="s">
        <v>259</v>
      </c>
      <c r="W134">
        <f>COUNTIFS(selected.depts,VLOOKUP(tracker[[#This Row],[Person Name]],people[[Name]:[Department]],2,FALSE))</f>
        <v>1</v>
      </c>
    </row>
    <row r="135" spans="18:23" x14ac:dyDescent="0.3">
      <c r="R135" s="2">
        <f>IF(COUNTIFS($S$8:S135,S135,$T$8:T135,T135)&gt;1,2,IF(COUNTIFS($T$8:T135,T135,$U$8:U135,"&lt;&gt;"&amp;Settings!$B$8)&gt;VLOOKUP(T135,courses[[Program name]:[Capacity]],5,FALSE),1,3))</f>
        <v>2</v>
      </c>
      <c r="S135" t="s">
        <v>111</v>
      </c>
      <c r="T135" t="s">
        <v>238</v>
      </c>
      <c r="U135" t="s">
        <v>255</v>
      </c>
      <c r="W135">
        <f>COUNTIFS(selected.depts,VLOOKUP(tracker[[#This Row],[Person Name]],people[[Name]:[Department]],2,FALSE))</f>
        <v>1</v>
      </c>
    </row>
    <row r="136" spans="18:23" x14ac:dyDescent="0.3">
      <c r="R136" s="2">
        <f>IF(COUNTIFS($S$8:S136,S136,$T$8:T136,T136)&gt;1,2,IF(COUNTIFS($T$8:T136,T136,$U$8:U136,"&lt;&gt;"&amp;Settings!$B$8)&gt;VLOOKUP(T136,courses[[Program name]:[Capacity]],5,FALSE),1,3))</f>
        <v>3</v>
      </c>
      <c r="S136" t="s">
        <v>119</v>
      </c>
      <c r="T136" t="s">
        <v>226</v>
      </c>
      <c r="U136" t="s">
        <v>255</v>
      </c>
      <c r="V136" t="s">
        <v>263</v>
      </c>
      <c r="W136">
        <f>COUNTIFS(selected.depts,VLOOKUP(tracker[[#This Row],[Person Name]],people[[Name]:[Department]],2,FALSE))</f>
        <v>1</v>
      </c>
    </row>
    <row r="137" spans="18:23" x14ac:dyDescent="0.3">
      <c r="R137" s="2">
        <f>IF(COUNTIFS($S$8:S137,S137,$T$8:T137,T137)&gt;1,2,IF(COUNTIFS($T$8:T137,T137,$U$8:U137,"&lt;&gt;"&amp;Settings!$B$8)&gt;VLOOKUP(T137,courses[[Program name]:[Capacity]],5,FALSE),1,3))</f>
        <v>3</v>
      </c>
      <c r="S137" t="s">
        <v>155</v>
      </c>
      <c r="T137" t="s">
        <v>222</v>
      </c>
      <c r="U137" t="s">
        <v>255</v>
      </c>
      <c r="V137" t="s">
        <v>260</v>
      </c>
      <c r="W137">
        <f>COUNTIFS(selected.depts,VLOOKUP(tracker[[#This Row],[Person Name]],people[[Name]:[Department]],2,FALSE))</f>
        <v>1</v>
      </c>
    </row>
    <row r="138" spans="18:23" x14ac:dyDescent="0.3">
      <c r="R138" s="2">
        <f>IF(COUNTIFS($S$8:S138,S138,$T$8:T138,T138)&gt;1,2,IF(COUNTIFS($T$8:T138,T138,$U$8:U138,"&lt;&gt;"&amp;Settings!$B$8)&gt;VLOOKUP(T138,courses[[Program name]:[Capacity]],5,FALSE),1,3))</f>
        <v>3</v>
      </c>
      <c r="S138" t="s">
        <v>158</v>
      </c>
      <c r="T138" t="s">
        <v>233</v>
      </c>
      <c r="U138" t="s">
        <v>255</v>
      </c>
      <c r="W138">
        <f>COUNTIFS(selected.depts,VLOOKUP(tracker[[#This Row],[Person Name]],people[[Name]:[Department]],2,FALSE))</f>
        <v>1</v>
      </c>
    </row>
    <row r="139" spans="18:23" x14ac:dyDescent="0.3">
      <c r="R139" s="2">
        <f>IF(COUNTIFS($S$8:S139,S139,$T$8:T139,T139)&gt;1,2,IF(COUNTIFS($T$8:T139,T139,$U$8:U139,"&lt;&gt;"&amp;Settings!$B$8)&gt;VLOOKUP(T139,courses[[Program name]:[Capacity]],5,FALSE),1,3))</f>
        <v>3</v>
      </c>
      <c r="S139" t="s">
        <v>126</v>
      </c>
      <c r="T139" t="s">
        <v>227</v>
      </c>
      <c r="U139" t="s">
        <v>255</v>
      </c>
      <c r="V139" t="s">
        <v>262</v>
      </c>
      <c r="W139">
        <f>COUNTIFS(selected.depts,VLOOKUP(tracker[[#This Row],[Person Name]],people[[Name]:[Department]],2,FALSE))</f>
        <v>1</v>
      </c>
    </row>
    <row r="140" spans="18:23" x14ac:dyDescent="0.3">
      <c r="R140" s="2">
        <f>IF(COUNTIFS($S$8:S140,S140,$T$8:T140,T140)&gt;1,2,IF(COUNTIFS($T$8:T140,T140,$U$8:U140,"&lt;&gt;"&amp;Settings!$B$8)&gt;VLOOKUP(T140,courses[[Program name]:[Capacity]],5,FALSE),1,3))</f>
        <v>3</v>
      </c>
      <c r="S140" t="s">
        <v>138</v>
      </c>
      <c r="T140" t="s">
        <v>228</v>
      </c>
      <c r="U140" t="s">
        <v>255</v>
      </c>
      <c r="W140">
        <f>COUNTIFS(selected.depts,VLOOKUP(tracker[[#This Row],[Person Name]],people[[Name]:[Department]],2,FALSE))</f>
        <v>1</v>
      </c>
    </row>
    <row r="141" spans="18:23" x14ac:dyDescent="0.3">
      <c r="R141" s="2">
        <f>IF(COUNTIFS($S$8:S141,S141,$T$8:T141,T141)&gt;1,2,IF(COUNTIFS($T$8:T141,T141,$U$8:U141,"&lt;&gt;"&amp;Settings!$B$8)&gt;VLOOKUP(T141,courses[[Program name]:[Capacity]],5,FALSE),1,3))</f>
        <v>3</v>
      </c>
      <c r="S141" t="s">
        <v>133</v>
      </c>
      <c r="T141" t="s">
        <v>240</v>
      </c>
      <c r="U141" t="s">
        <v>255</v>
      </c>
      <c r="V141" t="s">
        <v>261</v>
      </c>
      <c r="W141">
        <f>COUNTIFS(selected.depts,VLOOKUP(tracker[[#This Row],[Person Name]],people[[Name]:[Department]],2,FALSE))</f>
        <v>1</v>
      </c>
    </row>
    <row r="142" spans="18:23" x14ac:dyDescent="0.3">
      <c r="R142" s="2">
        <f>IF(COUNTIFS($S$8:S142,S142,$T$8:T142,T142)&gt;1,2,IF(COUNTIFS($T$8:T142,T142,$U$8:U142,"&lt;&gt;"&amp;Settings!$B$8)&gt;VLOOKUP(T142,courses[[Program name]:[Capacity]],5,FALSE),1,3))</f>
        <v>3</v>
      </c>
      <c r="S142" t="s">
        <v>134</v>
      </c>
      <c r="T142" t="s">
        <v>232</v>
      </c>
      <c r="U142" t="s">
        <v>255</v>
      </c>
      <c r="V142" t="s">
        <v>261</v>
      </c>
      <c r="W142">
        <f>COUNTIFS(selected.depts,VLOOKUP(tracker[[#This Row],[Person Name]],people[[Name]:[Department]],2,FALSE))</f>
        <v>1</v>
      </c>
    </row>
    <row r="143" spans="18:23" x14ac:dyDescent="0.3">
      <c r="R143" s="2">
        <f>IF(COUNTIFS($S$8:S143,S143,$T$8:T143,T143)&gt;1,2,IF(COUNTIFS($T$8:T143,T143,$U$8:U143,"&lt;&gt;"&amp;Settings!$B$8)&gt;VLOOKUP(T143,courses[[Program name]:[Capacity]],5,FALSE),1,3))</f>
        <v>3</v>
      </c>
      <c r="S143" t="s">
        <v>117</v>
      </c>
      <c r="T143" t="s">
        <v>228</v>
      </c>
      <c r="U143" t="s">
        <v>255</v>
      </c>
      <c r="W143">
        <f>COUNTIFS(selected.depts,VLOOKUP(tracker[[#This Row],[Person Name]],people[[Name]:[Department]],2,FALSE))</f>
        <v>1</v>
      </c>
    </row>
    <row r="144" spans="18:23" x14ac:dyDescent="0.3">
      <c r="R144" s="2">
        <f>IF(COUNTIFS($S$8:S144,S144,$T$8:T144,T144)&gt;1,2,IF(COUNTIFS($T$8:T144,T144,$U$8:U144,"&lt;&gt;"&amp;Settings!$B$8)&gt;VLOOKUP(T144,courses[[Program name]:[Capacity]],5,FALSE),1,3))</f>
        <v>3</v>
      </c>
      <c r="S144" t="s">
        <v>169</v>
      </c>
      <c r="T144" t="s">
        <v>235</v>
      </c>
      <c r="U144" t="s">
        <v>255</v>
      </c>
      <c r="V144" t="s">
        <v>260</v>
      </c>
      <c r="W144">
        <f>COUNTIFS(selected.depts,VLOOKUP(tracker[[#This Row],[Person Name]],people[[Name]:[Department]],2,FALSE))</f>
        <v>1</v>
      </c>
    </row>
    <row r="145" spans="18:23" x14ac:dyDescent="0.3">
      <c r="R145" s="2">
        <f>IF(COUNTIFS($S$8:S145,S145,$T$8:T145,T145)&gt;1,2,IF(COUNTIFS($T$8:T145,T145,$U$8:U145,"&lt;&gt;"&amp;Settings!$B$8)&gt;VLOOKUP(T145,courses[[Program name]:[Capacity]],5,FALSE),1,3))</f>
        <v>3</v>
      </c>
      <c r="S145" t="s">
        <v>124</v>
      </c>
      <c r="T145" t="s">
        <v>228</v>
      </c>
      <c r="U145" t="s">
        <v>255</v>
      </c>
      <c r="W145">
        <f>COUNTIFS(selected.depts,VLOOKUP(tracker[[#This Row],[Person Name]],people[[Name]:[Department]],2,FALSE))</f>
        <v>1</v>
      </c>
    </row>
    <row r="146" spans="18:23" x14ac:dyDescent="0.3">
      <c r="R146" s="2">
        <f>IF(COUNTIFS($S$8:S146,S146,$T$8:T146,T146)&gt;1,2,IF(COUNTIFS($T$8:T146,T146,$U$8:U146,"&lt;&gt;"&amp;Settings!$B$8)&gt;VLOOKUP(T146,courses[[Program name]:[Capacity]],5,FALSE),1,3))</f>
        <v>1</v>
      </c>
      <c r="S146" t="s">
        <v>156</v>
      </c>
      <c r="T146" t="s">
        <v>239</v>
      </c>
      <c r="U146" t="s">
        <v>255</v>
      </c>
      <c r="V146" t="s">
        <v>261</v>
      </c>
      <c r="W146">
        <f>COUNTIFS(selected.depts,VLOOKUP(tracker[[#This Row],[Person Name]],people[[Name]:[Department]],2,FALSE))</f>
        <v>1</v>
      </c>
    </row>
    <row r="147" spans="18:23" x14ac:dyDescent="0.3">
      <c r="R147" s="2">
        <f>IF(COUNTIFS($S$8:S147,S147,$T$8:T147,T147)&gt;1,2,IF(COUNTIFS($T$8:T147,T147,$U$8:U147,"&lt;&gt;"&amp;Settings!$B$8)&gt;VLOOKUP(T147,courses[[Program name]:[Capacity]],5,FALSE),1,3))</f>
        <v>3</v>
      </c>
      <c r="S147" t="s">
        <v>157</v>
      </c>
      <c r="T147" t="s">
        <v>235</v>
      </c>
      <c r="U147" t="s">
        <v>255</v>
      </c>
      <c r="V147" t="s">
        <v>260</v>
      </c>
      <c r="W147">
        <f>COUNTIFS(selected.depts,VLOOKUP(tracker[[#This Row],[Person Name]],people[[Name]:[Department]],2,FALSE))</f>
        <v>1</v>
      </c>
    </row>
    <row r="148" spans="18:23" x14ac:dyDescent="0.3">
      <c r="R148" s="2">
        <f>IF(COUNTIFS($S$8:S148,S148,$T$8:T148,T148)&gt;1,2,IF(COUNTIFS($T$8:T148,T148,$U$8:U148,"&lt;&gt;"&amp;Settings!$B$8)&gt;VLOOKUP(T148,courses[[Program name]:[Capacity]],5,FALSE),1,3))</f>
        <v>3</v>
      </c>
      <c r="S148" t="s">
        <v>126</v>
      </c>
      <c r="T148" t="s">
        <v>238</v>
      </c>
      <c r="U148" t="s">
        <v>255</v>
      </c>
      <c r="W148">
        <f>COUNTIFS(selected.depts,VLOOKUP(tracker[[#This Row],[Person Name]],people[[Name]:[Department]],2,FALSE))</f>
        <v>1</v>
      </c>
    </row>
    <row r="149" spans="18:23" x14ac:dyDescent="0.3">
      <c r="R149" s="2">
        <f>IF(COUNTIFS($S$8:S149,S149,$T$8:T149,T149)&gt;1,2,IF(COUNTIFS($T$8:T149,T149,$U$8:U149,"&lt;&gt;"&amp;Settings!$B$8)&gt;VLOOKUP(T149,courses[[Program name]:[Capacity]],5,FALSE),1,3))</f>
        <v>3</v>
      </c>
      <c r="S149" t="s">
        <v>120</v>
      </c>
      <c r="T149" t="s">
        <v>236</v>
      </c>
      <c r="U149" t="s">
        <v>255</v>
      </c>
      <c r="V149" t="s">
        <v>263</v>
      </c>
      <c r="W149">
        <f>COUNTIFS(selected.depts,VLOOKUP(tracker[[#This Row],[Person Name]],people[[Name]:[Department]],2,FALSE))</f>
        <v>1</v>
      </c>
    </row>
    <row r="150" spans="18:23" x14ac:dyDescent="0.3">
      <c r="R150" s="2">
        <f>IF(COUNTIFS($S$8:S150,S150,$T$8:T150,T150)&gt;1,2,IF(COUNTIFS($T$8:T150,T150,$U$8:U150,"&lt;&gt;"&amp;Settings!$B$8)&gt;VLOOKUP(T150,courses[[Program name]:[Capacity]],5,FALSE),1,3))</f>
        <v>3</v>
      </c>
      <c r="S150" t="s">
        <v>119</v>
      </c>
      <c r="T150" t="s">
        <v>228</v>
      </c>
      <c r="U150" t="s">
        <v>255</v>
      </c>
      <c r="W150">
        <f>COUNTIFS(selected.depts,VLOOKUP(tracker[[#This Row],[Person Name]],people[[Name]:[Department]],2,FALSE))</f>
        <v>1</v>
      </c>
    </row>
    <row r="151" spans="18:23" x14ac:dyDescent="0.3">
      <c r="R151" s="2">
        <f>IF(COUNTIFS($S$8:S151,S151,$T$8:T151,T151)&gt;1,2,IF(COUNTIFS($T$8:T151,T151,$U$8:U151,"&lt;&gt;"&amp;Settings!$B$8)&gt;VLOOKUP(T151,courses[[Program name]:[Capacity]],5,FALSE),1,3))</f>
        <v>3</v>
      </c>
      <c r="S151" t="s">
        <v>195</v>
      </c>
      <c r="T151" t="s">
        <v>235</v>
      </c>
      <c r="U151" t="s">
        <v>255</v>
      </c>
      <c r="V151" t="s">
        <v>262</v>
      </c>
      <c r="W151">
        <f>COUNTIFS(selected.depts,VLOOKUP(tracker[[#This Row],[Person Name]],people[[Name]:[Department]],2,FALSE))</f>
        <v>1</v>
      </c>
    </row>
    <row r="152" spans="18:23" x14ac:dyDescent="0.3">
      <c r="R152" s="2">
        <f>IF(COUNTIFS($S$8:S152,S152,$T$8:T152,T152)&gt;1,2,IF(COUNTIFS($T$8:T152,T152,$U$8:U152,"&lt;&gt;"&amp;Settings!$B$8)&gt;VLOOKUP(T152,courses[[Program name]:[Capacity]],5,FALSE),1,3))</f>
        <v>3</v>
      </c>
      <c r="S152" t="s">
        <v>136</v>
      </c>
      <c r="T152" t="s">
        <v>237</v>
      </c>
      <c r="U152" t="s">
        <v>255</v>
      </c>
      <c r="W152">
        <f>COUNTIFS(selected.depts,VLOOKUP(tracker[[#This Row],[Person Name]],people[[Name]:[Department]],2,FALSE))</f>
        <v>1</v>
      </c>
    </row>
    <row r="153" spans="18:23" x14ac:dyDescent="0.3">
      <c r="R153" s="2">
        <f>IF(COUNTIFS($S$8:S153,S153,$T$8:T153,T153)&gt;1,2,IF(COUNTIFS($T$8:T153,T153,$U$8:U153,"&lt;&gt;"&amp;Settings!$B$8)&gt;VLOOKUP(T153,courses[[Program name]:[Capacity]],5,FALSE),1,3))</f>
        <v>3</v>
      </c>
      <c r="S153" t="s">
        <v>144</v>
      </c>
      <c r="T153" t="s">
        <v>234</v>
      </c>
      <c r="U153" t="s">
        <v>255</v>
      </c>
      <c r="V153" t="s">
        <v>260</v>
      </c>
      <c r="W153">
        <f>COUNTIFS(selected.depts,VLOOKUP(tracker[[#This Row],[Person Name]],people[[Name]:[Department]],2,FALSE))</f>
        <v>1</v>
      </c>
    </row>
    <row r="154" spans="18:23" x14ac:dyDescent="0.3">
      <c r="R154" s="2">
        <f>IF(COUNTIFS($S$8:S154,S154,$T$8:T154,T154)&gt;1,2,IF(COUNTIFS($T$8:T154,T154,$U$8:U154,"&lt;&gt;"&amp;Settings!$B$8)&gt;VLOOKUP(T154,courses[[Program name]:[Capacity]],5,FALSE),1,3))</f>
        <v>3</v>
      </c>
      <c r="S154" t="s">
        <v>154</v>
      </c>
      <c r="T154" t="s">
        <v>232</v>
      </c>
      <c r="U154" t="s">
        <v>255</v>
      </c>
      <c r="V154" t="s">
        <v>261</v>
      </c>
      <c r="W154">
        <f>COUNTIFS(selected.depts,VLOOKUP(tracker[[#This Row],[Person Name]],people[[Name]:[Department]],2,FALSE))</f>
        <v>1</v>
      </c>
    </row>
    <row r="155" spans="18:23" x14ac:dyDescent="0.3">
      <c r="R155" s="2">
        <f>IF(COUNTIFS($S$8:S155,S155,$T$8:T155,T155)&gt;1,2,IF(COUNTIFS($T$8:T155,T155,$U$8:U155,"&lt;&gt;"&amp;Settings!$B$8)&gt;VLOOKUP(T155,courses[[Program name]:[Capacity]],5,FALSE),1,3))</f>
        <v>2</v>
      </c>
      <c r="S155" t="s">
        <v>152</v>
      </c>
      <c r="T155" t="s">
        <v>238</v>
      </c>
      <c r="U155" t="s">
        <v>255</v>
      </c>
      <c r="W155">
        <f>COUNTIFS(selected.depts,VLOOKUP(tracker[[#This Row],[Person Name]],people[[Name]:[Department]],2,FALSE))</f>
        <v>1</v>
      </c>
    </row>
    <row r="156" spans="18:23" x14ac:dyDescent="0.3">
      <c r="R156" s="2">
        <f>IF(COUNTIFS($S$8:S156,S156,$T$8:T156,T156)&gt;1,2,IF(COUNTIFS($T$8:T156,T156,$U$8:U156,"&lt;&gt;"&amp;Settings!$B$8)&gt;VLOOKUP(T156,courses[[Program name]:[Capacity]],5,FALSE),1,3))</f>
        <v>3</v>
      </c>
      <c r="S156" t="s">
        <v>192</v>
      </c>
      <c r="T156" t="s">
        <v>240</v>
      </c>
      <c r="U156" t="s">
        <v>255</v>
      </c>
      <c r="V156" t="s">
        <v>259</v>
      </c>
      <c r="W156">
        <f>COUNTIFS(selected.depts,VLOOKUP(tracker[[#This Row],[Person Name]],people[[Name]:[Department]],2,FALSE))</f>
        <v>1</v>
      </c>
    </row>
    <row r="157" spans="18:23" x14ac:dyDescent="0.3">
      <c r="R157" s="2">
        <f>IF(COUNTIFS($S$8:S157,S157,$T$8:T157,T157)&gt;1,2,IF(COUNTIFS($T$8:T157,T157,$U$8:U157,"&lt;&gt;"&amp;Settings!$B$8)&gt;VLOOKUP(T157,courses[[Program name]:[Capacity]],5,FALSE),1,3))</f>
        <v>3</v>
      </c>
      <c r="S157" t="s">
        <v>167</v>
      </c>
      <c r="T157" t="s">
        <v>225</v>
      </c>
      <c r="U157" t="s">
        <v>255</v>
      </c>
      <c r="V157" t="s">
        <v>259</v>
      </c>
      <c r="W157">
        <f>COUNTIFS(selected.depts,VLOOKUP(tracker[[#This Row],[Person Name]],people[[Name]:[Department]],2,FALSE))</f>
        <v>1</v>
      </c>
    </row>
  </sheetData>
  <conditionalFormatting sqref="R8:R157">
    <cfRule type="iconSet" priority="5">
      <iconSet iconSet="3Symbols" showValue="0">
        <cfvo type="percent" val="0"/>
        <cfvo type="num" val="2"/>
        <cfvo type="num" val="3"/>
      </iconSet>
    </cfRule>
  </conditionalFormatting>
  <conditionalFormatting sqref="R8:V157">
    <cfRule type="expression" dxfId="25" priority="2">
      <formula>COUNTIFS($S$8:$S$157,$S8,$T$8:$T$157,$T8)&gt;1</formula>
    </cfRule>
  </conditionalFormatting>
  <conditionalFormatting sqref="C8:C107">
    <cfRule type="duplicateValues" dxfId="24" priority="1"/>
  </conditionalFormatting>
  <dataValidations count="4">
    <dataValidation type="list" allowBlank="1" showInputMessage="1" showErrorMessage="1" sqref="S8:S157">
      <formula1>people.names</formula1>
    </dataValidation>
    <dataValidation type="list" allowBlank="1" showInputMessage="1" showErrorMessage="1" sqref="T8:T157">
      <formula1>course.names</formula1>
    </dataValidation>
    <dataValidation type="list" allowBlank="1" showInputMessage="1" showErrorMessage="1" sqref="U8:U157">
      <formula1>training.status</formula1>
    </dataValidation>
    <dataValidation type="list" allowBlank="1" showInputMessage="1" showErrorMessage="1" sqref="V8:V157">
      <formula1>ratings</formula1>
    </dataValidation>
  </dataValidations>
  <pageMargins left="0.7" right="0.7" top="0.75" bottom="0.75" header="0.3" footer="0.3"/>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M10"/>
  <sheetViews>
    <sheetView showGridLines="0" workbookViewId="0"/>
  </sheetViews>
  <sheetFormatPr defaultRowHeight="14.4" x14ac:dyDescent="0.3"/>
  <cols>
    <col min="1" max="1" width="3.44140625" customWidth="1"/>
    <col min="2" max="2" width="18.5546875" customWidth="1"/>
    <col min="4" max="4" width="13.6640625" bestFit="1" customWidth="1"/>
    <col min="6" max="6" width="19.109375" bestFit="1" customWidth="1"/>
  </cols>
  <sheetData>
    <row r="1" spans="2:13" s="1" customFormat="1" ht="57.75" customHeight="1" x14ac:dyDescent="0.25">
      <c r="B1" s="9" t="s">
        <v>349</v>
      </c>
    </row>
    <row r="3" spans="2:13" ht="15" x14ac:dyDescent="0.25">
      <c r="B3" s="4" t="s">
        <v>253</v>
      </c>
      <c r="C3" s="5"/>
      <c r="D3" s="5"/>
      <c r="E3" s="5"/>
      <c r="F3" s="5"/>
      <c r="G3" s="5"/>
      <c r="H3" s="5"/>
      <c r="I3" s="5"/>
      <c r="J3" s="5"/>
      <c r="K3" s="5"/>
      <c r="L3" s="5"/>
      <c r="M3" s="6"/>
    </row>
    <row r="5" spans="2:13" ht="15" x14ac:dyDescent="0.25">
      <c r="B5" s="21" t="s">
        <v>254</v>
      </c>
      <c r="D5" s="21" t="s">
        <v>258</v>
      </c>
      <c r="F5" s="21" t="s">
        <v>330</v>
      </c>
    </row>
    <row r="6" spans="2:13" ht="15" x14ac:dyDescent="0.25">
      <c r="B6" s="20" t="s">
        <v>255</v>
      </c>
      <c r="D6" s="20" t="s">
        <v>259</v>
      </c>
      <c r="F6" s="20" t="s">
        <v>331</v>
      </c>
    </row>
    <row r="7" spans="2:13" ht="15" x14ac:dyDescent="0.25">
      <c r="B7" s="20" t="s">
        <v>256</v>
      </c>
      <c r="D7" s="20" t="s">
        <v>260</v>
      </c>
    </row>
    <row r="8" spans="2:13" ht="15" x14ac:dyDescent="0.25">
      <c r="B8" s="20" t="s">
        <v>257</v>
      </c>
      <c r="D8" s="20" t="s">
        <v>261</v>
      </c>
      <c r="F8" s="21" t="s">
        <v>332</v>
      </c>
    </row>
    <row r="9" spans="2:13" ht="15" x14ac:dyDescent="0.25">
      <c r="D9" s="20" t="s">
        <v>262</v>
      </c>
      <c r="F9" s="20" t="s">
        <v>333</v>
      </c>
    </row>
    <row r="10" spans="2:13" ht="15" x14ac:dyDescent="0.25">
      <c r="D10" s="20" t="s">
        <v>263</v>
      </c>
    </row>
  </sheetData>
  <dataValidations count="1">
    <dataValidation type="list" allowBlank="1" showInputMessage="1" showErrorMessage="1" sqref="F9">
      <formula1>"Actual, Thousands, Millions"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C1:P31"/>
  <sheetViews>
    <sheetView showGridLines="0" zoomScaleNormal="100" workbookViewId="0"/>
  </sheetViews>
  <sheetFormatPr defaultRowHeight="14.4" x14ac:dyDescent="0.3"/>
  <cols>
    <col min="2" max="2" width="2.88671875" customWidth="1"/>
    <col min="3" max="3" width="5.6640625" customWidth="1"/>
    <col min="7" max="7" width="2.88671875" customWidth="1"/>
    <col min="8" max="8" width="5.6640625" customWidth="1"/>
    <col min="12" max="12" width="2.88671875" customWidth="1"/>
    <col min="13" max="13" width="5.6640625" customWidth="1"/>
  </cols>
  <sheetData>
    <row r="1" spans="3:16" s="1" customFormat="1" ht="79.5" customHeight="1" x14ac:dyDescent="0.25">
      <c r="C1" s="9" t="s">
        <v>347</v>
      </c>
    </row>
    <row r="3" spans="3:16" s="49" customFormat="1" ht="15" x14ac:dyDescent="0.25">
      <c r="E3"/>
      <c r="F3"/>
      <c r="G3"/>
      <c r="H3"/>
      <c r="I3"/>
      <c r="J3"/>
      <c r="K3"/>
      <c r="L3"/>
      <c r="M3"/>
      <c r="N3"/>
      <c r="O3"/>
    </row>
    <row r="4" spans="3:16" ht="25.5" customHeight="1" x14ac:dyDescent="0.25">
      <c r="E4" s="42" t="s">
        <v>280</v>
      </c>
      <c r="F4" s="42" t="s">
        <v>326</v>
      </c>
      <c r="G4" s="90" t="s">
        <v>329</v>
      </c>
      <c r="H4" s="90"/>
      <c r="I4" s="42"/>
      <c r="J4" s="82" t="s">
        <v>280</v>
      </c>
      <c r="K4" s="82" t="s">
        <v>9</v>
      </c>
      <c r="L4" s="82"/>
      <c r="M4" s="82" t="s">
        <v>328</v>
      </c>
      <c r="N4" s="82" t="s">
        <v>327</v>
      </c>
      <c r="O4" s="82" t="s">
        <v>282</v>
      </c>
      <c r="P4" s="82" t="s">
        <v>345</v>
      </c>
    </row>
    <row r="5" spans="3:16" ht="23.25" customHeight="1" x14ac:dyDescent="0.25">
      <c r="C5" s="45" t="s">
        <v>325</v>
      </c>
      <c r="D5" s="45"/>
      <c r="E5" s="46">
        <f>Calc!$C$20</f>
        <v>100</v>
      </c>
      <c r="F5" s="46">
        <f>Calc!D20</f>
        <v>64</v>
      </c>
      <c r="G5" s="94">
        <f>Calc!E20</f>
        <v>38</v>
      </c>
      <c r="H5" s="94"/>
      <c r="I5" s="46"/>
      <c r="J5" s="47">
        <f>Calc!G20</f>
        <v>21</v>
      </c>
      <c r="K5" s="47" t="str">
        <f>Calc!L20</f>
        <v>$ 92k</v>
      </c>
      <c r="L5" s="47"/>
      <c r="M5" s="47">
        <f>Calc!I20</f>
        <v>380</v>
      </c>
      <c r="N5" s="47">
        <f>Calc!J20</f>
        <v>130</v>
      </c>
      <c r="O5" s="48">
        <f>Calc!K20</f>
        <v>0.34210526315789475</v>
      </c>
      <c r="P5" s="83" t="str">
        <f>Calc!N20</f>
        <v>«««¶¶</v>
      </c>
    </row>
    <row r="6" spans="3:16" ht="23.25" customHeight="1" x14ac:dyDescent="0.25">
      <c r="C6" s="79" t="s">
        <v>315</v>
      </c>
      <c r="D6" s="79"/>
      <c r="E6" s="80" t="str">
        <f>Calc!C21</f>
        <v/>
      </c>
      <c r="F6" s="80" t="str">
        <f>Calc!D21</f>
        <v/>
      </c>
      <c r="G6" s="95" t="str">
        <f>Calc!E21</f>
        <v/>
      </c>
      <c r="H6" s="95"/>
      <c r="I6" s="80"/>
      <c r="J6" s="80"/>
      <c r="K6" s="80"/>
      <c r="L6" s="80"/>
      <c r="M6" s="80"/>
      <c r="N6" s="80" t="str">
        <f>Calc!J21</f>
        <v/>
      </c>
      <c r="O6" s="80"/>
      <c r="P6" s="84" t="str">
        <f>Calc!N21</f>
        <v/>
      </c>
    </row>
    <row r="9" spans="3:16" ht="7.5" customHeight="1" x14ac:dyDescent="0.25"/>
    <row r="10" spans="3:16" ht="15" x14ac:dyDescent="0.25">
      <c r="C10" s="53" t="str">
        <f>Calc!C68</f>
        <v>1 course</v>
      </c>
      <c r="D10" s="54"/>
      <c r="E10" s="54"/>
      <c r="F10" s="59" t="str">
        <f>Calc!C73</f>
        <v>6 people</v>
      </c>
      <c r="G10" s="50"/>
      <c r="H10" s="53" t="str">
        <f>Calc!D68</f>
        <v>2 courses</v>
      </c>
      <c r="I10" s="54"/>
      <c r="J10" s="54"/>
      <c r="K10" s="59" t="str">
        <f>Calc!D73</f>
        <v>7 people</v>
      </c>
      <c r="L10" s="50"/>
      <c r="M10" s="53" t="str">
        <f>Calc!E68</f>
        <v>2 courses</v>
      </c>
      <c r="N10" s="54"/>
      <c r="O10" s="54"/>
      <c r="P10" s="59" t="str">
        <f>Calc!E73</f>
        <v>20 people</v>
      </c>
    </row>
    <row r="11" spans="3:16" ht="15" x14ac:dyDescent="0.25">
      <c r="C11" s="55" t="str">
        <f>Calc!C70</f>
        <v>$ 5k</v>
      </c>
      <c r="D11" s="51"/>
      <c r="E11" s="51"/>
      <c r="F11" s="56">
        <f>Calc!C74</f>
        <v>0.2</v>
      </c>
      <c r="G11" s="50"/>
      <c r="H11" s="55" t="str">
        <f>Calc!D70</f>
        <v>$ 6k</v>
      </c>
      <c r="I11" s="51"/>
      <c r="J11" s="51"/>
      <c r="K11" s="56">
        <f>Calc!D74</f>
        <v>0.2</v>
      </c>
      <c r="L11" s="50"/>
      <c r="M11" s="55" t="str">
        <f>Calc!E70</f>
        <v>$ 9k</v>
      </c>
      <c r="N11" s="51"/>
      <c r="O11" s="51"/>
      <c r="P11" s="56">
        <f>Calc!E74</f>
        <v>0.44444444444444442</v>
      </c>
    </row>
    <row r="12" spans="3:16" ht="7.5" customHeight="1" x14ac:dyDescent="0.25">
      <c r="C12" s="57"/>
      <c r="D12" s="52"/>
      <c r="E12" s="52"/>
      <c r="F12" s="58"/>
      <c r="H12" s="57"/>
      <c r="I12" s="52"/>
      <c r="J12" s="52"/>
      <c r="K12" s="58"/>
      <c r="M12" s="57"/>
      <c r="N12" s="52"/>
      <c r="O12" s="52"/>
      <c r="P12" s="58"/>
    </row>
    <row r="13" spans="3:16" ht="15" x14ac:dyDescent="0.25">
      <c r="C13" s="91">
        <f>Calc!C28</f>
        <v>42309</v>
      </c>
      <c r="D13" s="92"/>
      <c r="E13" s="92"/>
      <c r="F13" s="93"/>
      <c r="G13" s="36"/>
      <c r="H13" s="91">
        <f>Calc!D28</f>
        <v>42339</v>
      </c>
      <c r="I13" s="92"/>
      <c r="J13" s="92"/>
      <c r="K13" s="93"/>
      <c r="L13" s="36"/>
      <c r="M13" s="91">
        <f>Calc!E28</f>
        <v>42370</v>
      </c>
      <c r="N13" s="92"/>
      <c r="O13" s="92"/>
      <c r="P13" s="93"/>
    </row>
    <row r="14" spans="3:16" ht="7.5" customHeight="1" x14ac:dyDescent="0.25">
      <c r="C14" s="36"/>
      <c r="D14" s="36"/>
      <c r="E14" s="36"/>
      <c r="F14" s="36"/>
      <c r="G14" s="36"/>
      <c r="H14" s="36"/>
      <c r="I14" s="36"/>
      <c r="J14" s="36"/>
      <c r="K14" s="36"/>
      <c r="L14" s="36"/>
      <c r="M14" s="36"/>
      <c r="N14" s="36"/>
      <c r="O14" s="36"/>
      <c r="P14" s="36"/>
    </row>
    <row r="15" spans="3:16" ht="45" customHeight="1" x14ac:dyDescent="0.25">
      <c r="C15" s="38">
        <f>Calc!G48</f>
        <v>42317</v>
      </c>
      <c r="D15" s="88" t="str">
        <f>Calc!K48</f>
        <v>Advanced IT Techniques</v>
      </c>
      <c r="E15" s="88"/>
      <c r="F15" s="88"/>
      <c r="G15" s="37"/>
      <c r="H15" s="38">
        <f>Calc!H48</f>
        <v>42339</v>
      </c>
      <c r="I15" s="88" t="str">
        <f>Calc!L48</f>
        <v>Advanced IT Skills</v>
      </c>
      <c r="J15" s="88"/>
      <c r="K15" s="88"/>
      <c r="M15" s="38">
        <f>Calc!I48</f>
        <v>42373</v>
      </c>
      <c r="N15" s="88" t="str">
        <f>Calc!M48</f>
        <v>Advanced Business Methods</v>
      </c>
      <c r="O15" s="88"/>
      <c r="P15" s="88"/>
    </row>
    <row r="16" spans="3:16" ht="15" x14ac:dyDescent="0.25">
      <c r="C16" s="39">
        <f>Calc!G49</f>
        <v>1</v>
      </c>
      <c r="D16" s="89" t="str">
        <f>Calc!K49</f>
        <v>Nulla Eu Incorporated - $ 5k</v>
      </c>
      <c r="E16" s="89"/>
      <c r="F16" s="89"/>
      <c r="H16" s="39">
        <f>Calc!H49</f>
        <v>1.5</v>
      </c>
      <c r="I16" s="89" t="str">
        <f>Calc!L49</f>
        <v>Vivamus Industries - $ 3k</v>
      </c>
      <c r="J16" s="89"/>
      <c r="K16" s="89"/>
      <c r="M16" s="39">
        <f>Calc!I49</f>
        <v>1</v>
      </c>
      <c r="N16" s="89" t="str">
        <f>Calc!M49</f>
        <v>Morbi Tristique Industries - $ 3k</v>
      </c>
      <c r="O16" s="89"/>
      <c r="P16" s="89"/>
    </row>
    <row r="17" spans="3:16" ht="15" x14ac:dyDescent="0.25">
      <c r="C17" s="39" t="str">
        <f>Calc!G50</f>
        <v>day</v>
      </c>
      <c r="D17" s="87" t="str">
        <f>Calc!K50</f>
        <v>Att: 6 Fill:20%</v>
      </c>
      <c r="E17" s="87"/>
      <c r="F17" s="78" t="str">
        <f>Calc!S50</f>
        <v/>
      </c>
      <c r="H17" s="39" t="str">
        <f>Calc!H50</f>
        <v>days</v>
      </c>
      <c r="I17" s="87" t="str">
        <f>Calc!L50</f>
        <v>Att: 6 Fill:40%</v>
      </c>
      <c r="J17" s="87"/>
      <c r="K17" s="78" t="str">
        <f>Calc!T50</f>
        <v/>
      </c>
      <c r="M17" s="39" t="str">
        <f>Calc!I50</f>
        <v>day</v>
      </c>
      <c r="N17" s="87" t="str">
        <f>Calc!M50</f>
        <v>Att: 9 Fill:30%</v>
      </c>
      <c r="O17" s="87"/>
      <c r="P17" s="78" t="str">
        <f>Calc!U50</f>
        <v/>
      </c>
    </row>
    <row r="18" spans="3:16" ht="45" customHeight="1" x14ac:dyDescent="0.25">
      <c r="C18" s="38" t="str">
        <f>Calc!G51</f>
        <v/>
      </c>
      <c r="D18" s="88" t="str">
        <f>Calc!K51</f>
        <v/>
      </c>
      <c r="E18" s="88"/>
      <c r="F18" s="88"/>
      <c r="H18" s="38">
        <f>Calc!H51</f>
        <v>42352</v>
      </c>
      <c r="I18" s="88" t="str">
        <f>Calc!L51</f>
        <v>Advanced Business Techniques</v>
      </c>
      <c r="J18" s="88"/>
      <c r="K18" s="88"/>
      <c r="M18" s="38">
        <f>Calc!I51</f>
        <v>42384</v>
      </c>
      <c r="N18" s="88" t="str">
        <f>Calc!M51</f>
        <v>Advanced Advertising Skills</v>
      </c>
      <c r="O18" s="88"/>
      <c r="P18" s="88"/>
    </row>
    <row r="19" spans="3:16" ht="15" x14ac:dyDescent="0.25">
      <c r="C19" s="39" t="str">
        <f>Calc!G52</f>
        <v/>
      </c>
      <c r="D19" s="89" t="str">
        <f>Calc!K52</f>
        <v/>
      </c>
      <c r="E19" s="89"/>
      <c r="F19" s="89"/>
      <c r="H19" s="39">
        <f>Calc!H52</f>
        <v>1</v>
      </c>
      <c r="I19" s="89" t="str">
        <f>Calc!L52</f>
        <v>Eu Dolor Egestas Inc. - $ 3k</v>
      </c>
      <c r="J19" s="89"/>
      <c r="K19" s="89"/>
      <c r="M19" s="39">
        <f>Calc!I52</f>
        <v>1</v>
      </c>
      <c r="N19" s="89" t="str">
        <f>Calc!M52</f>
        <v>Interdum Company - $ 6k</v>
      </c>
      <c r="O19" s="89"/>
      <c r="P19" s="89"/>
    </row>
    <row r="20" spans="3:16" ht="15" x14ac:dyDescent="0.25">
      <c r="C20" s="39" t="str">
        <f>Calc!G53</f>
        <v/>
      </c>
      <c r="D20" s="87" t="str">
        <f>Calc!K53</f>
        <v/>
      </c>
      <c r="E20" s="87"/>
      <c r="F20" s="78" t="str">
        <f>Calc!S53</f>
        <v/>
      </c>
      <c r="H20" s="39" t="str">
        <f>Calc!H53</f>
        <v>day</v>
      </c>
      <c r="I20" s="87" t="str">
        <f>Calc!L53</f>
        <v>Att: 1 Fill:5%</v>
      </c>
      <c r="J20" s="87"/>
      <c r="K20" s="78" t="str">
        <f>Calc!T53</f>
        <v/>
      </c>
      <c r="M20" s="39" t="str">
        <f>Calc!I53</f>
        <v>day</v>
      </c>
      <c r="N20" s="87" t="str">
        <f>Calc!M53</f>
        <v>Att: 11 Fill:73%</v>
      </c>
      <c r="O20" s="87"/>
      <c r="P20" s="78" t="str">
        <f>Calc!U53</f>
        <v/>
      </c>
    </row>
    <row r="21" spans="3:16" ht="45" customHeight="1" x14ac:dyDescent="0.25">
      <c r="C21" s="38" t="str">
        <f>Calc!G54</f>
        <v/>
      </c>
      <c r="D21" s="88" t="str">
        <f>Calc!K54</f>
        <v/>
      </c>
      <c r="E21" s="88"/>
      <c r="F21" s="88"/>
      <c r="H21" s="38" t="str">
        <f>Calc!H54</f>
        <v/>
      </c>
      <c r="I21" s="88" t="str">
        <f>Calc!L54</f>
        <v/>
      </c>
      <c r="J21" s="88"/>
      <c r="K21" s="88"/>
      <c r="M21" s="38" t="str">
        <f>Calc!I54</f>
        <v/>
      </c>
      <c r="N21" s="88" t="str">
        <f>Calc!M54</f>
        <v/>
      </c>
      <c r="O21" s="88"/>
      <c r="P21" s="88"/>
    </row>
    <row r="22" spans="3:16" ht="15" x14ac:dyDescent="0.25">
      <c r="C22" s="39" t="str">
        <f>Calc!G55</f>
        <v/>
      </c>
      <c r="D22" s="89" t="str">
        <f>Calc!K55</f>
        <v/>
      </c>
      <c r="E22" s="89"/>
      <c r="F22" s="89"/>
      <c r="H22" s="39" t="str">
        <f>Calc!H55</f>
        <v/>
      </c>
      <c r="I22" s="89" t="str">
        <f>Calc!L55</f>
        <v/>
      </c>
      <c r="J22" s="89"/>
      <c r="K22" s="89"/>
      <c r="M22" s="39" t="str">
        <f>Calc!I55</f>
        <v/>
      </c>
      <c r="N22" s="89" t="str">
        <f>Calc!M55</f>
        <v/>
      </c>
      <c r="O22" s="89"/>
      <c r="P22" s="89"/>
    </row>
    <row r="23" spans="3:16" ht="15" x14ac:dyDescent="0.25">
      <c r="C23" s="39" t="str">
        <f>Calc!G56</f>
        <v/>
      </c>
      <c r="D23" s="87" t="str">
        <f>Calc!K56</f>
        <v/>
      </c>
      <c r="E23" s="87"/>
      <c r="F23" s="78" t="str">
        <f>Calc!S56</f>
        <v/>
      </c>
      <c r="H23" s="39" t="str">
        <f>Calc!H56</f>
        <v/>
      </c>
      <c r="I23" s="87" t="str">
        <f>Calc!L56</f>
        <v/>
      </c>
      <c r="J23" s="87"/>
      <c r="K23" s="78" t="str">
        <f>Calc!T56</f>
        <v/>
      </c>
      <c r="M23" s="39" t="str">
        <f>Calc!I56</f>
        <v/>
      </c>
      <c r="N23" s="87" t="str">
        <f>Calc!M56</f>
        <v/>
      </c>
      <c r="O23" s="87"/>
      <c r="P23" s="78" t="str">
        <f>Calc!U56</f>
        <v/>
      </c>
    </row>
    <row r="24" spans="3:16" ht="45" customHeight="1" x14ac:dyDescent="0.25">
      <c r="C24" s="38" t="str">
        <f>Calc!G57</f>
        <v/>
      </c>
      <c r="D24" s="88" t="str">
        <f>Calc!K57</f>
        <v/>
      </c>
      <c r="E24" s="88"/>
      <c r="F24" s="88"/>
      <c r="H24" s="38" t="str">
        <f>Calc!H57</f>
        <v/>
      </c>
      <c r="I24" s="88" t="str">
        <f>Calc!L57</f>
        <v/>
      </c>
      <c r="J24" s="88"/>
      <c r="K24" s="88"/>
      <c r="M24" s="38" t="str">
        <f>Calc!I57</f>
        <v/>
      </c>
      <c r="N24" s="88" t="str">
        <f>Calc!M57</f>
        <v/>
      </c>
      <c r="O24" s="88"/>
      <c r="P24" s="88"/>
    </row>
    <row r="25" spans="3:16" ht="15" x14ac:dyDescent="0.25">
      <c r="C25" s="39" t="str">
        <f>Calc!G58</f>
        <v/>
      </c>
      <c r="D25" s="89" t="str">
        <f>Calc!K58</f>
        <v/>
      </c>
      <c r="E25" s="89"/>
      <c r="F25" s="89"/>
      <c r="H25" s="39" t="str">
        <f>Calc!H58</f>
        <v/>
      </c>
      <c r="I25" s="89" t="str">
        <f>Calc!L58</f>
        <v/>
      </c>
      <c r="J25" s="89"/>
      <c r="K25" s="89"/>
      <c r="M25" s="39" t="str">
        <f>Calc!I58</f>
        <v/>
      </c>
      <c r="N25" s="89" t="str">
        <f>Calc!M58</f>
        <v/>
      </c>
      <c r="O25" s="89"/>
      <c r="P25" s="89"/>
    </row>
    <row r="26" spans="3:16" ht="15" x14ac:dyDescent="0.25">
      <c r="C26" s="39" t="str">
        <f>Calc!G59</f>
        <v/>
      </c>
      <c r="D26" s="87" t="str">
        <f>Calc!K59</f>
        <v/>
      </c>
      <c r="E26" s="87"/>
      <c r="F26" s="78" t="str">
        <f>Calc!S59</f>
        <v/>
      </c>
      <c r="H26" s="39" t="str">
        <f>Calc!H59</f>
        <v/>
      </c>
      <c r="I26" s="87" t="str">
        <f>Calc!L59</f>
        <v/>
      </c>
      <c r="J26" s="87"/>
      <c r="K26" s="78" t="str">
        <f>Calc!T59</f>
        <v/>
      </c>
      <c r="M26" s="39" t="str">
        <f>Calc!I59</f>
        <v/>
      </c>
      <c r="N26" s="87" t="str">
        <f>Calc!M59</f>
        <v/>
      </c>
      <c r="O26" s="87"/>
      <c r="P26" s="78" t="str">
        <f>Calc!U59</f>
        <v/>
      </c>
    </row>
    <row r="27" spans="3:16" ht="45" customHeight="1" x14ac:dyDescent="0.3">
      <c r="C27" s="38" t="str">
        <f>Calc!G60</f>
        <v/>
      </c>
      <c r="D27" s="88" t="str">
        <f>Calc!K60</f>
        <v/>
      </c>
      <c r="E27" s="88"/>
      <c r="F27" s="88"/>
      <c r="H27" s="38" t="str">
        <f>Calc!H60</f>
        <v/>
      </c>
      <c r="I27" s="88" t="str">
        <f>Calc!L60</f>
        <v/>
      </c>
      <c r="J27" s="88"/>
      <c r="K27" s="88"/>
      <c r="M27" s="38" t="str">
        <f>Calc!I60</f>
        <v/>
      </c>
      <c r="N27" s="88" t="str">
        <f>Calc!M60</f>
        <v/>
      </c>
      <c r="O27" s="88"/>
      <c r="P27" s="88"/>
    </row>
    <row r="28" spans="3:16" x14ac:dyDescent="0.3">
      <c r="C28" s="39" t="str">
        <f>Calc!G61</f>
        <v/>
      </c>
      <c r="D28" s="89" t="str">
        <f>Calc!K61</f>
        <v/>
      </c>
      <c r="E28" s="89"/>
      <c r="F28" s="89"/>
      <c r="H28" s="39" t="str">
        <f>Calc!H61</f>
        <v/>
      </c>
      <c r="I28" s="89" t="str">
        <f>Calc!L61</f>
        <v/>
      </c>
      <c r="J28" s="89"/>
      <c r="K28" s="89"/>
      <c r="M28" s="39" t="str">
        <f>Calc!I61</f>
        <v/>
      </c>
      <c r="N28" s="89" t="str">
        <f>Calc!M61</f>
        <v/>
      </c>
      <c r="O28" s="89"/>
      <c r="P28" s="89"/>
    </row>
    <row r="29" spans="3:16" x14ac:dyDescent="0.3">
      <c r="C29" s="39" t="str">
        <f>Calc!G62</f>
        <v/>
      </c>
      <c r="D29" s="87" t="str">
        <f>Calc!K62</f>
        <v/>
      </c>
      <c r="E29" s="87"/>
      <c r="F29" s="78" t="str">
        <f>Calc!S62</f>
        <v/>
      </c>
      <c r="H29" s="39" t="str">
        <f>Calc!H62</f>
        <v/>
      </c>
      <c r="I29" s="87" t="str">
        <f>Calc!L62</f>
        <v/>
      </c>
      <c r="J29" s="87"/>
      <c r="K29" s="78" t="str">
        <f>Calc!T62</f>
        <v/>
      </c>
      <c r="M29" s="39" t="str">
        <f>Calc!I62</f>
        <v/>
      </c>
      <c r="N29" s="87" t="str">
        <f>Calc!M62</f>
        <v/>
      </c>
      <c r="O29" s="87"/>
      <c r="P29" s="78" t="str">
        <f>Calc!U62</f>
        <v/>
      </c>
    </row>
    <row r="30" spans="3:16" ht="7.5" customHeight="1" x14ac:dyDescent="0.3"/>
    <row r="31" spans="3:16" x14ac:dyDescent="0.3">
      <c r="C31" s="62"/>
      <c r="D31" s="63"/>
      <c r="E31" s="63"/>
      <c r="F31" s="63"/>
      <c r="G31" s="63"/>
      <c r="H31" s="63"/>
      <c r="I31" s="63"/>
      <c r="J31" s="63"/>
      <c r="K31" s="63"/>
      <c r="L31" s="63"/>
      <c r="M31" s="63"/>
      <c r="N31" s="63"/>
      <c r="O31" s="63"/>
      <c r="P31" s="64"/>
    </row>
  </sheetData>
  <mergeCells count="51">
    <mergeCell ref="I27:K27"/>
    <mergeCell ref="I28:K28"/>
    <mergeCell ref="N28:P28"/>
    <mergeCell ref="G5:H5"/>
    <mergeCell ref="G6:H6"/>
    <mergeCell ref="N20:O20"/>
    <mergeCell ref="N23:O23"/>
    <mergeCell ref="N26:O26"/>
    <mergeCell ref="G4:H4"/>
    <mergeCell ref="N22:P22"/>
    <mergeCell ref="N24:P24"/>
    <mergeCell ref="D21:F21"/>
    <mergeCell ref="D22:F22"/>
    <mergeCell ref="D24:F24"/>
    <mergeCell ref="C13:F13"/>
    <mergeCell ref="H13:K13"/>
    <mergeCell ref="M13:P13"/>
    <mergeCell ref="D15:F15"/>
    <mergeCell ref="D16:F16"/>
    <mergeCell ref="N15:P15"/>
    <mergeCell ref="N16:P16"/>
    <mergeCell ref="I15:K15"/>
    <mergeCell ref="I16:K16"/>
    <mergeCell ref="N17:O17"/>
    <mergeCell ref="D25:F25"/>
    <mergeCell ref="I24:K24"/>
    <mergeCell ref="I21:K21"/>
    <mergeCell ref="I22:K22"/>
    <mergeCell ref="I25:K25"/>
    <mergeCell ref="D29:E29"/>
    <mergeCell ref="I17:J17"/>
    <mergeCell ref="I20:J20"/>
    <mergeCell ref="I23:J23"/>
    <mergeCell ref="I26:J26"/>
    <mergeCell ref="I29:J29"/>
    <mergeCell ref="D18:F18"/>
    <mergeCell ref="D19:F19"/>
    <mergeCell ref="D27:F27"/>
    <mergeCell ref="D17:E17"/>
    <mergeCell ref="D20:E20"/>
    <mergeCell ref="D23:E23"/>
    <mergeCell ref="D26:E26"/>
    <mergeCell ref="D28:F28"/>
    <mergeCell ref="I18:K18"/>
    <mergeCell ref="I19:K19"/>
    <mergeCell ref="N29:O29"/>
    <mergeCell ref="N18:P18"/>
    <mergeCell ref="N19:P19"/>
    <mergeCell ref="N21:P21"/>
    <mergeCell ref="N25:P25"/>
    <mergeCell ref="N27:P27"/>
  </mergeCells>
  <conditionalFormatting sqref="C15">
    <cfRule type="notContainsBlanks" dxfId="15" priority="40">
      <formula>LEN(TRIM(C15))&gt;0</formula>
    </cfRule>
  </conditionalFormatting>
  <conditionalFormatting sqref="C16:C17">
    <cfRule type="notContainsBlanks" dxfId="14" priority="39">
      <formula>LEN(TRIM(C16))&gt;0</formula>
    </cfRule>
  </conditionalFormatting>
  <conditionalFormatting sqref="C18 C21 C24 C27">
    <cfRule type="notContainsBlanks" dxfId="13" priority="30">
      <formula>LEN(TRIM(C18))&gt;0</formula>
    </cfRule>
  </conditionalFormatting>
  <conditionalFormatting sqref="C19:C20 C22:C23 C25:C26 C28:C29">
    <cfRule type="notContainsBlanks" dxfId="12" priority="29">
      <formula>LEN(TRIM(C19))&gt;0</formula>
    </cfRule>
  </conditionalFormatting>
  <conditionalFormatting sqref="C15:F29">
    <cfRule type="expression" dxfId="11" priority="23">
      <formula>LEFT($C15,3)="day"</formula>
    </cfRule>
  </conditionalFormatting>
  <conditionalFormatting sqref="H15">
    <cfRule type="notContainsBlanks" dxfId="10" priority="22">
      <formula>LEN(TRIM(H15))&gt;0</formula>
    </cfRule>
  </conditionalFormatting>
  <conditionalFormatting sqref="H16:H17">
    <cfRule type="notContainsBlanks" dxfId="9" priority="21">
      <formula>LEN(TRIM(H16))&gt;0</formula>
    </cfRule>
  </conditionalFormatting>
  <conditionalFormatting sqref="H18 H21 H24 H27">
    <cfRule type="notContainsBlanks" dxfId="8" priority="20">
      <formula>LEN(TRIM(H18))&gt;0</formula>
    </cfRule>
  </conditionalFormatting>
  <conditionalFormatting sqref="H19:H20 H22:H23 H25:H26 H28:H29">
    <cfRule type="notContainsBlanks" dxfId="7" priority="19">
      <formula>LEN(TRIM(H19))&gt;0</formula>
    </cfRule>
  </conditionalFormatting>
  <conditionalFormatting sqref="M15">
    <cfRule type="notContainsBlanks" dxfId="6" priority="16">
      <formula>LEN(TRIM(M15))&gt;0</formula>
    </cfRule>
  </conditionalFormatting>
  <conditionalFormatting sqref="M16:M17">
    <cfRule type="notContainsBlanks" dxfId="5" priority="15">
      <formula>LEN(TRIM(M16))&gt;0</formula>
    </cfRule>
  </conditionalFormatting>
  <conditionalFormatting sqref="M18 M21 M24 M27">
    <cfRule type="notContainsBlanks" dxfId="4" priority="14">
      <formula>LEN(TRIM(M18))&gt;0</formula>
    </cfRule>
  </conditionalFormatting>
  <conditionalFormatting sqref="M19:M20 M22:M23 M25:M26 M28:M29">
    <cfRule type="notContainsBlanks" dxfId="3" priority="13">
      <formula>LEN(TRIM(M19))&gt;0</formula>
    </cfRule>
  </conditionalFormatting>
  <conditionalFormatting sqref="M15:P29">
    <cfRule type="expression" dxfId="2" priority="12">
      <formula>LEFT($M15,3)="day"</formula>
    </cfRule>
  </conditionalFormatting>
  <conditionalFormatting sqref="H15:K29">
    <cfRule type="expression" dxfId="1" priority="10">
      <formula>LEFT($H15,3)="day"</formula>
    </cfRule>
  </conditionalFormatting>
  <conditionalFormatting sqref="F17 F20 F23 F26 F29 K17 K20 K23 K26 K29 P17 P20 P23 P26 P29">
    <cfRule type="expression" dxfId="0" priority="1">
      <formula>filters.applied</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moveWithCells="1">
                  <from>
                    <xdr:col>2</xdr:col>
                    <xdr:colOff>0</xdr:colOff>
                    <xdr:row>7</xdr:row>
                    <xdr:rowOff>0</xdr:rowOff>
                  </from>
                  <to>
                    <xdr:col>16</xdr:col>
                    <xdr:colOff>0</xdr:colOff>
                    <xdr:row>8</xdr:row>
                    <xdr:rowOff>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F4"/>
  <sheetViews>
    <sheetView showGridLines="0" workbookViewId="0">
      <selection activeCell="A4" sqref="A4"/>
    </sheetView>
  </sheetViews>
  <sheetFormatPr defaultRowHeight="14.4" x14ac:dyDescent="0.3"/>
  <cols>
    <col min="1" max="1" width="16.33203125" bestFit="1" customWidth="1"/>
    <col min="2" max="2" width="3.44140625" bestFit="1" customWidth="1"/>
    <col min="3" max="3" width="2.5546875" bestFit="1" customWidth="1"/>
    <col min="4" max="4" width="10.109375" bestFit="1" customWidth="1"/>
    <col min="5" max="5" width="10.88671875" bestFit="1" customWidth="1"/>
    <col min="6" max="6" width="5.5546875" bestFit="1" customWidth="1"/>
  </cols>
  <sheetData>
    <row r="3" spans="1:6" x14ac:dyDescent="0.25">
      <c r="A3" s="22" t="s">
        <v>267</v>
      </c>
    </row>
    <row r="4" spans="1:6" x14ac:dyDescent="0.25">
      <c r="A4" t="s">
        <v>244</v>
      </c>
      <c r="B4" t="s">
        <v>246</v>
      </c>
      <c r="C4" t="s">
        <v>243</v>
      </c>
      <c r="D4" t="s">
        <v>242</v>
      </c>
      <c r="E4" t="s">
        <v>241</v>
      </c>
      <c r="F4"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AO74"/>
  <sheetViews>
    <sheetView showGridLines="0" workbookViewId="0">
      <selection activeCell="G32" sqref="G32"/>
    </sheetView>
  </sheetViews>
  <sheetFormatPr defaultRowHeight="14.4" x14ac:dyDescent="0.3"/>
  <cols>
    <col min="1" max="1" width="3" customWidth="1"/>
    <col min="2" max="2" width="14.5546875" customWidth="1"/>
    <col min="3" max="3" width="9.6640625" bestFit="1" customWidth="1"/>
    <col min="4" max="4" width="11.6640625" bestFit="1" customWidth="1"/>
    <col min="5" max="5" width="12.5546875" customWidth="1"/>
    <col min="7" max="7" width="9.6640625" bestFit="1" customWidth="1"/>
    <col min="19" max="19" width="15.33203125" bestFit="1" customWidth="1"/>
    <col min="23" max="25" width="11.5546875" customWidth="1"/>
  </cols>
  <sheetData>
    <row r="1" spans="2:12" s="1" customFormat="1" ht="57.75" customHeight="1" x14ac:dyDescent="0.25">
      <c r="B1" s="9" t="s">
        <v>266</v>
      </c>
      <c r="H1" s="86" t="s">
        <v>350</v>
      </c>
    </row>
    <row r="4" spans="2:12" ht="15" x14ac:dyDescent="0.25">
      <c r="B4" s="4" t="s">
        <v>268</v>
      </c>
      <c r="C4" s="5"/>
      <c r="D4" s="5"/>
      <c r="E4" s="5"/>
      <c r="F4" s="5"/>
      <c r="G4" s="5"/>
      <c r="H4" s="5"/>
      <c r="I4" s="5"/>
      <c r="J4" s="5"/>
      <c r="K4" s="6"/>
    </row>
    <row r="5" spans="2:12" ht="15" x14ac:dyDescent="0.25">
      <c r="B5" s="20" t="str">
        <f>'pvt Depts'!A$4</f>
        <v>Finance</v>
      </c>
      <c r="C5" s="20" t="str">
        <f>'pvt Depts'!B$4</f>
        <v>HR</v>
      </c>
      <c r="D5" s="20" t="str">
        <f>'pvt Depts'!C$4</f>
        <v>IT</v>
      </c>
      <c r="E5" s="20" t="str">
        <f>'pvt Depts'!D$4</f>
        <v>Marketing</v>
      </c>
      <c r="F5" s="20" t="str">
        <f>'pvt Depts'!E$4</f>
        <v>Operations</v>
      </c>
      <c r="G5" s="20" t="str">
        <f>'pvt Depts'!F$4</f>
        <v>Sales</v>
      </c>
      <c r="H5" s="20">
        <f>'pvt Depts'!G$4</f>
        <v>0</v>
      </c>
      <c r="I5" s="20">
        <f>'pvt Depts'!H$4</f>
        <v>0</v>
      </c>
      <c r="J5" s="20">
        <f>'pvt Depts'!I$4</f>
        <v>0</v>
      </c>
      <c r="K5" s="20">
        <f>'pvt Depts'!J$4</f>
        <v>0</v>
      </c>
    </row>
    <row r="6" spans="2:12" ht="15" x14ac:dyDescent="0.25">
      <c r="B6" s="20" t="s">
        <v>320</v>
      </c>
      <c r="C6" s="20" t="b">
        <f>COUNTIFS(selected.depts,"&lt;&gt;0")&lt;&gt;SUMPRODUCT(1/COUNTIFS(people[Department],people[Department]))</f>
        <v>0</v>
      </c>
    </row>
    <row r="8" spans="2:12" ht="15" x14ac:dyDescent="0.25">
      <c r="F8" s="21" t="s">
        <v>335</v>
      </c>
      <c r="G8" s="21"/>
    </row>
    <row r="9" spans="2:12" ht="15" x14ac:dyDescent="0.25">
      <c r="B9" s="21" t="s">
        <v>270</v>
      </c>
      <c r="C9" s="20" t="s">
        <v>247</v>
      </c>
      <c r="D9" s="20" t="s">
        <v>269</v>
      </c>
      <c r="F9" s="60" t="s">
        <v>336</v>
      </c>
      <c r="G9" s="60" t="str">
        <f>cur.symbol</f>
        <v>$</v>
      </c>
    </row>
    <row r="10" spans="2:12" ht="15" x14ac:dyDescent="0.25">
      <c r="B10" s="20" t="s">
        <v>271</v>
      </c>
      <c r="C10" s="20">
        <f>MIN(courses[Date])</f>
        <v>42009</v>
      </c>
      <c r="D10" s="61">
        <f>DATE(YEAR(C10),MONTH(C10),1)</f>
        <v>42005</v>
      </c>
      <c r="E10" s="23"/>
      <c r="F10" s="32" t="s">
        <v>337</v>
      </c>
      <c r="G10" s="32" t="str">
        <f>cur.type</f>
        <v>Thousands</v>
      </c>
      <c r="H10" s="23"/>
      <c r="I10" s="23"/>
      <c r="J10" s="23"/>
      <c r="K10" s="23"/>
      <c r="L10" s="23"/>
    </row>
    <row r="11" spans="2:12" ht="15" x14ac:dyDescent="0.25">
      <c r="B11" s="20" t="s">
        <v>272</v>
      </c>
      <c r="C11" s="20">
        <f>MAX(courses[Date])</f>
        <v>42384</v>
      </c>
      <c r="D11" s="61">
        <f>DATE(YEAR(C11),MONTH(C11),1)</f>
        <v>42370</v>
      </c>
      <c r="E11" s="23"/>
      <c r="F11" s="32" t="s">
        <v>338</v>
      </c>
      <c r="G11" s="43">
        <f>IF(cur.type="Actual",1,IF(cur.type="Thousands",1000,1000000))</f>
        <v>1000</v>
      </c>
      <c r="H11" s="23"/>
      <c r="I11" s="23"/>
      <c r="J11" s="23"/>
      <c r="K11" s="23"/>
      <c r="L11" s="23"/>
    </row>
    <row r="12" spans="2:12" ht="15" x14ac:dyDescent="0.25">
      <c r="B12" s="20" t="s">
        <v>273</v>
      </c>
      <c r="C12" s="20"/>
      <c r="D12" s="20">
        <f>(YEAR(D11)-YEAR(D10))*12 + (MONTH(D11)-MONTH(D10)) + 1</f>
        <v>13</v>
      </c>
      <c r="F12" s="20" t="s">
        <v>339</v>
      </c>
      <c r="G12" s="20" t="str">
        <f>""""&amp;cur.symbol&amp;" """&amp;IF(cur.type="Actual","#",IF(cur.type="Thousands","#,""k""","#,,""m"""))</f>
        <v>"$ "#,"k"</v>
      </c>
    </row>
    <row r="14" spans="2:12" ht="15" x14ac:dyDescent="0.25">
      <c r="B14" s="21" t="s">
        <v>274</v>
      </c>
      <c r="D14" s="43">
        <v>12</v>
      </c>
    </row>
    <row r="16" spans="2:12" ht="15" x14ac:dyDescent="0.25">
      <c r="B16" s="4" t="s">
        <v>284</v>
      </c>
      <c r="C16" s="5"/>
      <c r="D16" s="5"/>
      <c r="E16" s="5"/>
      <c r="F16" s="5"/>
      <c r="G16" s="5"/>
      <c r="H16" s="5"/>
      <c r="I16" s="5"/>
      <c r="J16" s="5"/>
      <c r="K16" s="5"/>
      <c r="L16" s="6"/>
    </row>
    <row r="18" spans="2:41" ht="15" x14ac:dyDescent="0.25">
      <c r="C18" s="21" t="s">
        <v>286</v>
      </c>
      <c r="D18" s="20"/>
      <c r="E18" s="20"/>
      <c r="F18" s="20"/>
      <c r="G18" s="21" t="s">
        <v>285</v>
      </c>
      <c r="H18" s="20"/>
      <c r="I18" s="20"/>
      <c r="J18" s="20"/>
      <c r="K18" s="20"/>
      <c r="L18" s="20"/>
    </row>
    <row r="19" spans="2:41" ht="15" x14ac:dyDescent="0.25">
      <c r="C19" s="72" t="s">
        <v>288</v>
      </c>
      <c r="D19" s="72" t="s">
        <v>289</v>
      </c>
      <c r="E19" s="72" t="s">
        <v>311</v>
      </c>
      <c r="F19" s="72"/>
      <c r="G19" s="72" t="s">
        <v>280</v>
      </c>
      <c r="H19" s="72" t="s">
        <v>9</v>
      </c>
      <c r="I19" s="72" t="s">
        <v>264</v>
      </c>
      <c r="J19" s="72" t="s">
        <v>287</v>
      </c>
      <c r="K19" s="72" t="s">
        <v>282</v>
      </c>
      <c r="L19" s="71" t="s">
        <v>334</v>
      </c>
      <c r="M19" s="81" t="s">
        <v>345</v>
      </c>
      <c r="N19" s="81" t="s">
        <v>346</v>
      </c>
    </row>
    <row r="20" spans="2:41" ht="15" x14ac:dyDescent="0.25">
      <c r="B20" s="21" t="s">
        <v>314</v>
      </c>
      <c r="C20" s="20">
        <f>COUNTA(people[Name])</f>
        <v>100</v>
      </c>
      <c r="D20" s="20">
        <f t="array" ref="D20">SUM(--(COUNTIFS(tracker[Person Name],people[Name],tracker[i],3)&gt;0))</f>
        <v>64</v>
      </c>
      <c r="E20" s="20">
        <f t="array" ref="E20">SUM(--(COUNTIFS(tracker[Person Name],people[Name],tracker[i],3)&gt;1))</f>
        <v>38</v>
      </c>
      <c r="F20" s="20"/>
      <c r="G20" s="20">
        <f>COUNTA(courses[Program name])</f>
        <v>21</v>
      </c>
      <c r="H20" s="20">
        <f>SUM(courses[Cost])</f>
        <v>92000</v>
      </c>
      <c r="I20" s="20">
        <f>SUM(courses[Capacity])</f>
        <v>380</v>
      </c>
      <c r="J20" s="20">
        <f>COUNTIFS(tracker[i],3)</f>
        <v>130</v>
      </c>
      <c r="K20" s="31">
        <f>J20/I20</f>
        <v>0.34210526315789475</v>
      </c>
      <c r="L20" s="62" t="str">
        <f>TEXT(H20,$G$12)</f>
        <v>$ 92k</v>
      </c>
      <c r="M20" s="20">
        <f t="array" ref="M20">SUMPRODUCT(IFERROR((tracker[i]=3)*LEFT(tracker[Feedback Rating],1),0))/COUNTIFS(tracker[i],3,tracker[Feedback Rating],"&lt;&gt;")</f>
        <v>3.0824742268041239</v>
      </c>
      <c r="N20" s="77" t="str">
        <f>REPT($S$45,ROUND(M20,0))&amp;REPT($T$45,(5-ROUND(M20,0))*(M20&gt;0))</f>
        <v>«««¶¶</v>
      </c>
    </row>
    <row r="21" spans="2:41" ht="15" x14ac:dyDescent="0.25">
      <c r="B21" s="21" t="s">
        <v>315</v>
      </c>
      <c r="C21" s="20" t="str">
        <f>IF(filters.applied,COUNTIFS(people[Filter?],1),"")</f>
        <v/>
      </c>
      <c r="D21" s="20" t="str">
        <f t="array" ref="D21">IF(filters.applied,SUM(--(COUNTIFS(tracker[Person Name],people[Name],tracker[i],3,tracker[Filtered?],1)&gt;0)),"")</f>
        <v/>
      </c>
      <c r="E21" s="20" t="str">
        <f t="array" ref="E21">IF(filters.applied,SUM(--(COUNTIFS(tracker[Person Name],people[Name],tracker[i],3,tracker[Filtered?],1)&gt;1)),"")</f>
        <v/>
      </c>
      <c r="F21" s="20"/>
      <c r="G21" s="20"/>
      <c r="H21" s="20"/>
      <c r="I21" s="20"/>
      <c r="J21" s="20" t="str">
        <f>IF(filters.applied,COUNTIFS(tracker[i],3,tracker[Filtered?],1),"")</f>
        <v/>
      </c>
      <c r="K21" s="31"/>
      <c r="M21" s="20">
        <f t="array" ref="M21">IF(filters.applied,SUMPRODUCT(tracker[Filtered?],IFERROR((tracker[i]=3)*LEFT(tracker[Feedback Rating],1),0))/COUNTIFS(tracker[i],3,tracker[Filtered?],1,tracker[Feedback Rating],"&lt;&gt;"),0)</f>
        <v>0</v>
      </c>
      <c r="N21" s="77" t="str">
        <f>REPT($S$45,ROUND(M21,0))&amp;REPT($T$45,(5-ROUND(M21,0))*(M21&gt;0))</f>
        <v/>
      </c>
    </row>
    <row r="25" spans="2:41" ht="15" x14ac:dyDescent="0.25">
      <c r="B25" s="65" t="s">
        <v>275</v>
      </c>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7"/>
    </row>
    <row r="27" spans="2:41" ht="15" x14ac:dyDescent="0.25">
      <c r="C27" s="26" t="s">
        <v>276</v>
      </c>
      <c r="D27" s="26" t="s">
        <v>277</v>
      </c>
      <c r="E27" s="26" t="s">
        <v>278</v>
      </c>
    </row>
    <row r="28" spans="2:41" ht="15" x14ac:dyDescent="0.25">
      <c r="B28" s="20" t="s">
        <v>279</v>
      </c>
      <c r="C28" s="25">
        <f>EDATE(D28,-1)</f>
        <v>42309</v>
      </c>
      <c r="D28" s="25">
        <f>EDATE($D$10,$D$14-1)</f>
        <v>42339</v>
      </c>
      <c r="E28" s="25">
        <f>EDATE(D28,1)</f>
        <v>42370</v>
      </c>
    </row>
    <row r="29" spans="2:41" ht="15" x14ac:dyDescent="0.25">
      <c r="B29" s="20" t="s">
        <v>272</v>
      </c>
      <c r="C29" s="25">
        <f>EOMONTH(C28,0)</f>
        <v>42338</v>
      </c>
      <c r="D29" s="25">
        <f t="shared" ref="D29:E29" si="0">EOMONTH(D28,0)</f>
        <v>42369</v>
      </c>
      <c r="E29" s="25">
        <f t="shared" si="0"/>
        <v>42400</v>
      </c>
    </row>
    <row r="30" spans="2:41" ht="15" x14ac:dyDescent="0.25">
      <c r="B30" s="20" t="s">
        <v>281</v>
      </c>
      <c r="C30" s="25" t="str">
        <f>TEXT(C28,"MMYY")</f>
        <v>1115</v>
      </c>
      <c r="D30" s="25" t="str">
        <f t="shared" ref="D30:E30" si="1">TEXT(D28,"MMYY")</f>
        <v>1215</v>
      </c>
      <c r="E30" s="25" t="str">
        <f t="shared" si="1"/>
        <v>0116</v>
      </c>
    </row>
    <row r="31" spans="2:41" ht="15.75" thickBot="1" x14ac:dyDescent="0.3">
      <c r="B31" s="28" t="s">
        <v>280</v>
      </c>
      <c r="C31" s="29">
        <f>COUNTIFS(courses[Date],"&gt;="&amp;C28,courses[Date],"&lt;="&amp;C29)</f>
        <v>1</v>
      </c>
      <c r="D31" s="29">
        <f>COUNTIFS(courses[Date],"&gt;="&amp;D28,courses[Date],"&lt;="&amp;D29)</f>
        <v>2</v>
      </c>
      <c r="E31" s="29">
        <f>COUNTIFS(courses[Date],"&gt;="&amp;E28,courses[Date],"&lt;="&amp;E29)</f>
        <v>2</v>
      </c>
      <c r="G31" s="4" t="s">
        <v>4</v>
      </c>
      <c r="H31" s="5"/>
      <c r="I31" s="6"/>
      <c r="K31" s="4" t="s">
        <v>264</v>
      </c>
      <c r="L31" s="5"/>
      <c r="M31" s="6"/>
      <c r="O31" s="4" t="s">
        <v>283</v>
      </c>
      <c r="P31" s="5"/>
      <c r="Q31" s="6"/>
      <c r="S31" s="4" t="s">
        <v>282</v>
      </c>
      <c r="T31" s="5"/>
      <c r="U31" s="6"/>
      <c r="W31" s="4" t="s">
        <v>247</v>
      </c>
      <c r="X31" s="5"/>
      <c r="Y31" s="6"/>
      <c r="AA31" s="4" t="s">
        <v>8</v>
      </c>
      <c r="AB31" s="5"/>
      <c r="AC31" s="6"/>
      <c r="AE31" s="4" t="s">
        <v>9</v>
      </c>
      <c r="AF31" s="5"/>
      <c r="AG31" s="6"/>
      <c r="AI31" s="4" t="s">
        <v>319</v>
      </c>
      <c r="AJ31" s="5"/>
      <c r="AK31" s="6"/>
      <c r="AM31" s="85" t="s">
        <v>348</v>
      </c>
      <c r="AN31" s="85"/>
      <c r="AO31" s="85"/>
    </row>
    <row r="32" spans="2:41" ht="15" x14ac:dyDescent="0.25">
      <c r="B32" s="30">
        <v>1</v>
      </c>
      <c r="C32" s="27">
        <f t="array" ref="C32">SMALL(IF(TEXT(courses[Date],"MMYY")=C$30, ROW(courses[ID])),$B32)-ROW(courses[#Headers])</f>
        <v>17</v>
      </c>
      <c r="D32" s="27">
        <f t="array" ref="D32">SMALL(IF(TEXT(courses[Date],"MMYY")=D$30, ROW(courses[ID])),$B32)-ROW(courses[#Headers])</f>
        <v>18</v>
      </c>
      <c r="E32" s="27">
        <f t="array" ref="E32">SMALL(IF(TEXT(courses[Date],"MMYY")=E$30, ROW(courses[ID])),$B32)-ROW(courses[#Headers])</f>
        <v>20</v>
      </c>
      <c r="G32" s="20" t="str">
        <f>IFERROR(INDEX(courses[Program name],C32),"")</f>
        <v>Advanced IT Techniques</v>
      </c>
      <c r="H32" s="20" t="str">
        <f>IFERROR(INDEX(courses[Program name],D32),"")</f>
        <v>Advanced IT Skills</v>
      </c>
      <c r="I32" s="20" t="str">
        <f>IFERROR(INDEX(courses[Program name],E32),"")</f>
        <v>Advanced Business Methods</v>
      </c>
      <c r="K32" s="20">
        <f>IFERROR(INDEX(courses[Capacity],C32),0)</f>
        <v>30</v>
      </c>
      <c r="L32" s="20">
        <f>IFERROR(INDEX(courses[Capacity],D32),0)</f>
        <v>15</v>
      </c>
      <c r="M32" s="20">
        <f>IFERROR(INDEX(courses[Capacity],E32),0)</f>
        <v>30</v>
      </c>
      <c r="O32" s="20">
        <f>COUNTIFS(tracker[i],3,tracker[Program Name],G32)</f>
        <v>6</v>
      </c>
      <c r="P32" s="20">
        <f>COUNTIFS(tracker[i],3,tracker[Program Name],H32)</f>
        <v>6</v>
      </c>
      <c r="Q32" s="20">
        <f>COUNTIFS(tracker[i],3,tracker[Program Name],I32)</f>
        <v>9</v>
      </c>
      <c r="S32" s="31">
        <f>IFERROR(O32/K32,"")</f>
        <v>0.2</v>
      </c>
      <c r="T32" s="31">
        <f t="shared" ref="T32:U41" si="2">IFERROR(P32/L32,"")</f>
        <v>0.4</v>
      </c>
      <c r="U32" s="31">
        <f t="shared" si="2"/>
        <v>0.3</v>
      </c>
      <c r="W32" s="32">
        <f>IFERROR(INDEX(courses[Date],C32),"")</f>
        <v>42317</v>
      </c>
      <c r="X32" s="32">
        <f>IFERROR(INDEX(courses[Date],D32),"")</f>
        <v>42339</v>
      </c>
      <c r="Y32" s="32">
        <f>IFERROR(INDEX(courses[Date],E32),"")</f>
        <v>42373</v>
      </c>
      <c r="AA32" s="33">
        <f>IFERROR(INDEX(courses[Duration],C32),"")</f>
        <v>1</v>
      </c>
      <c r="AB32" s="33">
        <f>IFERROR(INDEX(courses[Duration],D32),"")</f>
        <v>1.5</v>
      </c>
      <c r="AC32" s="33">
        <f>IFERROR(INDEX(courses[Duration],E32),"")</f>
        <v>1</v>
      </c>
      <c r="AE32" s="34">
        <f>IFERROR(INDEX(courses[Cost],C32),"")</f>
        <v>5000</v>
      </c>
      <c r="AF32" s="34">
        <f>IFERROR(INDEX(courses[Cost],D32),"")</f>
        <v>3000</v>
      </c>
      <c r="AG32" s="34">
        <f>IFERROR(INDEX(courses[Cost],E32),"")</f>
        <v>3000</v>
      </c>
      <c r="AI32" s="20">
        <f>COUNTIFS(tracker[i],3,tracker[Program Name],G32,tracker[Filtered?],1)</f>
        <v>6</v>
      </c>
      <c r="AJ32" s="20">
        <f>COUNTIFS(tracker[i],3,tracker[Program Name],H32,tracker[Filtered?],1)</f>
        <v>6</v>
      </c>
      <c r="AK32" s="20">
        <f>COUNTIFS(tracker[i],3,tracker[Program Name],I32,tracker[Filtered?],1)</f>
        <v>9</v>
      </c>
      <c r="AM32" s="20">
        <f>COUNTIFS(tracker[Feedback Rating],"&lt;&gt;",tracker[i],3,tracker[Program Name],G32,tracker[Filtered?],1)</f>
        <v>0</v>
      </c>
      <c r="AN32" s="20">
        <f>COUNTIFS(tracker[Feedback Rating],"&lt;&gt;",tracker[i],3,tracker[Program Name],H32,tracker[Filtered?],1)</f>
        <v>0</v>
      </c>
      <c r="AO32" s="20">
        <f>COUNTIFS(tracker[Feedback Rating],"&lt;&gt;",tracker[i],3,tracker[Program Name],I32,tracker[Filtered?],1)</f>
        <v>0</v>
      </c>
    </row>
    <row r="33" spans="2:41" ht="15" x14ac:dyDescent="0.25">
      <c r="B33" s="24">
        <v>2</v>
      </c>
      <c r="C33" s="24" t="e">
        <f t="array" ref="C33">SMALL(IF(TEXT(courses[Date],"MMYY")=C$30, ROW(courses[ID])),$B33)-ROW(courses[#Headers])</f>
        <v>#NUM!</v>
      </c>
      <c r="D33" s="24">
        <f t="array" ref="D33">SMALL(IF(TEXT(courses[Date],"MMYY")=D$30, ROW(courses[ID])),$B33)-ROW(courses[#Headers])</f>
        <v>19</v>
      </c>
      <c r="E33" s="24">
        <f t="array" ref="E33">SMALL(IF(TEXT(courses[Date],"MMYY")=E$30, ROW(courses[ID])),$B33)-ROW(courses[#Headers])</f>
        <v>21</v>
      </c>
      <c r="G33" s="20" t="str">
        <f>IFERROR(INDEX(courses[Program name],C33),"")</f>
        <v/>
      </c>
      <c r="H33" s="20" t="str">
        <f>IFERROR(INDEX(courses[Program name],D33),"")</f>
        <v>Advanced Business Techniques</v>
      </c>
      <c r="I33" s="20" t="str">
        <f>IFERROR(INDEX(courses[Program name],E33),"")</f>
        <v>Advanced Advertising Skills</v>
      </c>
      <c r="K33" s="20">
        <f>IFERROR(INDEX(courses[Capacity],C33),0)</f>
        <v>0</v>
      </c>
      <c r="L33" s="20">
        <f>IFERROR(INDEX(courses[Capacity],D33),0)</f>
        <v>20</v>
      </c>
      <c r="M33" s="20">
        <f>IFERROR(INDEX(courses[Capacity],E33),0)</f>
        <v>15</v>
      </c>
      <c r="O33" s="20">
        <f>COUNTIFS(tracker[i],3,tracker[Program Name],G33)</f>
        <v>0</v>
      </c>
      <c r="P33" s="20">
        <f>COUNTIFS(tracker[i],3,tracker[Program Name],H33)</f>
        <v>1</v>
      </c>
      <c r="Q33" s="20">
        <f>COUNTIFS(tracker[i],3,tracker[Program Name],I33)</f>
        <v>11</v>
      </c>
      <c r="S33" s="31" t="str">
        <f t="shared" ref="S33:S41" si="3">IFERROR(O33/K33,"")</f>
        <v/>
      </c>
      <c r="T33" s="31">
        <f t="shared" si="2"/>
        <v>0.05</v>
      </c>
      <c r="U33" s="31">
        <f t="shared" si="2"/>
        <v>0.73333333333333328</v>
      </c>
      <c r="W33" s="32" t="str">
        <f>IFERROR(INDEX(courses[Date],C33),"")</f>
        <v/>
      </c>
      <c r="X33" s="32">
        <f>IFERROR(INDEX(courses[Date],D33),"")</f>
        <v>42352</v>
      </c>
      <c r="Y33" s="32">
        <f>IFERROR(INDEX(courses[Date],E33),"")</f>
        <v>42384</v>
      </c>
      <c r="AA33" s="33" t="str">
        <f>IFERROR(INDEX(courses[Duration],C33),"")</f>
        <v/>
      </c>
      <c r="AB33" s="33">
        <f>IFERROR(INDEX(courses[Duration],D33),"")</f>
        <v>1</v>
      </c>
      <c r="AC33" s="33">
        <f>IFERROR(INDEX(courses[Duration],E33),"")</f>
        <v>1</v>
      </c>
      <c r="AE33" s="34" t="str">
        <f>IFERROR(INDEX(courses[Cost],C33),"")</f>
        <v/>
      </c>
      <c r="AF33" s="34">
        <f>IFERROR(INDEX(courses[Cost],D33),"")</f>
        <v>3000</v>
      </c>
      <c r="AG33" s="34">
        <f>IFERROR(INDEX(courses[Cost],E33),"")</f>
        <v>6000</v>
      </c>
      <c r="AI33" s="20">
        <f>COUNTIFS(tracker[i],3,tracker[Program Name],G33,tracker[Filtered?],1)</f>
        <v>0</v>
      </c>
      <c r="AJ33" s="20">
        <f>COUNTIFS(tracker[i],3,tracker[Program Name],H33,tracker[Filtered?],1)</f>
        <v>1</v>
      </c>
      <c r="AK33" s="20">
        <f>COUNTIFS(tracker[i],3,tracker[Program Name],I33,tracker[Filtered?],1)</f>
        <v>11</v>
      </c>
      <c r="AM33" s="20">
        <f>COUNTIFS(tracker[Feedback Rating],"&lt;&gt;",tracker[i],3,tracker[Program Name],G33,tracker[Filtered?],1)</f>
        <v>0</v>
      </c>
      <c r="AN33" s="20">
        <f>COUNTIFS(tracker[Feedback Rating],"&lt;&gt;",tracker[i],3,tracker[Program Name],H33,tracker[Filtered?],1)</f>
        <v>0</v>
      </c>
      <c r="AO33" s="20">
        <f>COUNTIFS(tracker[Feedback Rating],"&lt;&gt;",tracker[i],3,tracker[Program Name],I33,tracker[Filtered?],1)</f>
        <v>0</v>
      </c>
    </row>
    <row r="34" spans="2:41" ht="15" x14ac:dyDescent="0.25">
      <c r="B34" s="24">
        <v>3</v>
      </c>
      <c r="C34" s="24" t="e">
        <f t="array" ref="C34">SMALL(IF(TEXT(courses[Date],"MMYY")=C$30, ROW(courses[ID])),$B34)-ROW(courses[#Headers])</f>
        <v>#NUM!</v>
      </c>
      <c r="D34" s="24" t="e">
        <f t="array" ref="D34">SMALL(IF(TEXT(courses[Date],"MMYY")=D$30, ROW(courses[ID])),$B34)-ROW(courses[#Headers])</f>
        <v>#NUM!</v>
      </c>
      <c r="E34" s="24" t="e">
        <f t="array" ref="E34">SMALL(IF(TEXT(courses[Date],"MMYY")=E$30, ROW(courses[ID])),$B34)-ROW(courses[#Headers])</f>
        <v>#NUM!</v>
      </c>
      <c r="G34" s="20" t="str">
        <f>IFERROR(INDEX(courses[Program name],C34),"")</f>
        <v/>
      </c>
      <c r="H34" s="20" t="str">
        <f>IFERROR(INDEX(courses[Program name],D34),"")</f>
        <v/>
      </c>
      <c r="I34" s="20" t="str">
        <f>IFERROR(INDEX(courses[Program name],E34),"")</f>
        <v/>
      </c>
      <c r="K34" s="20">
        <f>IFERROR(INDEX(courses[Capacity],C34),0)</f>
        <v>0</v>
      </c>
      <c r="L34" s="20">
        <f>IFERROR(INDEX(courses[Capacity],D34),0)</f>
        <v>0</v>
      </c>
      <c r="M34" s="20">
        <f>IFERROR(INDEX(courses[Capacity],E34),0)</f>
        <v>0</v>
      </c>
      <c r="O34" s="20">
        <f>COUNTIFS(tracker[i],3,tracker[Program Name],G34)</f>
        <v>0</v>
      </c>
      <c r="P34" s="20">
        <f>COUNTIFS(tracker[i],3,tracker[Program Name],H34)</f>
        <v>0</v>
      </c>
      <c r="Q34" s="20">
        <f>COUNTIFS(tracker[i],3,tracker[Program Name],I34)</f>
        <v>0</v>
      </c>
      <c r="S34" s="31" t="str">
        <f t="shared" si="3"/>
        <v/>
      </c>
      <c r="T34" s="31" t="str">
        <f t="shared" si="2"/>
        <v/>
      </c>
      <c r="U34" s="31" t="str">
        <f t="shared" si="2"/>
        <v/>
      </c>
      <c r="W34" s="32" t="str">
        <f>IFERROR(INDEX(courses[Date],C34),"")</f>
        <v/>
      </c>
      <c r="X34" s="32" t="str">
        <f>IFERROR(INDEX(courses[Date],D34),"")</f>
        <v/>
      </c>
      <c r="Y34" s="32" t="str">
        <f>IFERROR(INDEX(courses[Date],E34),"")</f>
        <v/>
      </c>
      <c r="AA34" s="33" t="str">
        <f>IFERROR(INDEX(courses[Duration],C34),"")</f>
        <v/>
      </c>
      <c r="AB34" s="33" t="str">
        <f>IFERROR(INDEX(courses[Duration],D34),"")</f>
        <v/>
      </c>
      <c r="AC34" s="33" t="str">
        <f>IFERROR(INDEX(courses[Duration],E34),"")</f>
        <v/>
      </c>
      <c r="AE34" s="34" t="str">
        <f>IFERROR(INDEX(courses[Cost],C34),"")</f>
        <v/>
      </c>
      <c r="AF34" s="34" t="str">
        <f>IFERROR(INDEX(courses[Cost],D34),"")</f>
        <v/>
      </c>
      <c r="AG34" s="34" t="str">
        <f>IFERROR(INDEX(courses[Cost],E34),"")</f>
        <v/>
      </c>
      <c r="AI34" s="20">
        <f>COUNTIFS(tracker[i],3,tracker[Program Name],G34,tracker[Filtered?],1)</f>
        <v>0</v>
      </c>
      <c r="AJ34" s="20">
        <f>COUNTIFS(tracker[i],3,tracker[Program Name],H34,tracker[Filtered?],1)</f>
        <v>0</v>
      </c>
      <c r="AK34" s="20">
        <f>COUNTIFS(tracker[i],3,tracker[Program Name],I34,tracker[Filtered?],1)</f>
        <v>0</v>
      </c>
      <c r="AM34" s="20">
        <f>COUNTIFS(tracker[Feedback Rating],"&lt;&gt;",tracker[i],3,tracker[Program Name],G34,tracker[Filtered?],1)</f>
        <v>0</v>
      </c>
      <c r="AN34" s="20">
        <f>COUNTIFS(tracker[Feedback Rating],"&lt;&gt;",tracker[i],3,tracker[Program Name],H34,tracker[Filtered?],1)</f>
        <v>0</v>
      </c>
      <c r="AO34" s="20">
        <f>COUNTIFS(tracker[Feedback Rating],"&lt;&gt;",tracker[i],3,tracker[Program Name],I34,tracker[Filtered?],1)</f>
        <v>0</v>
      </c>
    </row>
    <row r="35" spans="2:41" ht="15" x14ac:dyDescent="0.25">
      <c r="B35" s="24">
        <v>4</v>
      </c>
      <c r="C35" s="24" t="e">
        <f t="array" ref="C35">SMALL(IF(TEXT(courses[Date],"MMYY")=C$30, ROW(courses[ID])),$B35)-ROW(courses[#Headers])</f>
        <v>#NUM!</v>
      </c>
      <c r="D35" s="24" t="e">
        <f t="array" ref="D35">SMALL(IF(TEXT(courses[Date],"MMYY")=D$30, ROW(courses[ID])),$B35)-ROW(courses[#Headers])</f>
        <v>#NUM!</v>
      </c>
      <c r="E35" s="24" t="e">
        <f t="array" ref="E35">SMALL(IF(TEXT(courses[Date],"MMYY")=E$30, ROW(courses[ID])),$B35)-ROW(courses[#Headers])</f>
        <v>#NUM!</v>
      </c>
      <c r="G35" s="20" t="str">
        <f>IFERROR(INDEX(courses[Program name],C35),"")</f>
        <v/>
      </c>
      <c r="H35" s="20" t="str">
        <f>IFERROR(INDEX(courses[Program name],D35),"")</f>
        <v/>
      </c>
      <c r="I35" s="20" t="str">
        <f>IFERROR(INDEX(courses[Program name],E35),"")</f>
        <v/>
      </c>
      <c r="K35" s="20">
        <f>IFERROR(INDEX(courses[Capacity],C35),0)</f>
        <v>0</v>
      </c>
      <c r="L35" s="20">
        <f>IFERROR(INDEX(courses[Capacity],D35),0)</f>
        <v>0</v>
      </c>
      <c r="M35" s="20">
        <f>IFERROR(INDEX(courses[Capacity],E35),0)</f>
        <v>0</v>
      </c>
      <c r="O35" s="20">
        <f>COUNTIFS(tracker[i],3,tracker[Program Name],G35)</f>
        <v>0</v>
      </c>
      <c r="P35" s="20">
        <f>COUNTIFS(tracker[i],3,tracker[Program Name],H35)</f>
        <v>0</v>
      </c>
      <c r="Q35" s="20">
        <f>COUNTIFS(tracker[i],3,tracker[Program Name],I35)</f>
        <v>0</v>
      </c>
      <c r="S35" s="31" t="str">
        <f t="shared" si="3"/>
        <v/>
      </c>
      <c r="T35" s="31" t="str">
        <f t="shared" si="2"/>
        <v/>
      </c>
      <c r="U35" s="31" t="str">
        <f t="shared" si="2"/>
        <v/>
      </c>
      <c r="W35" s="32" t="str">
        <f>IFERROR(INDEX(courses[Date],C35),"")</f>
        <v/>
      </c>
      <c r="X35" s="32" t="str">
        <f>IFERROR(INDEX(courses[Date],D35),"")</f>
        <v/>
      </c>
      <c r="Y35" s="32" t="str">
        <f>IFERROR(INDEX(courses[Date],E35),"")</f>
        <v/>
      </c>
      <c r="AA35" s="33" t="str">
        <f>IFERROR(INDEX(courses[Duration],C35),"")</f>
        <v/>
      </c>
      <c r="AB35" s="33" t="str">
        <f>IFERROR(INDEX(courses[Duration],D35),"")</f>
        <v/>
      </c>
      <c r="AC35" s="33" t="str">
        <f>IFERROR(INDEX(courses[Duration],E35),"")</f>
        <v/>
      </c>
      <c r="AE35" s="34" t="str">
        <f>IFERROR(INDEX(courses[Cost],C35),"")</f>
        <v/>
      </c>
      <c r="AF35" s="34" t="str">
        <f>IFERROR(INDEX(courses[Cost],D35),"")</f>
        <v/>
      </c>
      <c r="AG35" s="34" t="str">
        <f>IFERROR(INDEX(courses[Cost],E35),"")</f>
        <v/>
      </c>
      <c r="AI35" s="20">
        <f>COUNTIFS(tracker[i],3,tracker[Program Name],G35,tracker[Filtered?],1)</f>
        <v>0</v>
      </c>
      <c r="AJ35" s="20">
        <f>COUNTIFS(tracker[i],3,tracker[Program Name],H35,tracker[Filtered?],1)</f>
        <v>0</v>
      </c>
      <c r="AK35" s="20">
        <f>COUNTIFS(tracker[i],3,tracker[Program Name],I35,tracker[Filtered?],1)</f>
        <v>0</v>
      </c>
      <c r="AM35" s="20">
        <f>COUNTIFS(tracker[Feedback Rating],"&lt;&gt;",tracker[i],3,tracker[Program Name],G35,tracker[Filtered?],1)</f>
        <v>0</v>
      </c>
      <c r="AN35" s="20">
        <f>COUNTIFS(tracker[Feedback Rating],"&lt;&gt;",tracker[i],3,tracker[Program Name],H35,tracker[Filtered?],1)</f>
        <v>0</v>
      </c>
      <c r="AO35" s="20">
        <f>COUNTIFS(tracker[Feedback Rating],"&lt;&gt;",tracker[i],3,tracker[Program Name],I35,tracker[Filtered?],1)</f>
        <v>0</v>
      </c>
    </row>
    <row r="36" spans="2:41" ht="15" x14ac:dyDescent="0.25">
      <c r="B36" s="24">
        <v>5</v>
      </c>
      <c r="C36" s="24" t="e">
        <f t="array" ref="C36">SMALL(IF(TEXT(courses[Date],"MMYY")=C$30, ROW(courses[ID])),$B36)-ROW(courses[#Headers])</f>
        <v>#NUM!</v>
      </c>
      <c r="D36" s="24" t="e">
        <f t="array" ref="D36">SMALL(IF(TEXT(courses[Date],"MMYY")=D$30, ROW(courses[ID])),$B36)-ROW(courses[#Headers])</f>
        <v>#NUM!</v>
      </c>
      <c r="E36" s="24" t="e">
        <f t="array" ref="E36">SMALL(IF(TEXT(courses[Date],"MMYY")=E$30, ROW(courses[ID])),$B36)-ROW(courses[#Headers])</f>
        <v>#NUM!</v>
      </c>
      <c r="G36" s="20" t="str">
        <f>IFERROR(INDEX(courses[Program name],C36),"")</f>
        <v/>
      </c>
      <c r="H36" s="20" t="str">
        <f>IFERROR(INDEX(courses[Program name],D36),"")</f>
        <v/>
      </c>
      <c r="I36" s="20" t="str">
        <f>IFERROR(INDEX(courses[Program name],E36),"")</f>
        <v/>
      </c>
      <c r="K36" s="20">
        <f>IFERROR(INDEX(courses[Capacity],C36),0)</f>
        <v>0</v>
      </c>
      <c r="L36" s="20">
        <f>IFERROR(INDEX(courses[Capacity],D36),0)</f>
        <v>0</v>
      </c>
      <c r="M36" s="20">
        <f>IFERROR(INDEX(courses[Capacity],E36),0)</f>
        <v>0</v>
      </c>
      <c r="O36" s="20">
        <f>COUNTIFS(tracker[i],3,tracker[Program Name],G36)</f>
        <v>0</v>
      </c>
      <c r="P36" s="20">
        <f>COUNTIFS(tracker[i],3,tracker[Program Name],H36)</f>
        <v>0</v>
      </c>
      <c r="Q36" s="20">
        <f>COUNTIFS(tracker[i],3,tracker[Program Name],I36)</f>
        <v>0</v>
      </c>
      <c r="S36" s="31" t="str">
        <f t="shared" si="3"/>
        <v/>
      </c>
      <c r="T36" s="31" t="str">
        <f t="shared" si="2"/>
        <v/>
      </c>
      <c r="U36" s="31" t="str">
        <f t="shared" si="2"/>
        <v/>
      </c>
      <c r="W36" s="32" t="str">
        <f>IFERROR(INDEX(courses[Date],C36),"")</f>
        <v/>
      </c>
      <c r="X36" s="32" t="str">
        <f>IFERROR(INDEX(courses[Date],D36),"")</f>
        <v/>
      </c>
      <c r="Y36" s="32" t="str">
        <f>IFERROR(INDEX(courses[Date],E36),"")</f>
        <v/>
      </c>
      <c r="AA36" s="33" t="str">
        <f>IFERROR(INDEX(courses[Duration],C36),"")</f>
        <v/>
      </c>
      <c r="AB36" s="33" t="str">
        <f>IFERROR(INDEX(courses[Duration],D36),"")</f>
        <v/>
      </c>
      <c r="AC36" s="33" t="str">
        <f>IFERROR(INDEX(courses[Duration],E36),"")</f>
        <v/>
      </c>
      <c r="AE36" s="34" t="str">
        <f>IFERROR(INDEX(courses[Cost],C36),"")</f>
        <v/>
      </c>
      <c r="AF36" s="34" t="str">
        <f>IFERROR(INDEX(courses[Cost],D36),"")</f>
        <v/>
      </c>
      <c r="AG36" s="34" t="str">
        <f>IFERROR(INDEX(courses[Cost],E36),"")</f>
        <v/>
      </c>
      <c r="AI36" s="20">
        <f>COUNTIFS(tracker[i],3,tracker[Program Name],G36,tracker[Filtered?],1)</f>
        <v>0</v>
      </c>
      <c r="AJ36" s="20">
        <f>COUNTIFS(tracker[i],3,tracker[Program Name],H36,tracker[Filtered?],1)</f>
        <v>0</v>
      </c>
      <c r="AK36" s="20">
        <f>COUNTIFS(tracker[i],3,tracker[Program Name],I36,tracker[Filtered?],1)</f>
        <v>0</v>
      </c>
      <c r="AM36" s="20">
        <f>COUNTIFS(tracker[Feedback Rating],"&lt;&gt;",tracker[i],3,tracker[Program Name],G36,tracker[Filtered?],1)</f>
        <v>0</v>
      </c>
      <c r="AN36" s="20">
        <f>COUNTIFS(tracker[Feedback Rating],"&lt;&gt;",tracker[i],3,tracker[Program Name],H36,tracker[Filtered?],1)</f>
        <v>0</v>
      </c>
      <c r="AO36" s="20">
        <f>COUNTIFS(tracker[Feedback Rating],"&lt;&gt;",tracker[i],3,tracker[Program Name],I36,tracker[Filtered?],1)</f>
        <v>0</v>
      </c>
    </row>
    <row r="37" spans="2:41" x14ac:dyDescent="0.3">
      <c r="B37" s="24">
        <v>6</v>
      </c>
      <c r="C37" s="24" t="e">
        <f t="array" ref="C37">SMALL(IF(TEXT(courses[Date],"MMYY")=C$30, ROW(courses[ID])),$B37)-ROW(courses[#Headers])</f>
        <v>#NUM!</v>
      </c>
      <c r="D37" s="24" t="e">
        <f t="array" ref="D37">SMALL(IF(TEXT(courses[Date],"MMYY")=D$30, ROW(courses[ID])),$B37)-ROW(courses[#Headers])</f>
        <v>#NUM!</v>
      </c>
      <c r="E37" s="24" t="e">
        <f t="array" ref="E37">SMALL(IF(TEXT(courses[Date],"MMYY")=E$30, ROW(courses[ID])),$B37)-ROW(courses[#Headers])</f>
        <v>#NUM!</v>
      </c>
      <c r="G37" s="20" t="str">
        <f>IFERROR(INDEX(courses[Program name],C37),"")</f>
        <v/>
      </c>
      <c r="H37" s="20" t="str">
        <f>IFERROR(INDEX(courses[Program name],D37),"")</f>
        <v/>
      </c>
      <c r="I37" s="20" t="str">
        <f>IFERROR(INDEX(courses[Program name],E37),"")</f>
        <v/>
      </c>
      <c r="K37" s="20">
        <f>IFERROR(INDEX(courses[Capacity],C37),0)</f>
        <v>0</v>
      </c>
      <c r="L37" s="20">
        <f>IFERROR(INDEX(courses[Capacity],D37),0)</f>
        <v>0</v>
      </c>
      <c r="M37" s="20">
        <f>IFERROR(INDEX(courses[Capacity],E37),0)</f>
        <v>0</v>
      </c>
      <c r="O37" s="20">
        <f>COUNTIFS(tracker[i],3,tracker[Program Name],G37)</f>
        <v>0</v>
      </c>
      <c r="P37" s="20">
        <f>COUNTIFS(tracker[i],3,tracker[Program Name],H37)</f>
        <v>0</v>
      </c>
      <c r="Q37" s="20">
        <f>COUNTIFS(tracker[i],3,tracker[Program Name],I37)</f>
        <v>0</v>
      </c>
      <c r="S37" s="31" t="str">
        <f t="shared" si="3"/>
        <v/>
      </c>
      <c r="T37" s="31" t="str">
        <f t="shared" si="2"/>
        <v/>
      </c>
      <c r="U37" s="31" t="str">
        <f t="shared" si="2"/>
        <v/>
      </c>
      <c r="W37" s="32" t="str">
        <f>IFERROR(INDEX(courses[Date],C37),"")</f>
        <v/>
      </c>
      <c r="X37" s="32" t="str">
        <f>IFERROR(INDEX(courses[Date],D37),"")</f>
        <v/>
      </c>
      <c r="Y37" s="32" t="str">
        <f>IFERROR(INDEX(courses[Date],E37),"")</f>
        <v/>
      </c>
      <c r="AA37" s="33" t="str">
        <f>IFERROR(INDEX(courses[Duration],C37),"")</f>
        <v/>
      </c>
      <c r="AB37" s="33" t="str">
        <f>IFERROR(INDEX(courses[Duration],D37),"")</f>
        <v/>
      </c>
      <c r="AC37" s="33" t="str">
        <f>IFERROR(INDEX(courses[Duration],E37),"")</f>
        <v/>
      </c>
      <c r="AE37" s="34" t="str">
        <f>IFERROR(INDEX(courses[Cost],C37),"")</f>
        <v/>
      </c>
      <c r="AF37" s="34" t="str">
        <f>IFERROR(INDEX(courses[Cost],D37),"")</f>
        <v/>
      </c>
      <c r="AG37" s="34" t="str">
        <f>IFERROR(INDEX(courses[Cost],E37),"")</f>
        <v/>
      </c>
      <c r="AI37" s="20">
        <f>COUNTIFS(tracker[i],3,tracker[Program Name],G37,tracker[Filtered?],1)</f>
        <v>0</v>
      </c>
      <c r="AJ37" s="20">
        <f>COUNTIFS(tracker[i],3,tracker[Program Name],H37,tracker[Filtered?],1)</f>
        <v>0</v>
      </c>
      <c r="AK37" s="20">
        <f>COUNTIFS(tracker[i],3,tracker[Program Name],I37,tracker[Filtered?],1)</f>
        <v>0</v>
      </c>
      <c r="AM37" s="20">
        <f>COUNTIFS(tracker[Feedback Rating],"&lt;&gt;",tracker[i],3,tracker[Program Name],G37,tracker[Filtered?],1)</f>
        <v>0</v>
      </c>
      <c r="AN37" s="20">
        <f>COUNTIFS(tracker[Feedback Rating],"&lt;&gt;",tracker[i],3,tracker[Program Name],H37,tracker[Filtered?],1)</f>
        <v>0</v>
      </c>
      <c r="AO37" s="20">
        <f>COUNTIFS(tracker[Feedback Rating],"&lt;&gt;",tracker[i],3,tracker[Program Name],I37,tracker[Filtered?],1)</f>
        <v>0</v>
      </c>
    </row>
    <row r="38" spans="2:41" x14ac:dyDescent="0.3">
      <c r="B38" s="24">
        <v>7</v>
      </c>
      <c r="C38" s="24" t="e">
        <f t="array" ref="C38">SMALL(IF(TEXT(courses[Date],"MMYY")=C$30, ROW(courses[ID])),$B38)-ROW(courses[#Headers])</f>
        <v>#NUM!</v>
      </c>
      <c r="D38" s="24" t="e">
        <f t="array" ref="D38">SMALL(IF(TEXT(courses[Date],"MMYY")=D$30, ROW(courses[ID])),$B38)-ROW(courses[#Headers])</f>
        <v>#NUM!</v>
      </c>
      <c r="E38" s="24" t="e">
        <f t="array" ref="E38">SMALL(IF(TEXT(courses[Date],"MMYY")=E$30, ROW(courses[ID])),$B38)-ROW(courses[#Headers])</f>
        <v>#NUM!</v>
      </c>
      <c r="G38" s="20" t="str">
        <f>IFERROR(INDEX(courses[Program name],C38),"")</f>
        <v/>
      </c>
      <c r="H38" s="20" t="str">
        <f>IFERROR(INDEX(courses[Program name],D38),"")</f>
        <v/>
      </c>
      <c r="I38" s="20" t="str">
        <f>IFERROR(INDEX(courses[Program name],E38),"")</f>
        <v/>
      </c>
      <c r="K38" s="20">
        <f>IFERROR(INDEX(courses[Capacity],C38),0)</f>
        <v>0</v>
      </c>
      <c r="L38" s="20">
        <f>IFERROR(INDEX(courses[Capacity],D38),0)</f>
        <v>0</v>
      </c>
      <c r="M38" s="20">
        <f>IFERROR(INDEX(courses[Capacity],E38),0)</f>
        <v>0</v>
      </c>
      <c r="O38" s="20">
        <f>COUNTIFS(tracker[i],3,tracker[Program Name],G38)</f>
        <v>0</v>
      </c>
      <c r="P38" s="20">
        <f>COUNTIFS(tracker[i],3,tracker[Program Name],H38)</f>
        <v>0</v>
      </c>
      <c r="Q38" s="20">
        <f>COUNTIFS(tracker[i],3,tracker[Program Name],I38)</f>
        <v>0</v>
      </c>
      <c r="S38" s="31" t="str">
        <f t="shared" si="3"/>
        <v/>
      </c>
      <c r="T38" s="31" t="str">
        <f t="shared" si="2"/>
        <v/>
      </c>
      <c r="U38" s="31" t="str">
        <f t="shared" si="2"/>
        <v/>
      </c>
      <c r="W38" s="32" t="str">
        <f>IFERROR(INDEX(courses[Date],C38),"")</f>
        <v/>
      </c>
      <c r="X38" s="32" t="str">
        <f>IFERROR(INDEX(courses[Date],D38),"")</f>
        <v/>
      </c>
      <c r="Y38" s="32" t="str">
        <f>IFERROR(INDEX(courses[Date],E38),"")</f>
        <v/>
      </c>
      <c r="AA38" s="33" t="str">
        <f>IFERROR(INDEX(courses[Duration],C38),"")</f>
        <v/>
      </c>
      <c r="AB38" s="33" t="str">
        <f>IFERROR(INDEX(courses[Duration],D38),"")</f>
        <v/>
      </c>
      <c r="AC38" s="33" t="str">
        <f>IFERROR(INDEX(courses[Duration],E38),"")</f>
        <v/>
      </c>
      <c r="AE38" s="34" t="str">
        <f>IFERROR(INDEX(courses[Cost],C38),"")</f>
        <v/>
      </c>
      <c r="AF38" s="34" t="str">
        <f>IFERROR(INDEX(courses[Cost],D38),"")</f>
        <v/>
      </c>
      <c r="AG38" s="34" t="str">
        <f>IFERROR(INDEX(courses[Cost],E38),"")</f>
        <v/>
      </c>
      <c r="AI38" s="20">
        <f>COUNTIFS(tracker[i],3,tracker[Program Name],G38,tracker[Filtered?],1)</f>
        <v>0</v>
      </c>
      <c r="AJ38" s="20">
        <f>COUNTIFS(tracker[i],3,tracker[Program Name],H38,tracker[Filtered?],1)</f>
        <v>0</v>
      </c>
      <c r="AK38" s="20">
        <f>COUNTIFS(tracker[i],3,tracker[Program Name],I38,tracker[Filtered?],1)</f>
        <v>0</v>
      </c>
      <c r="AM38" s="20">
        <f>COUNTIFS(tracker[Feedback Rating],"&lt;&gt;",tracker[i],3,tracker[Program Name],G38,tracker[Filtered?],1)</f>
        <v>0</v>
      </c>
      <c r="AN38" s="20">
        <f>COUNTIFS(tracker[Feedback Rating],"&lt;&gt;",tracker[i],3,tracker[Program Name],H38,tracker[Filtered?],1)</f>
        <v>0</v>
      </c>
      <c r="AO38" s="20">
        <f>COUNTIFS(tracker[Feedback Rating],"&lt;&gt;",tracker[i],3,tracker[Program Name],I38,tracker[Filtered?],1)</f>
        <v>0</v>
      </c>
    </row>
    <row r="39" spans="2:41" x14ac:dyDescent="0.3">
      <c r="B39" s="24">
        <v>8</v>
      </c>
      <c r="C39" s="24" t="e">
        <f t="array" ref="C39">SMALL(IF(TEXT(courses[Date],"MMYY")=C$30, ROW(courses[ID])),$B39)-ROW(courses[#Headers])</f>
        <v>#NUM!</v>
      </c>
      <c r="D39" s="24" t="e">
        <f t="array" ref="D39">SMALL(IF(TEXT(courses[Date],"MMYY")=D$30, ROW(courses[ID])),$B39)-ROW(courses[#Headers])</f>
        <v>#NUM!</v>
      </c>
      <c r="E39" s="24" t="e">
        <f t="array" ref="E39">SMALL(IF(TEXT(courses[Date],"MMYY")=E$30, ROW(courses[ID])),$B39)-ROW(courses[#Headers])</f>
        <v>#NUM!</v>
      </c>
      <c r="G39" s="20" t="str">
        <f>IFERROR(INDEX(courses[Program name],C39),"")</f>
        <v/>
      </c>
      <c r="H39" s="20" t="str">
        <f>IFERROR(INDEX(courses[Program name],D39),"")</f>
        <v/>
      </c>
      <c r="I39" s="20" t="str">
        <f>IFERROR(INDEX(courses[Program name],E39),"")</f>
        <v/>
      </c>
      <c r="K39" s="20">
        <f>IFERROR(INDEX(courses[Capacity],C39),0)</f>
        <v>0</v>
      </c>
      <c r="L39" s="20">
        <f>IFERROR(INDEX(courses[Capacity],D39),0)</f>
        <v>0</v>
      </c>
      <c r="M39" s="20">
        <f>IFERROR(INDEX(courses[Capacity],E39),0)</f>
        <v>0</v>
      </c>
      <c r="O39" s="20">
        <f>COUNTIFS(tracker[i],3,tracker[Program Name],G39)</f>
        <v>0</v>
      </c>
      <c r="P39" s="20">
        <f>COUNTIFS(tracker[i],3,tracker[Program Name],H39)</f>
        <v>0</v>
      </c>
      <c r="Q39" s="20">
        <f>COUNTIFS(tracker[i],3,tracker[Program Name],I39)</f>
        <v>0</v>
      </c>
      <c r="S39" s="31" t="str">
        <f t="shared" si="3"/>
        <v/>
      </c>
      <c r="T39" s="31" t="str">
        <f t="shared" si="2"/>
        <v/>
      </c>
      <c r="U39" s="31" t="str">
        <f t="shared" si="2"/>
        <v/>
      </c>
      <c r="W39" s="32" t="str">
        <f>IFERROR(INDEX(courses[Date],C39),"")</f>
        <v/>
      </c>
      <c r="X39" s="32" t="str">
        <f>IFERROR(INDEX(courses[Date],D39),"")</f>
        <v/>
      </c>
      <c r="Y39" s="32" t="str">
        <f>IFERROR(INDEX(courses[Date],E39),"")</f>
        <v/>
      </c>
      <c r="AA39" s="33" t="str">
        <f>IFERROR(INDEX(courses[Duration],C39),"")</f>
        <v/>
      </c>
      <c r="AB39" s="33" t="str">
        <f>IFERROR(INDEX(courses[Duration],D39),"")</f>
        <v/>
      </c>
      <c r="AC39" s="33" t="str">
        <f>IFERROR(INDEX(courses[Duration],E39),"")</f>
        <v/>
      </c>
      <c r="AE39" s="34" t="str">
        <f>IFERROR(INDEX(courses[Cost],C39),"")</f>
        <v/>
      </c>
      <c r="AF39" s="34" t="str">
        <f>IFERROR(INDEX(courses[Cost],D39),"")</f>
        <v/>
      </c>
      <c r="AG39" s="34" t="str">
        <f>IFERROR(INDEX(courses[Cost],E39),"")</f>
        <v/>
      </c>
      <c r="AI39" s="20">
        <f>COUNTIFS(tracker[i],3,tracker[Program Name],G39,tracker[Filtered?],1)</f>
        <v>0</v>
      </c>
      <c r="AJ39" s="20">
        <f>COUNTIFS(tracker[i],3,tracker[Program Name],H39,tracker[Filtered?],1)</f>
        <v>0</v>
      </c>
      <c r="AK39" s="20">
        <f>COUNTIFS(tracker[i],3,tracker[Program Name],I39,tracker[Filtered?],1)</f>
        <v>0</v>
      </c>
      <c r="AM39" s="20">
        <f>COUNTIFS(tracker[Feedback Rating],"&lt;&gt;",tracker[i],3,tracker[Program Name],G39,tracker[Filtered?],1)</f>
        <v>0</v>
      </c>
      <c r="AN39" s="20">
        <f>COUNTIFS(tracker[Feedback Rating],"&lt;&gt;",tracker[i],3,tracker[Program Name],H39,tracker[Filtered?],1)</f>
        <v>0</v>
      </c>
      <c r="AO39" s="20">
        <f>COUNTIFS(tracker[Feedback Rating],"&lt;&gt;",tracker[i],3,tracker[Program Name],I39,tracker[Filtered?],1)</f>
        <v>0</v>
      </c>
    </row>
    <row r="40" spans="2:41" x14ac:dyDescent="0.3">
      <c r="B40" s="24">
        <v>9</v>
      </c>
      <c r="C40" s="24" t="e">
        <f t="array" ref="C40">SMALL(IF(TEXT(courses[Date],"MMYY")=C$30, ROW(courses[ID])),$B40)-ROW(courses[#Headers])</f>
        <v>#NUM!</v>
      </c>
      <c r="D40" s="24" t="e">
        <f t="array" ref="D40">SMALL(IF(TEXT(courses[Date],"MMYY")=D$30, ROW(courses[ID])),$B40)-ROW(courses[#Headers])</f>
        <v>#NUM!</v>
      </c>
      <c r="E40" s="24" t="e">
        <f t="array" ref="E40">SMALL(IF(TEXT(courses[Date],"MMYY")=E$30, ROW(courses[ID])),$B40)-ROW(courses[#Headers])</f>
        <v>#NUM!</v>
      </c>
      <c r="G40" s="20" t="str">
        <f>IFERROR(INDEX(courses[Program name],C40),"")</f>
        <v/>
      </c>
      <c r="H40" s="20" t="str">
        <f>IFERROR(INDEX(courses[Program name],D40),"")</f>
        <v/>
      </c>
      <c r="I40" s="20" t="str">
        <f>IFERROR(INDEX(courses[Program name],E40),"")</f>
        <v/>
      </c>
      <c r="K40" s="20">
        <f>IFERROR(INDEX(courses[Capacity],C40),0)</f>
        <v>0</v>
      </c>
      <c r="L40" s="20">
        <f>IFERROR(INDEX(courses[Capacity],D40),0)</f>
        <v>0</v>
      </c>
      <c r="M40" s="20">
        <f>IFERROR(INDEX(courses[Capacity],E40),0)</f>
        <v>0</v>
      </c>
      <c r="O40" s="20">
        <f>COUNTIFS(tracker[i],3,tracker[Program Name],G40)</f>
        <v>0</v>
      </c>
      <c r="P40" s="20">
        <f>COUNTIFS(tracker[i],3,tracker[Program Name],H40)</f>
        <v>0</v>
      </c>
      <c r="Q40" s="20">
        <f>COUNTIFS(tracker[i],3,tracker[Program Name],I40)</f>
        <v>0</v>
      </c>
      <c r="S40" s="31" t="str">
        <f t="shared" si="3"/>
        <v/>
      </c>
      <c r="T40" s="31" t="str">
        <f t="shared" si="2"/>
        <v/>
      </c>
      <c r="U40" s="31" t="str">
        <f t="shared" si="2"/>
        <v/>
      </c>
      <c r="W40" s="32" t="str">
        <f>IFERROR(INDEX(courses[Date],C40),"")</f>
        <v/>
      </c>
      <c r="X40" s="32" t="str">
        <f>IFERROR(INDEX(courses[Date],D40),"")</f>
        <v/>
      </c>
      <c r="Y40" s="32" t="str">
        <f>IFERROR(INDEX(courses[Date],E40),"")</f>
        <v/>
      </c>
      <c r="AA40" s="33" t="str">
        <f>IFERROR(INDEX(courses[Duration],C40),"")</f>
        <v/>
      </c>
      <c r="AB40" s="33" t="str">
        <f>IFERROR(INDEX(courses[Duration],D40),"")</f>
        <v/>
      </c>
      <c r="AC40" s="33" t="str">
        <f>IFERROR(INDEX(courses[Duration],E40),"")</f>
        <v/>
      </c>
      <c r="AE40" s="34" t="str">
        <f>IFERROR(INDEX(courses[Cost],C40),"")</f>
        <v/>
      </c>
      <c r="AF40" s="34" t="str">
        <f>IFERROR(INDEX(courses[Cost],D40),"")</f>
        <v/>
      </c>
      <c r="AG40" s="34" t="str">
        <f>IFERROR(INDEX(courses[Cost],E40),"")</f>
        <v/>
      </c>
      <c r="AI40" s="20">
        <f>COUNTIFS(tracker[i],3,tracker[Program Name],G40,tracker[Filtered?],1)</f>
        <v>0</v>
      </c>
      <c r="AJ40" s="20">
        <f>COUNTIFS(tracker[i],3,tracker[Program Name],H40,tracker[Filtered?],1)</f>
        <v>0</v>
      </c>
      <c r="AK40" s="20">
        <f>COUNTIFS(tracker[i],3,tracker[Program Name],I40,tracker[Filtered?],1)</f>
        <v>0</v>
      </c>
      <c r="AM40" s="20">
        <f>COUNTIFS(tracker[Feedback Rating],"&lt;&gt;",tracker[i],3,tracker[Program Name],G40,tracker[Filtered?],1)</f>
        <v>0</v>
      </c>
      <c r="AN40" s="20">
        <f>COUNTIFS(tracker[Feedback Rating],"&lt;&gt;",tracker[i],3,tracker[Program Name],H40,tracker[Filtered?],1)</f>
        <v>0</v>
      </c>
      <c r="AO40" s="20">
        <f>COUNTIFS(tracker[Feedback Rating],"&lt;&gt;",tracker[i],3,tracker[Program Name],I40,tracker[Filtered?],1)</f>
        <v>0</v>
      </c>
    </row>
    <row r="41" spans="2:41" x14ac:dyDescent="0.3">
      <c r="B41" s="24">
        <v>10</v>
      </c>
      <c r="C41" s="24" t="e">
        <f t="array" ref="C41">SMALL(IF(TEXT(courses[Date],"MMYY")=C$30, ROW(courses[ID])),$B41)-ROW(courses[#Headers])</f>
        <v>#NUM!</v>
      </c>
      <c r="D41" s="24" t="e">
        <f t="array" ref="D41">SMALL(IF(TEXT(courses[Date],"MMYY")=D$30, ROW(courses[ID])),$B41)-ROW(courses[#Headers])</f>
        <v>#NUM!</v>
      </c>
      <c r="E41" s="24" t="e">
        <f t="array" ref="E41">SMALL(IF(TEXT(courses[Date],"MMYY")=E$30, ROW(courses[ID])),$B41)-ROW(courses[#Headers])</f>
        <v>#NUM!</v>
      </c>
      <c r="G41" s="20" t="str">
        <f>IFERROR(INDEX(courses[Program name],C41),"")</f>
        <v/>
      </c>
      <c r="H41" s="20" t="str">
        <f>IFERROR(INDEX(courses[Program name],D41),"")</f>
        <v/>
      </c>
      <c r="I41" s="20" t="str">
        <f>IFERROR(INDEX(courses[Program name],E41),"")</f>
        <v/>
      </c>
      <c r="K41" s="20">
        <f>IFERROR(INDEX(courses[Capacity],C41),0)</f>
        <v>0</v>
      </c>
      <c r="L41" s="20">
        <f>IFERROR(INDEX(courses[Capacity],D41),0)</f>
        <v>0</v>
      </c>
      <c r="M41" s="20">
        <f>IFERROR(INDEX(courses[Capacity],E41),0)</f>
        <v>0</v>
      </c>
      <c r="O41" s="20">
        <f>COUNTIFS(tracker[i],3,tracker[Program Name],G41)</f>
        <v>0</v>
      </c>
      <c r="P41" s="20">
        <f>COUNTIFS(tracker[i],3,tracker[Program Name],H41)</f>
        <v>0</v>
      </c>
      <c r="Q41" s="20">
        <f>COUNTIFS(tracker[i],3,tracker[Program Name],I41)</f>
        <v>0</v>
      </c>
      <c r="S41" s="31" t="str">
        <f t="shared" si="3"/>
        <v/>
      </c>
      <c r="T41" s="31" t="str">
        <f t="shared" si="2"/>
        <v/>
      </c>
      <c r="U41" s="31" t="str">
        <f t="shared" si="2"/>
        <v/>
      </c>
      <c r="W41" s="32" t="str">
        <f>IFERROR(INDEX(courses[Date],C41),"")</f>
        <v/>
      </c>
      <c r="X41" s="32" t="str">
        <f>IFERROR(INDEX(courses[Date],D41),"")</f>
        <v/>
      </c>
      <c r="Y41" s="32" t="str">
        <f>IFERROR(INDEX(courses[Date],E41),"")</f>
        <v/>
      </c>
      <c r="AA41" s="33" t="str">
        <f>IFERROR(INDEX(courses[Duration],C41),"")</f>
        <v/>
      </c>
      <c r="AB41" s="33" t="str">
        <f>IFERROR(INDEX(courses[Duration],D41),"")</f>
        <v/>
      </c>
      <c r="AC41" s="33" t="str">
        <f>IFERROR(INDEX(courses[Duration],E41),"")</f>
        <v/>
      </c>
      <c r="AE41" s="34" t="str">
        <f>IFERROR(INDEX(courses[Cost],C41),"")</f>
        <v/>
      </c>
      <c r="AF41" s="34" t="str">
        <f>IFERROR(INDEX(courses[Cost],D41),"")</f>
        <v/>
      </c>
      <c r="AG41" s="34" t="str">
        <f>IFERROR(INDEX(courses[Cost],E41),"")</f>
        <v/>
      </c>
      <c r="AI41" s="20">
        <f>COUNTIFS(tracker[i],3,tracker[Program Name],G41,tracker[Filtered?],1)</f>
        <v>0</v>
      </c>
      <c r="AJ41" s="20">
        <f>COUNTIFS(tracker[i],3,tracker[Program Name],H41,tracker[Filtered?],1)</f>
        <v>0</v>
      </c>
      <c r="AK41" s="20">
        <f>COUNTIFS(tracker[i],3,tracker[Program Name],I41,tracker[Filtered?],1)</f>
        <v>0</v>
      </c>
      <c r="AM41" s="20">
        <f>COUNTIFS(tracker[Feedback Rating],"&lt;&gt;",tracker[i],3,tracker[Program Name],G41,tracker[Filtered?],1)</f>
        <v>0</v>
      </c>
      <c r="AN41" s="20">
        <f>COUNTIFS(tracker[Feedback Rating],"&lt;&gt;",tracker[i],3,tracker[Program Name],H41,tracker[Filtered?],1)</f>
        <v>0</v>
      </c>
      <c r="AO41" s="20">
        <f>COUNTIFS(tracker[Feedback Rating],"&lt;&gt;",tracker[i],3,tracker[Program Name],I41,tracker[Filtered?],1)</f>
        <v>0</v>
      </c>
    </row>
    <row r="44" spans="2:41" x14ac:dyDescent="0.3">
      <c r="G44" s="68" t="s">
        <v>316</v>
      </c>
      <c r="H44" s="69"/>
      <c r="I44" s="69"/>
      <c r="J44" s="69"/>
      <c r="K44" s="69"/>
      <c r="L44" s="69"/>
      <c r="M44" s="70"/>
    </row>
    <row r="45" spans="2:41" x14ac:dyDescent="0.3">
      <c r="S45" s="74" t="s">
        <v>342</v>
      </c>
      <c r="T45" s="74" t="s">
        <v>343</v>
      </c>
    </row>
    <row r="46" spans="2:41" x14ac:dyDescent="0.3">
      <c r="G46" s="4" t="s">
        <v>317</v>
      </c>
      <c r="H46" s="5"/>
      <c r="I46" s="6"/>
      <c r="K46" s="4" t="s">
        <v>318</v>
      </c>
      <c r="L46" s="5"/>
      <c r="M46" s="6"/>
      <c r="O46" s="4" t="s">
        <v>258</v>
      </c>
      <c r="P46" s="5"/>
      <c r="Q46" s="6"/>
      <c r="S46" t="s">
        <v>344</v>
      </c>
    </row>
    <row r="47" spans="2:41" x14ac:dyDescent="0.3">
      <c r="G47" s="26" t="s">
        <v>276</v>
      </c>
      <c r="H47" s="26" t="s">
        <v>277</v>
      </c>
      <c r="I47" s="26" t="s">
        <v>278</v>
      </c>
      <c r="K47" s="26" t="s">
        <v>276</v>
      </c>
      <c r="L47" s="26" t="s">
        <v>277</v>
      </c>
      <c r="M47" s="26" t="s">
        <v>278</v>
      </c>
      <c r="O47" s="26" t="s">
        <v>276</v>
      </c>
      <c r="P47" s="26" t="s">
        <v>277</v>
      </c>
      <c r="Q47" s="26" t="s">
        <v>278</v>
      </c>
      <c r="S47" s="26" t="s">
        <v>276</v>
      </c>
      <c r="T47" s="26" t="s">
        <v>277</v>
      </c>
      <c r="U47" s="26" t="s">
        <v>278</v>
      </c>
    </row>
    <row r="48" spans="2:41" x14ac:dyDescent="0.3">
      <c r="F48" s="24">
        <v>1</v>
      </c>
      <c r="G48" s="20">
        <f>INDEX(W$32:W$41,$F48)</f>
        <v>42317</v>
      </c>
      <c r="H48" s="20">
        <f t="shared" ref="H48:I48" si="4">INDEX(X$32:X$41,$F48)</f>
        <v>42339</v>
      </c>
      <c r="I48" s="20">
        <f t="shared" si="4"/>
        <v>42373</v>
      </c>
      <c r="K48" s="20" t="str">
        <f>INDEX(G$32:G$41,$F48)</f>
        <v>Advanced IT Techniques</v>
      </c>
      <c r="L48" s="20" t="str">
        <f t="shared" ref="L48:M48" si="5">INDEX(H$32:H$41,$F48)</f>
        <v>Advanced IT Skills</v>
      </c>
      <c r="M48" s="20" t="str">
        <f t="shared" si="5"/>
        <v>Advanced Business Methods</v>
      </c>
      <c r="O48" s="73"/>
      <c r="P48" s="73"/>
      <c r="Q48" s="73"/>
      <c r="S48" s="76"/>
      <c r="T48" s="76"/>
      <c r="U48" s="76"/>
    </row>
    <row r="49" spans="6:21" x14ac:dyDescent="0.3">
      <c r="F49" s="24">
        <v>1</v>
      </c>
      <c r="G49" s="20">
        <f>INDEX(AA$32:AA$41,$F49)</f>
        <v>1</v>
      </c>
      <c r="H49" s="20">
        <f t="shared" ref="H49:I49" si="6">INDEX(AB$32:AB$41,$F49)</f>
        <v>1.5</v>
      </c>
      <c r="I49" s="20">
        <f t="shared" si="6"/>
        <v>1</v>
      </c>
      <c r="K49" s="20" t="str">
        <f>IF(K48&lt;&gt;"",INDEX(courses[Trainer],INDEX(C$32:C$41,$F49))&amp;" - " &amp;TEXT(INDEX(AE$32:AE$41,$F49),$G$12),"")</f>
        <v>Nulla Eu Incorporated - $ 5k</v>
      </c>
      <c r="L49" s="20" t="str">
        <f>IF(L48&lt;&gt;"",INDEX(courses[Trainer],INDEX(D$32:D$41,$F49))&amp;" - " &amp;TEXT(INDEX(AF$32:AF$41,$F49),$G$12),"")</f>
        <v>Vivamus Industries - $ 3k</v>
      </c>
      <c r="M49" s="20" t="str">
        <f>IF(M48&lt;&gt;"",INDEX(courses[Trainer],INDEX(E$32:E$41,$F49))&amp;" - " &amp;TEXT(INDEX(AG$32:AG$41,$F49),$G$12),"")</f>
        <v>Morbi Tristique Industries - $ 3k</v>
      </c>
      <c r="O49" s="73"/>
      <c r="P49" s="73"/>
      <c r="Q49" s="73"/>
      <c r="S49" s="76"/>
      <c r="T49" s="76"/>
      <c r="U49" s="76"/>
    </row>
    <row r="50" spans="6:21" x14ac:dyDescent="0.3">
      <c r="F50" s="24">
        <v>1</v>
      </c>
      <c r="G50" s="20" t="str">
        <f>IF(G49="","",IF(G49&gt;1,"days","day"))</f>
        <v>day</v>
      </c>
      <c r="H50" s="20" t="str">
        <f t="shared" ref="H50:I50" si="7">IF(H49="","",IF(H49&gt;1,"days","day"))</f>
        <v>days</v>
      </c>
      <c r="I50" s="20" t="str">
        <f t="shared" si="7"/>
        <v>day</v>
      </c>
      <c r="K50" s="20" t="str">
        <f>IF(K48&lt;&gt;"","Att: "&amp;INDEX(O$32:O$41,$F49)&amp;IF(filters.applied," ("&amp;INDEX(AI$32:AI$41,$F49)&amp;")","")&amp;" Fill:"&amp;TEXT(INDEX(S$32:S$41,$F49),"0%"),"")</f>
        <v>Att: 6 Fill:20%</v>
      </c>
      <c r="L50" s="20" t="str">
        <f>IF(L48&lt;&gt;"","Att: "&amp;INDEX(P$32:P$41,$F49)&amp;IF(filters.applied," ("&amp;INDEX(AJ$32:AJ$41,$F49)&amp;")","")&amp;" Fill:"&amp;TEXT(INDEX(T$32:T$41,$F49),"0%"),"")</f>
        <v>Att: 6 Fill:40%</v>
      </c>
      <c r="M50" s="20" t="str">
        <f>IF(M48&lt;&gt;"","Att: "&amp;INDEX(Q$32:Q$41,$F49)&amp;IF(filters.applied," ("&amp;INDEX(AK$32:AK$41,$F49)&amp;")","")&amp;" Fill:"&amp;TEXT(INDEX(U$32:U$41,$F49),"0%"),"")</f>
        <v>Att: 9 Fill:30%</v>
      </c>
      <c r="O50" s="73">
        <f t="array" ref="O50">IFERROR(SUMPRODUCT(IF(filters.applied,tracker[Filtered?]=1,1)*(tracker[i]=3)*IFERROR((tracker[Program Name]=INDEX(G$32:G$41,$F50))*(LEFT(tracker[Feedback Rating],1)),0))/INDEX(AM$32:AM$41,$F50),0)</f>
        <v>0</v>
      </c>
      <c r="P50" s="73">
        <f t="array" ref="P50">IFERROR(SUMPRODUCT(IF(filters.applied,tracker[Filtered?]=1,1)*(tracker[i]=3)*IFERROR((tracker[Program Name]=INDEX(H$32:H$41,$F50))*(LEFT(tracker[Feedback Rating],1)),0))/INDEX(AN$32:AN$41,$F50),0)</f>
        <v>0</v>
      </c>
      <c r="Q50" s="73">
        <f t="array" ref="Q50">IFERROR(SUMPRODUCT(IF(filters.applied,tracker[Filtered?]=1,1)*(tracker[i]=3)*IFERROR((tracker[Program Name]=INDEX(I$32:I$41,$F50))*(LEFT(tracker[Feedback Rating],1)),0))/INDEX(AO$32:AO$41,$F50),0)</f>
        <v>0</v>
      </c>
      <c r="S50" s="76" t="str">
        <f>REPT($S$45,ROUND(O50,0))&amp;REPT($T$45,(5-ROUND(O50,0))*(O50&gt;0))</f>
        <v/>
      </c>
      <c r="T50" s="76" t="str">
        <f t="shared" ref="T50" si="8">REPT($S$45,ROUND(P50,0))&amp;REPT($T$45,(5-ROUND(P50,0))*(P50&gt;0))</f>
        <v/>
      </c>
      <c r="U50" s="76" t="str">
        <f t="shared" ref="U50" si="9">REPT($S$45,ROUND(Q50,0))&amp;REPT($T$45,(5-ROUND(Q50,0))*(Q50&gt;0))</f>
        <v/>
      </c>
    </row>
    <row r="51" spans="6:21" x14ac:dyDescent="0.3">
      <c r="F51" s="24">
        <v>2</v>
      </c>
      <c r="G51" s="20" t="str">
        <f t="shared" ref="G51" si="10">INDEX(W$32:W$41,$F51)</f>
        <v/>
      </c>
      <c r="H51" s="20">
        <f t="shared" ref="H51" si="11">INDEX(X$32:X$41,$F51)</f>
        <v>42352</v>
      </c>
      <c r="I51" s="20">
        <f t="shared" ref="I51" si="12">INDEX(Y$32:Y$41,$F51)</f>
        <v>42384</v>
      </c>
      <c r="K51" s="20" t="str">
        <f t="shared" ref="K51:M60" si="13">INDEX(G$32:G$41,$F51)</f>
        <v/>
      </c>
      <c r="L51" s="20" t="str">
        <f t="shared" si="13"/>
        <v>Advanced Business Techniques</v>
      </c>
      <c r="M51" s="20" t="str">
        <f t="shared" si="13"/>
        <v>Advanced Advertising Skills</v>
      </c>
      <c r="O51" s="73"/>
      <c r="P51" s="73"/>
      <c r="Q51" s="73"/>
      <c r="S51" s="76"/>
      <c r="T51" s="76"/>
      <c r="U51" s="76"/>
    </row>
    <row r="52" spans="6:21" x14ac:dyDescent="0.3">
      <c r="F52" s="24">
        <v>2</v>
      </c>
      <c r="G52" s="20" t="str">
        <f t="shared" ref="G52" si="14">INDEX(AA$32:AA$41,$F52)</f>
        <v/>
      </c>
      <c r="H52" s="20">
        <f t="shared" ref="H52" si="15">INDEX(AB$32:AB$41,$F52)</f>
        <v>1</v>
      </c>
      <c r="I52" s="20">
        <f t="shared" ref="I52" si="16">INDEX(AC$32:AC$41,$F52)</f>
        <v>1</v>
      </c>
      <c r="K52" s="20" t="str">
        <f>IF(K51&lt;&gt;"",INDEX(courses[Trainer],INDEX(C$32:C$41,$F52))&amp;" - " &amp;TEXT(INDEX(AE$32:AE$41,$F52),$G$12),"")</f>
        <v/>
      </c>
      <c r="L52" s="20" t="str">
        <f>IF(L51&lt;&gt;"",INDEX(courses[Trainer],INDEX(D$32:D$41,$F52))&amp;" - " &amp;TEXT(INDEX(AF$32:AF$41,$F52),$G$12),"")</f>
        <v>Eu Dolor Egestas Inc. - $ 3k</v>
      </c>
      <c r="M52" s="20" t="str">
        <f>IF(M51&lt;&gt;"",INDEX(courses[Trainer],INDEX(E$32:E$41,$F52))&amp;" - " &amp;TEXT(INDEX(AG$32:AG$41,$F52),$G$12),"")</f>
        <v>Interdum Company - $ 6k</v>
      </c>
      <c r="O52" s="73"/>
      <c r="P52" s="73"/>
      <c r="Q52" s="73"/>
      <c r="S52" s="76"/>
      <c r="T52" s="76"/>
      <c r="U52" s="76"/>
    </row>
    <row r="53" spans="6:21" x14ac:dyDescent="0.3">
      <c r="F53" s="24">
        <v>2</v>
      </c>
      <c r="G53" s="20" t="str">
        <f t="shared" ref="G53" si="17">IF(G52="","",IF(G52&gt;1,"days","day"))</f>
        <v/>
      </c>
      <c r="H53" s="20" t="str">
        <f t="shared" ref="H53" si="18">IF(H52="","",IF(H52&gt;1,"days","day"))</f>
        <v>day</v>
      </c>
      <c r="I53" s="20" t="str">
        <f t="shared" ref="I53" si="19">IF(I52="","",IF(I52&gt;1,"days","day"))</f>
        <v>day</v>
      </c>
      <c r="K53" s="20" t="str">
        <f>IF(K51&lt;&gt;"","Att: "&amp;INDEX(O$32:O$41,$F52)&amp;IF(filters.applied," ("&amp;INDEX(AI$32:AI$41,$F52)&amp;")","")&amp;" Fill:"&amp;TEXT(INDEX(S$32:S$41,$F52),"0%"),"")</f>
        <v/>
      </c>
      <c r="L53" s="20" t="str">
        <f>IF(L51&lt;&gt;"","Att: "&amp;INDEX(P$32:P$41,$F52)&amp;IF(filters.applied," ("&amp;INDEX(AJ$32:AJ$41,$F52)&amp;")","")&amp;" Fill:"&amp;TEXT(INDEX(T$32:T$41,$F52),"0%"),"")</f>
        <v>Att: 1 Fill:5%</v>
      </c>
      <c r="M53" s="20" t="str">
        <f>IF(M51&lt;&gt;"","Att: "&amp;INDEX(Q$32:Q$41,$F52)&amp;IF(filters.applied," ("&amp;INDEX(AK$32:AK$41,$F52)&amp;")","")&amp;" Fill:"&amp;TEXT(INDEX(U$32:U$41,$F52),"0%"),"")</f>
        <v>Att: 11 Fill:73%</v>
      </c>
      <c r="O53" s="73">
        <f t="array" ref="O53">IFERROR(SUMPRODUCT(IF(filters.applied,tracker[Filtered?]=1,1)*(tracker[i]=3)*IFERROR((tracker[Program Name]=INDEX(G$32:G$41,$F53))*(LEFT(tracker[Feedback Rating],1)),0))/INDEX(AM$32:AM$41,$F53),0)</f>
        <v>0</v>
      </c>
      <c r="P53" s="73">
        <f t="array" ref="P53">IFERROR(SUMPRODUCT(IF(filters.applied,tracker[Filtered?]=1,1)*(tracker[i]=3)*IFERROR((tracker[Program Name]=INDEX(H$32:H$41,$F53))*(LEFT(tracker[Feedback Rating],1)),0))/INDEX(AN$32:AN$41,$F53),0)</f>
        <v>0</v>
      </c>
      <c r="Q53" s="73">
        <f t="array" ref="Q53">IFERROR(SUMPRODUCT(IF(filters.applied,tracker[Filtered?]=1,1)*(tracker[i]=3)*IFERROR((tracker[Program Name]=INDEX(I$32:I$41,$F53))*(LEFT(tracker[Feedback Rating],1)),0))/INDEX(AO$32:AO$41,$F53),0)</f>
        <v>0</v>
      </c>
      <c r="S53" s="76" t="str">
        <f t="shared" ref="S53" si="20">REPT($S$45,ROUND(O53,0))&amp;REPT($T$45,(5-ROUND(O53,0))*(O53&gt;0))</f>
        <v/>
      </c>
      <c r="T53" s="76" t="str">
        <f t="shared" ref="T53" si="21">REPT($S$45,ROUND(P53,0))&amp;REPT($T$45,(5-ROUND(P53,0))*(P53&gt;0))</f>
        <v/>
      </c>
      <c r="U53" s="76" t="str">
        <f t="shared" ref="U53" si="22">REPT($S$45,ROUND(Q53,0))&amp;REPT($T$45,(5-ROUND(Q53,0))*(Q53&gt;0))</f>
        <v/>
      </c>
    </row>
    <row r="54" spans="6:21" x14ac:dyDescent="0.3">
      <c r="F54" s="24">
        <v>3</v>
      </c>
      <c r="G54" s="20" t="str">
        <f t="shared" ref="G54" si="23">INDEX(W$32:W$41,$F54)</f>
        <v/>
      </c>
      <c r="H54" s="20" t="str">
        <f t="shared" ref="H54" si="24">INDEX(X$32:X$41,$F54)</f>
        <v/>
      </c>
      <c r="I54" s="20" t="str">
        <f t="shared" ref="I54" si="25">INDEX(Y$32:Y$41,$F54)</f>
        <v/>
      </c>
      <c r="K54" s="20" t="str">
        <f t="shared" ref="K54" si="26">INDEX(G$32:G$41,$F54)</f>
        <v/>
      </c>
      <c r="L54" s="20" t="str">
        <f t="shared" si="13"/>
        <v/>
      </c>
      <c r="M54" s="20" t="str">
        <f t="shared" si="13"/>
        <v/>
      </c>
      <c r="O54" s="73"/>
      <c r="P54" s="73"/>
      <c r="Q54" s="73"/>
      <c r="S54" s="76"/>
      <c r="T54" s="76"/>
      <c r="U54" s="76"/>
    </row>
    <row r="55" spans="6:21" x14ac:dyDescent="0.3">
      <c r="F55" s="24">
        <v>3</v>
      </c>
      <c r="G55" s="20" t="str">
        <f t="shared" ref="G55" si="27">INDEX(AA$32:AA$41,$F55)</f>
        <v/>
      </c>
      <c r="H55" s="20" t="str">
        <f t="shared" ref="H55" si="28">INDEX(AB$32:AB$41,$F55)</f>
        <v/>
      </c>
      <c r="I55" s="20" t="str">
        <f t="shared" ref="I55" si="29">INDEX(AC$32:AC$41,$F55)</f>
        <v/>
      </c>
      <c r="K55" s="20" t="str">
        <f>IF(K54&lt;&gt;"",INDEX(courses[Trainer],INDEX(C$32:C$41,$F55))&amp;" - " &amp;TEXT(INDEX(AE$32:AE$41,$F55),$G$12),"")</f>
        <v/>
      </c>
      <c r="L55" s="20" t="str">
        <f>IF(L54&lt;&gt;"",INDEX(courses[Trainer],INDEX(D$32:D$41,$F55))&amp;" - " &amp;TEXT(INDEX(AF$32:AF$41,$F55),$G$12),"")</f>
        <v/>
      </c>
      <c r="M55" s="20" t="str">
        <f>IF(M54&lt;&gt;"",INDEX(courses[Trainer],INDEX(E$32:E$41,$F55))&amp;" - " &amp;TEXT(INDEX(AG$32:AG$41,$F55),$G$12),"")</f>
        <v/>
      </c>
      <c r="O55" s="73"/>
      <c r="P55" s="73"/>
      <c r="Q55" s="73"/>
      <c r="S55" s="76"/>
      <c r="T55" s="76"/>
      <c r="U55" s="76"/>
    </row>
    <row r="56" spans="6:21" x14ac:dyDescent="0.3">
      <c r="F56" s="24">
        <v>3</v>
      </c>
      <c r="G56" s="20" t="str">
        <f t="shared" ref="G56" si="30">IF(G55="","",IF(G55&gt;1,"days","day"))</f>
        <v/>
      </c>
      <c r="H56" s="20" t="str">
        <f t="shared" ref="H56" si="31">IF(H55="","",IF(H55&gt;1,"days","day"))</f>
        <v/>
      </c>
      <c r="I56" s="20" t="str">
        <f t="shared" ref="I56" si="32">IF(I55="","",IF(I55&gt;1,"days","day"))</f>
        <v/>
      </c>
      <c r="K56" s="20" t="str">
        <f>IF(K54&lt;&gt;"","Att: "&amp;INDEX(O$32:O$41,$F55)&amp;IF(filters.applied," ("&amp;INDEX(AI$32:AI$41,$F55)&amp;")","")&amp;" Fill:"&amp;TEXT(INDEX(S$32:S$41,$F55),"0%"),"")</f>
        <v/>
      </c>
      <c r="L56" s="20" t="str">
        <f>IF(L54&lt;&gt;"","Att: "&amp;INDEX(P$32:P$41,$F55)&amp;IF(filters.applied," ("&amp;INDEX(AJ$32:AJ$41,$F55)&amp;")","")&amp;" Fill:"&amp;TEXT(INDEX(T$32:T$41,$F55),"0%"),"")</f>
        <v/>
      </c>
      <c r="M56" s="20" t="str">
        <f>IF(M54&lt;&gt;"","Att: "&amp;INDEX(Q$32:Q$41,$F55)&amp;IF(filters.applied," ("&amp;INDEX(AK$32:AK$41,$F55)&amp;")","")&amp;" Fill:"&amp;TEXT(INDEX(U$32:U$41,$F55),"0%"),"")</f>
        <v/>
      </c>
      <c r="O56" s="73">
        <f t="array" ref="O56">IFERROR(SUMPRODUCT(IF(filters.applied,tracker[Filtered?]=1,1)*(tracker[i]=3)*IFERROR((tracker[Program Name]=INDEX(G$32:G$41,$F56))*(LEFT(tracker[Feedback Rating],1)),0))/INDEX(AM$32:AM$41,$F56),0)</f>
        <v>0</v>
      </c>
      <c r="P56" s="73">
        <f t="array" ref="P56">IFERROR(SUMPRODUCT(IF(filters.applied,tracker[Filtered?]=1,1)*(tracker[i]=3)*IFERROR((tracker[Program Name]=INDEX(H$32:H$41,$F56))*(LEFT(tracker[Feedback Rating],1)),0))/INDEX(AN$32:AN$41,$F56),0)</f>
        <v>0</v>
      </c>
      <c r="Q56" s="73">
        <f t="array" ref="Q56">IFERROR(SUMPRODUCT(IF(filters.applied,tracker[Filtered?]=1,1)*(tracker[i]=3)*IFERROR((tracker[Program Name]=INDEX(I$32:I$41,$F56))*(LEFT(tracker[Feedback Rating],1)),0))/INDEX(AO$32:AO$41,$F56),0)</f>
        <v>0</v>
      </c>
      <c r="S56" s="76" t="str">
        <f t="shared" ref="S56" si="33">REPT($S$45,ROUND(O56,0))&amp;REPT($T$45,(5-ROUND(O56,0))*(O56&gt;0))</f>
        <v/>
      </c>
      <c r="T56" s="76" t="str">
        <f t="shared" ref="T56" si="34">REPT($S$45,ROUND(P56,0))&amp;REPT($T$45,(5-ROUND(P56,0))*(P56&gt;0))</f>
        <v/>
      </c>
      <c r="U56" s="76" t="str">
        <f t="shared" ref="U56" si="35">REPT($S$45,ROUND(Q56,0))&amp;REPT($T$45,(5-ROUND(Q56,0))*(Q56&gt;0))</f>
        <v/>
      </c>
    </row>
    <row r="57" spans="6:21" x14ac:dyDescent="0.3">
      <c r="F57" s="24">
        <v>4</v>
      </c>
      <c r="G57" s="20" t="str">
        <f t="shared" ref="G57" si="36">INDEX(W$32:W$41,$F57)</f>
        <v/>
      </c>
      <c r="H57" s="20" t="str">
        <f t="shared" ref="H57" si="37">INDEX(X$32:X$41,$F57)</f>
        <v/>
      </c>
      <c r="I57" s="20" t="str">
        <f t="shared" ref="I57" si="38">INDEX(Y$32:Y$41,$F57)</f>
        <v/>
      </c>
      <c r="K57" s="20" t="str">
        <f t="shared" ref="K57" si="39">INDEX(G$32:G$41,$F57)</f>
        <v/>
      </c>
      <c r="L57" s="20" t="str">
        <f t="shared" si="13"/>
        <v/>
      </c>
      <c r="M57" s="20" t="str">
        <f t="shared" si="13"/>
        <v/>
      </c>
      <c r="O57" s="73"/>
      <c r="P57" s="73"/>
      <c r="Q57" s="73"/>
      <c r="S57" s="76"/>
      <c r="T57" s="76"/>
      <c r="U57" s="76"/>
    </row>
    <row r="58" spans="6:21" x14ac:dyDescent="0.3">
      <c r="F58" s="24">
        <v>4</v>
      </c>
      <c r="G58" s="20" t="str">
        <f t="shared" ref="G58" si="40">INDEX(AA$32:AA$41,$F58)</f>
        <v/>
      </c>
      <c r="H58" s="20" t="str">
        <f t="shared" ref="H58" si="41">INDEX(AB$32:AB$41,$F58)</f>
        <v/>
      </c>
      <c r="I58" s="20" t="str">
        <f t="shared" ref="I58" si="42">INDEX(AC$32:AC$41,$F58)</f>
        <v/>
      </c>
      <c r="K58" s="20" t="str">
        <f>IF(K57&lt;&gt;"",INDEX(courses[Trainer],INDEX(C$32:C$41,$F58))&amp;" - " &amp;TEXT(INDEX(AE$32:AE$41,$F58),$G$12),"")</f>
        <v/>
      </c>
      <c r="L58" s="20" t="str">
        <f>IF(L57&lt;&gt;"",INDEX(courses[Trainer],INDEX(D$32:D$41,$F58))&amp;" - " &amp;TEXT(INDEX(AF$32:AF$41,$F58),$G$12),"")</f>
        <v/>
      </c>
      <c r="M58" s="20" t="str">
        <f>IF(M57&lt;&gt;"",INDEX(courses[Trainer],INDEX(E$32:E$41,$F58))&amp;" - " &amp;TEXT(INDEX(AG$32:AG$41,$F58),$G$12),"")</f>
        <v/>
      </c>
      <c r="O58" s="73"/>
      <c r="P58" s="73"/>
      <c r="Q58" s="73"/>
      <c r="S58" s="76"/>
      <c r="T58" s="76"/>
      <c r="U58" s="76"/>
    </row>
    <row r="59" spans="6:21" x14ac:dyDescent="0.3">
      <c r="F59" s="24">
        <v>4</v>
      </c>
      <c r="G59" s="20" t="str">
        <f t="shared" ref="G59" si="43">IF(G58="","",IF(G58&gt;1,"days","day"))</f>
        <v/>
      </c>
      <c r="H59" s="20" t="str">
        <f t="shared" ref="H59" si="44">IF(H58="","",IF(H58&gt;1,"days","day"))</f>
        <v/>
      </c>
      <c r="I59" s="20" t="str">
        <f t="shared" ref="I59" si="45">IF(I58="","",IF(I58&gt;1,"days","day"))</f>
        <v/>
      </c>
      <c r="K59" s="20" t="str">
        <f>IF(K57&lt;&gt;"","Att: "&amp;INDEX(O$32:O$41,$F58)&amp;IF(filters.applied," ("&amp;INDEX(AI$32:AI$41,$F58)&amp;")","")&amp;" Fill:"&amp;TEXT(INDEX(S$32:S$41,$F58),"0%"),"")</f>
        <v/>
      </c>
      <c r="L59" s="20" t="str">
        <f>IF(L57&lt;&gt;"","Att: "&amp;INDEX(P$32:P$41,$F58)&amp;IF(filters.applied," ("&amp;INDEX(AJ$32:AJ$41,$F58)&amp;")","")&amp;" Fill:"&amp;TEXT(INDEX(T$32:T$41,$F58),"0%"),"")</f>
        <v/>
      </c>
      <c r="M59" s="20" t="str">
        <f>IF(M57&lt;&gt;"","Att: "&amp;INDEX(Q$32:Q$41,$F58)&amp;IF(filters.applied," ("&amp;INDEX(AK$32:AK$41,$F58)&amp;")","")&amp;" Fill:"&amp;TEXT(INDEX(U$32:U$41,$F58),"0%"),"")</f>
        <v/>
      </c>
      <c r="O59" s="73">
        <f t="array" ref="O59">IFERROR(SUMPRODUCT(IF(filters.applied,tracker[Filtered?]=1,1)*(tracker[i]=3)*IFERROR((tracker[Program Name]=INDEX(G$32:G$41,$F59))*(LEFT(tracker[Feedback Rating],1)),0))/INDEX(AM$32:AM$41,$F59),0)</f>
        <v>0</v>
      </c>
      <c r="P59" s="73">
        <f t="array" ref="P59">IFERROR(SUMPRODUCT(IF(filters.applied,tracker[Filtered?]=1,1)*(tracker[i]=3)*IFERROR((tracker[Program Name]=INDEX(H$32:H$41,$F59))*(LEFT(tracker[Feedback Rating],1)),0))/INDEX(AN$32:AN$41,$F59),0)</f>
        <v>0</v>
      </c>
      <c r="Q59" s="73">
        <f t="array" ref="Q59">IFERROR(SUMPRODUCT(IF(filters.applied,tracker[Filtered?]=1,1)*(tracker[i]=3)*IFERROR((tracker[Program Name]=INDEX(I$32:I$41,$F59))*(LEFT(tracker[Feedback Rating],1)),0))/INDEX(AO$32:AO$41,$F59),0)</f>
        <v>0</v>
      </c>
      <c r="S59" s="76" t="str">
        <f t="shared" ref="S59" si="46">REPT($S$45,ROUND(O59,0))&amp;REPT($T$45,(5-ROUND(O59,0))*(O59&gt;0))</f>
        <v/>
      </c>
      <c r="T59" s="76" t="str">
        <f t="shared" ref="T59" si="47">REPT($S$45,ROUND(P59,0))&amp;REPT($T$45,(5-ROUND(P59,0))*(P59&gt;0))</f>
        <v/>
      </c>
      <c r="U59" s="76" t="str">
        <f t="shared" ref="U59" si="48">REPT($S$45,ROUND(Q59,0))&amp;REPT($T$45,(5-ROUND(Q59,0))*(Q59&gt;0))</f>
        <v/>
      </c>
    </row>
    <row r="60" spans="6:21" x14ac:dyDescent="0.3">
      <c r="F60" s="24">
        <v>5</v>
      </c>
      <c r="G60" s="20" t="str">
        <f t="shared" ref="G60" si="49">INDEX(W$32:W$41,$F60)</f>
        <v/>
      </c>
      <c r="H60" s="20" t="str">
        <f t="shared" ref="H60" si="50">INDEX(X$32:X$41,$F60)</f>
        <v/>
      </c>
      <c r="I60" s="20" t="str">
        <f t="shared" ref="I60" si="51">INDEX(Y$32:Y$41,$F60)</f>
        <v/>
      </c>
      <c r="K60" s="20" t="str">
        <f t="shared" ref="K60" si="52">INDEX(G$32:G$41,$F60)</f>
        <v/>
      </c>
      <c r="L60" s="20" t="str">
        <f t="shared" si="13"/>
        <v/>
      </c>
      <c r="M60" s="20" t="str">
        <f t="shared" si="13"/>
        <v/>
      </c>
      <c r="O60" s="73"/>
      <c r="P60" s="73"/>
      <c r="Q60" s="73"/>
      <c r="S60" s="76"/>
      <c r="T60" s="76"/>
      <c r="U60" s="76"/>
    </row>
    <row r="61" spans="6:21" x14ac:dyDescent="0.3">
      <c r="F61" s="24">
        <v>5</v>
      </c>
      <c r="G61" s="20" t="str">
        <f t="shared" ref="G61" si="53">INDEX(AA$32:AA$41,$F61)</f>
        <v/>
      </c>
      <c r="H61" s="20" t="str">
        <f t="shared" ref="H61" si="54">INDEX(AB$32:AB$41,$F61)</f>
        <v/>
      </c>
      <c r="I61" s="20" t="str">
        <f t="shared" ref="I61" si="55">INDEX(AC$32:AC$41,$F61)</f>
        <v/>
      </c>
      <c r="K61" s="20" t="str">
        <f>IF(K60&lt;&gt;"",INDEX(courses[Trainer],INDEX(C$32:C$41,$F61))&amp;" - " &amp;TEXT(INDEX(AE$32:AE$41,$F61),$G$12),"")</f>
        <v/>
      </c>
      <c r="L61" s="20" t="str">
        <f>IF(L60&lt;&gt;"",INDEX(courses[Trainer],INDEX(D$32:D$41,$F61))&amp;" - " &amp;TEXT(INDEX(AF$32:AF$41,$F61),$G$12),"")</f>
        <v/>
      </c>
      <c r="M61" s="20" t="str">
        <f>IF(M60&lt;&gt;"",INDEX(courses[Trainer],INDEX(E$32:E$41,$F61))&amp;" - " &amp;TEXT(INDEX(AG$32:AG$41,$F61),$G$12),"")</f>
        <v/>
      </c>
      <c r="O61" s="73"/>
      <c r="P61" s="73"/>
      <c r="Q61" s="73"/>
      <c r="S61" s="76"/>
      <c r="T61" s="76"/>
      <c r="U61" s="76"/>
    </row>
    <row r="62" spans="6:21" x14ac:dyDescent="0.3">
      <c r="F62" s="35">
        <v>5</v>
      </c>
      <c r="G62" s="20" t="str">
        <f t="shared" ref="G62" si="56">IF(G61="","",IF(G61&gt;1,"days","day"))</f>
        <v/>
      </c>
      <c r="H62" s="20" t="str">
        <f t="shared" ref="H62" si="57">IF(H61="","",IF(H61&gt;1,"days","day"))</f>
        <v/>
      </c>
      <c r="I62" s="20" t="str">
        <f t="shared" ref="I62" si="58">IF(I61="","",IF(I61&gt;1,"days","day"))</f>
        <v/>
      </c>
      <c r="K62" s="20" t="str">
        <f>IF(K60&lt;&gt;"","Att: "&amp;INDEX(O$32:O$41,$F61)&amp;IF(filters.applied," ("&amp;INDEX(AI$32:AI$41,$F61)&amp;")","")&amp;" Fill:"&amp;TEXT(INDEX(S$32:S$41,$F61),"0%"),"")</f>
        <v/>
      </c>
      <c r="L62" s="20" t="str">
        <f>IF(L60&lt;&gt;"","Att: "&amp;INDEX(P$32:P$41,$F61)&amp;IF(filters.applied," ("&amp;INDEX(AJ$32:AJ$41,$F61)&amp;")","")&amp;" Fill:"&amp;TEXT(INDEX(T$32:T$41,$F61),"0%"),"")</f>
        <v/>
      </c>
      <c r="M62" s="20" t="str">
        <f>IF(M60&lt;&gt;"","Att: "&amp;INDEX(Q$32:Q$41,$F61)&amp;IF(filters.applied," ("&amp;INDEX(AK$32:AK$41,$F61)&amp;")","")&amp;" Fill:"&amp;TEXT(INDEX(U$32:U$41,$F61),"0%"),"")</f>
        <v/>
      </c>
      <c r="O62" s="73">
        <f t="array" ref="O62">IFERROR(SUMPRODUCT(IF(filters.applied,tracker[Filtered?]=1,1)*(tracker[i]=3)*IFERROR((tracker[Program Name]=INDEX(G$32:G$41,$F62))*(LEFT(tracker[Feedback Rating],1)),0))/INDEX(AM$32:AM$41,$F62),0)</f>
        <v>0</v>
      </c>
      <c r="P62" s="73">
        <f t="array" ref="P62">IFERROR(SUMPRODUCT(IF(filters.applied,tracker[Filtered?]=1,1)*(tracker[i]=3)*IFERROR((tracker[Program Name]=INDEX(H$32:H$41,$F62))*(LEFT(tracker[Feedback Rating],1)),0))/INDEX(AN$32:AN$41,$F62),0)</f>
        <v>0</v>
      </c>
      <c r="Q62" s="73">
        <f t="array" ref="Q62">IFERROR(SUMPRODUCT(IF(filters.applied,tracker[Filtered?]=1,1)*(tracker[i]=3)*IFERROR((tracker[Program Name]=INDEX(I$32:I$41,$F62))*(LEFT(tracker[Feedback Rating],1)),0))/INDEX(AO$32:AO$41,$F62),0)</f>
        <v>0</v>
      </c>
      <c r="S62" s="76" t="str">
        <f t="shared" ref="S62:U62" si="59">REPT($S$45,ROUND(O62,0))&amp;REPT($T$45,(5-ROUND(O62,0))*(O62&gt;0))</f>
        <v/>
      </c>
      <c r="T62" s="76" t="str">
        <f t="shared" si="59"/>
        <v/>
      </c>
      <c r="U62" s="76" t="str">
        <f t="shared" si="59"/>
        <v/>
      </c>
    </row>
    <row r="65" spans="2:17" x14ac:dyDescent="0.3">
      <c r="B65" s="40" t="s">
        <v>321</v>
      </c>
    </row>
    <row r="66" spans="2:17" ht="19.8" x14ac:dyDescent="0.3">
      <c r="O66" s="74"/>
      <c r="Q66" s="75"/>
    </row>
    <row r="67" spans="2:17" x14ac:dyDescent="0.3">
      <c r="C67" s="41" t="s">
        <v>276</v>
      </c>
      <c r="D67" s="41" t="s">
        <v>277</v>
      </c>
      <c r="E67" s="41" t="s">
        <v>278</v>
      </c>
    </row>
    <row r="68" spans="2:17" x14ac:dyDescent="0.3">
      <c r="B68" s="20" t="s">
        <v>322</v>
      </c>
      <c r="C68" s="20" t="str">
        <f>C31&amp;" course"&amp;REPT("s",C31&gt;1)</f>
        <v>1 course</v>
      </c>
      <c r="D68" s="20" t="str">
        <f t="shared" ref="D68:E68" si="60">D31&amp;" course"&amp;REPT("s",D31&gt;1)</f>
        <v>2 courses</v>
      </c>
      <c r="E68" s="20" t="str">
        <f t="shared" si="60"/>
        <v>2 courses</v>
      </c>
      <c r="O68" s="74"/>
    </row>
    <row r="69" spans="2:17" x14ac:dyDescent="0.3">
      <c r="B69" s="20" t="s">
        <v>9</v>
      </c>
      <c r="C69" s="20">
        <f>SUMIFS(courses[Cost],courses[Date],"&gt;="&amp;C28,courses[Date],"&lt;="&amp;C29)</f>
        <v>5000</v>
      </c>
      <c r="D69" s="20">
        <f>SUMIFS(courses[Cost],courses[Date],"&gt;="&amp;D28,courses[Date],"&lt;="&amp;D29)</f>
        <v>6000</v>
      </c>
      <c r="E69" s="20">
        <f>SUMIFS(courses[Cost],courses[Date],"&gt;="&amp;E28,courses[Date],"&lt;="&amp;E29)</f>
        <v>9000</v>
      </c>
    </row>
    <row r="70" spans="2:17" x14ac:dyDescent="0.3">
      <c r="B70" s="44" t="s">
        <v>340</v>
      </c>
      <c r="C70" s="20" t="str">
        <f>TEXT(C69,$G$12)</f>
        <v>$ 5k</v>
      </c>
      <c r="D70" s="20" t="str">
        <f t="shared" ref="D70:E70" si="61">TEXT(D69,$G$12)</f>
        <v>$ 6k</v>
      </c>
      <c r="E70" s="20" t="str">
        <f t="shared" si="61"/>
        <v>$ 9k</v>
      </c>
    </row>
    <row r="71" spans="2:17" x14ac:dyDescent="0.3">
      <c r="B71" s="20" t="s">
        <v>323</v>
      </c>
      <c r="C71" s="20">
        <f>SUM(O32:O41)</f>
        <v>6</v>
      </c>
      <c r="D71" s="20">
        <f>SUM(P32:P41)</f>
        <v>7</v>
      </c>
      <c r="E71" s="20">
        <f>SUM(Q32:Q41)</f>
        <v>20</v>
      </c>
    </row>
    <row r="72" spans="2:17" x14ac:dyDescent="0.3">
      <c r="B72" s="20" t="s">
        <v>324</v>
      </c>
      <c r="C72" s="20">
        <f>SUM(AI32:AI41)</f>
        <v>6</v>
      </c>
      <c r="D72" s="20">
        <f>SUM(AJ32:AJ41)</f>
        <v>7</v>
      </c>
      <c r="E72" s="20">
        <f>SUM(AK32:AK41)</f>
        <v>20</v>
      </c>
    </row>
    <row r="73" spans="2:17" x14ac:dyDescent="0.3">
      <c r="B73" s="20" t="s">
        <v>341</v>
      </c>
      <c r="C73" s="20" t="str">
        <f>C71&amp;IF(filters.applied," ("&amp;C72&amp;")","")&amp;" people"</f>
        <v>6 people</v>
      </c>
      <c r="D73" s="20" t="str">
        <f>D71&amp;IF(filters.applied," ("&amp;D72&amp;")","")&amp;" people"</f>
        <v>7 people</v>
      </c>
      <c r="E73" s="20" t="str">
        <f>E71&amp;IF(filters.applied," ("&amp;E72&amp;")","")&amp;" people"</f>
        <v>20 people</v>
      </c>
    </row>
    <row r="74" spans="2:17" x14ac:dyDescent="0.3">
      <c r="B74" s="20" t="s">
        <v>282</v>
      </c>
      <c r="C74" s="31">
        <f>IFERROR(C71/SUM(K32:K41),"")</f>
        <v>0.2</v>
      </c>
      <c r="D74" s="31">
        <f t="shared" ref="D74:E74" si="62">IFERROR(D71/SUM(L32:L41),"")</f>
        <v>0.2</v>
      </c>
      <c r="E74" s="31">
        <f t="shared" si="62"/>
        <v>0.44444444444444442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Inputs</vt:lpstr>
      <vt:lpstr>Settings</vt:lpstr>
      <vt:lpstr>Calendar View</vt:lpstr>
      <vt:lpstr>pvt Depts</vt:lpstr>
      <vt:lpstr>Calc</vt:lpstr>
      <vt:lpstr>course.names</vt:lpstr>
      <vt:lpstr>cur.symbol</vt:lpstr>
      <vt:lpstr>cur.type</vt:lpstr>
      <vt:lpstr>filters.applied</vt:lpstr>
      <vt:lpstr>people.names</vt:lpstr>
      <vt:lpstr>ratings</vt:lpstr>
      <vt:lpstr>selected.depts</vt:lpstr>
      <vt:lpstr>training.status</vt:lpstr>
    </vt:vector>
  </TitlesOfParts>
  <Company>Chandoo.org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Purnachandra Rao Duggirala</dc:creator>
  <cp:lastModifiedBy>JD</cp:lastModifiedBy>
  <dcterms:created xsi:type="dcterms:W3CDTF">2015-07-30T13:19:43Z</dcterms:created>
  <dcterms:modified xsi:type="dcterms:W3CDTF">2025-07-02T12:57:26Z</dcterms:modified>
</cp:coreProperties>
</file>